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pivotTables/pivotTable2.xml" ContentType="application/vnd.openxmlformats-officedocument.spreadsheetml.pivotTable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filterPrivacy="1" hidePivotFieldList="1" defaultThemeVersion="124226"/>
  <xr:revisionPtr revIDLastSave="0" documentId="10_ncr:180000_{8E08C4BF-2552-43FC-969A-53413C1253C1}" xr6:coauthVersionLast="31" xr6:coauthVersionMax="31" xr10:uidLastSave="{00000000-0000-0000-0000-000000000000}"/>
  <bookViews>
    <workbookView xWindow="0" yWindow="0" windowWidth="38400" windowHeight="17625" xr2:uid="{00000000-000D-0000-FFFF-FFFF00000000}"/>
  </bookViews>
  <sheets>
    <sheet name="DTM DATASET" sheetId="1" r:id="rId1"/>
    <sheet name="Summary" sheetId="2" r:id="rId2"/>
    <sheet name="Period of Displacement" sheetId="4" r:id="rId3"/>
    <sheet name="Shelter Type by Governorate of " sheetId="3" r:id="rId4"/>
    <sheet name="IDPs by Governorate of Origin" sheetId="13" r:id="rId5"/>
  </sheets>
  <definedNames>
    <definedName name="_xlnm._FilterDatabase" localSheetId="0" hidden="1">'DTM DATASET'!$A$4:$AV$3222</definedName>
  </definedNames>
  <calcPr calcId="179017"/>
  <pivotCaches>
    <pivotCache cacheId="12" r:id="rId6"/>
    <pivotCache cacheId="15" r:id="rId7"/>
  </pivotCaches>
</workbook>
</file>

<file path=xl/calcChain.xml><?xml version="1.0" encoding="utf-8"?>
<calcChain xmlns="http://schemas.openxmlformats.org/spreadsheetml/2006/main">
  <c r="AT5" i="1" l="1"/>
  <c r="AU5" i="1"/>
  <c r="AV5" i="1"/>
  <c r="AT6" i="1"/>
  <c r="AU6" i="1"/>
  <c r="AV6" i="1"/>
  <c r="AT7" i="1"/>
  <c r="AU7" i="1"/>
  <c r="AV7" i="1"/>
  <c r="AT8" i="1"/>
  <c r="AU8" i="1"/>
  <c r="AV8" i="1"/>
  <c r="AT9" i="1"/>
  <c r="AU9" i="1"/>
  <c r="AV9" i="1"/>
  <c r="AT10" i="1"/>
  <c r="AU10" i="1"/>
  <c r="AV10" i="1"/>
  <c r="AT11" i="1"/>
  <c r="AU11" i="1"/>
  <c r="AV11" i="1"/>
  <c r="AT12" i="1"/>
  <c r="AU12" i="1"/>
  <c r="AV12" i="1"/>
  <c r="AT13" i="1"/>
  <c r="AU13" i="1"/>
  <c r="AV13" i="1"/>
  <c r="AT14" i="1"/>
  <c r="AU14" i="1"/>
  <c r="AV14" i="1"/>
  <c r="AT15" i="1"/>
  <c r="AU15" i="1"/>
  <c r="AV15" i="1"/>
  <c r="AT16" i="1"/>
  <c r="AU16" i="1"/>
  <c r="AV16" i="1"/>
  <c r="AT17" i="1"/>
  <c r="AU17" i="1"/>
  <c r="AV17" i="1"/>
  <c r="AT18" i="1"/>
  <c r="AU18" i="1"/>
  <c r="AV18" i="1"/>
  <c r="AT19" i="1"/>
  <c r="AU19" i="1"/>
  <c r="AV19" i="1"/>
  <c r="AT20" i="1"/>
  <c r="AU20" i="1"/>
  <c r="AV20" i="1"/>
  <c r="AT21" i="1"/>
  <c r="AU21" i="1"/>
  <c r="AV21" i="1"/>
  <c r="AT22" i="1"/>
  <c r="AU22" i="1"/>
  <c r="AV22" i="1"/>
  <c r="AT23" i="1"/>
  <c r="AU23" i="1"/>
  <c r="AV23" i="1"/>
  <c r="AT24" i="1"/>
  <c r="AU24" i="1"/>
  <c r="AV24" i="1"/>
  <c r="AT25" i="1"/>
  <c r="AU25" i="1"/>
  <c r="AV25" i="1"/>
  <c r="AT26" i="1"/>
  <c r="AU26" i="1"/>
  <c r="AV26" i="1"/>
  <c r="AT27" i="1"/>
  <c r="AU27" i="1"/>
  <c r="AV27" i="1"/>
  <c r="AT28" i="1"/>
  <c r="AU28" i="1"/>
  <c r="AV28" i="1"/>
  <c r="AT29" i="1"/>
  <c r="AU29" i="1"/>
  <c r="AV29" i="1"/>
  <c r="AT30" i="1"/>
  <c r="AU30" i="1"/>
  <c r="AV30" i="1"/>
  <c r="AT31" i="1"/>
  <c r="AU31" i="1"/>
  <c r="AV31" i="1"/>
  <c r="AT32" i="1"/>
  <c r="AU32" i="1"/>
  <c r="AV32" i="1"/>
  <c r="AT33" i="1"/>
  <c r="AU33" i="1"/>
  <c r="AV33" i="1"/>
  <c r="AT34" i="1"/>
  <c r="AU34" i="1"/>
  <c r="AV34" i="1"/>
  <c r="AT35" i="1"/>
  <c r="AU35" i="1"/>
  <c r="AV35" i="1"/>
  <c r="AT36" i="1"/>
  <c r="AU36" i="1"/>
  <c r="AV36" i="1"/>
  <c r="AT37" i="1"/>
  <c r="AU37" i="1"/>
  <c r="AV37" i="1"/>
  <c r="AT38" i="1"/>
  <c r="AU38" i="1"/>
  <c r="AV38" i="1"/>
  <c r="AT39" i="1"/>
  <c r="AU39" i="1"/>
  <c r="AV39" i="1"/>
  <c r="AT40" i="1"/>
  <c r="AU40" i="1"/>
  <c r="AV40" i="1"/>
  <c r="AT41" i="1"/>
  <c r="AU41" i="1"/>
  <c r="AV41" i="1"/>
  <c r="AT42" i="1"/>
  <c r="AU42" i="1"/>
  <c r="AV42" i="1"/>
  <c r="AT43" i="1"/>
  <c r="AU43" i="1"/>
  <c r="AV43" i="1"/>
  <c r="AT44" i="1"/>
  <c r="AU44" i="1"/>
  <c r="AV44" i="1"/>
  <c r="AT45" i="1"/>
  <c r="AU45" i="1"/>
  <c r="AV45" i="1"/>
  <c r="AT46" i="1"/>
  <c r="AU46" i="1"/>
  <c r="AV46" i="1"/>
  <c r="AT47" i="1"/>
  <c r="AU47" i="1"/>
  <c r="AV47" i="1"/>
  <c r="AT48" i="1"/>
  <c r="AU48" i="1"/>
  <c r="AV48" i="1"/>
  <c r="AT49" i="1"/>
  <c r="AU49" i="1"/>
  <c r="AV49" i="1"/>
  <c r="AT50" i="1"/>
  <c r="AU50" i="1"/>
  <c r="AV50" i="1"/>
  <c r="AT51" i="1"/>
  <c r="AU51" i="1"/>
  <c r="AV51" i="1"/>
  <c r="AT52" i="1"/>
  <c r="AU52" i="1"/>
  <c r="AV52" i="1"/>
  <c r="AT53" i="1"/>
  <c r="AU53" i="1"/>
  <c r="AV53" i="1"/>
  <c r="AT54" i="1"/>
  <c r="AU54" i="1"/>
  <c r="AV54" i="1"/>
  <c r="AT55" i="1"/>
  <c r="AU55" i="1"/>
  <c r="AV55" i="1"/>
  <c r="AT56" i="1"/>
  <c r="AU56" i="1"/>
  <c r="AV56" i="1"/>
  <c r="AT57" i="1"/>
  <c r="AU57" i="1"/>
  <c r="AV57" i="1"/>
  <c r="AT58" i="1"/>
  <c r="AU58" i="1"/>
  <c r="AV58" i="1"/>
  <c r="AT59" i="1"/>
  <c r="AU59" i="1"/>
  <c r="AV59" i="1"/>
  <c r="AT60" i="1"/>
  <c r="AU60" i="1"/>
  <c r="AV60" i="1"/>
  <c r="AT61" i="1"/>
  <c r="AU61" i="1"/>
  <c r="AV61" i="1"/>
  <c r="AT62" i="1"/>
  <c r="AU62" i="1"/>
  <c r="AV62" i="1"/>
  <c r="AT63" i="1"/>
  <c r="AU63" i="1"/>
  <c r="AV63" i="1"/>
  <c r="AT64" i="1"/>
  <c r="AU64" i="1"/>
  <c r="AV64" i="1"/>
  <c r="AT65" i="1"/>
  <c r="AU65" i="1"/>
  <c r="AV65" i="1"/>
  <c r="AT66" i="1"/>
  <c r="AU66" i="1"/>
  <c r="AV66" i="1"/>
  <c r="AT67" i="1"/>
  <c r="AU67" i="1"/>
  <c r="AV67" i="1"/>
  <c r="AT68" i="1"/>
  <c r="AU68" i="1"/>
  <c r="AV68" i="1"/>
  <c r="AT69" i="1"/>
  <c r="AU69" i="1"/>
  <c r="AV69" i="1"/>
  <c r="AT70" i="1"/>
  <c r="AU70" i="1"/>
  <c r="AV70" i="1"/>
  <c r="AT71" i="1"/>
  <c r="AU71" i="1"/>
  <c r="AV71" i="1"/>
  <c r="AT72" i="1"/>
  <c r="AU72" i="1"/>
  <c r="AV72" i="1"/>
  <c r="AT73" i="1"/>
  <c r="AU73" i="1"/>
  <c r="AV73" i="1"/>
  <c r="AT74" i="1"/>
  <c r="AU74" i="1"/>
  <c r="AV74" i="1"/>
  <c r="AT75" i="1"/>
  <c r="AU75" i="1"/>
  <c r="AV75" i="1"/>
  <c r="AT76" i="1"/>
  <c r="AU76" i="1"/>
  <c r="AV76" i="1"/>
  <c r="AT77" i="1"/>
  <c r="AU77" i="1"/>
  <c r="AV77" i="1"/>
  <c r="AT78" i="1"/>
  <c r="AU78" i="1"/>
  <c r="AV78" i="1"/>
  <c r="AT79" i="1"/>
  <c r="AU79" i="1"/>
  <c r="AV79" i="1"/>
  <c r="AT80" i="1"/>
  <c r="AU80" i="1"/>
  <c r="AV80" i="1"/>
  <c r="AT81" i="1"/>
  <c r="AU81" i="1"/>
  <c r="AV81" i="1"/>
  <c r="AT82" i="1"/>
  <c r="AU82" i="1"/>
  <c r="AV82" i="1"/>
  <c r="AT83" i="1"/>
  <c r="AU83" i="1"/>
  <c r="AV83" i="1"/>
  <c r="AT84" i="1"/>
  <c r="AU84" i="1"/>
  <c r="AV84" i="1"/>
  <c r="AT85" i="1"/>
  <c r="AU85" i="1"/>
  <c r="AV85" i="1"/>
  <c r="AT86" i="1"/>
  <c r="AU86" i="1"/>
  <c r="AV86" i="1"/>
  <c r="AT87" i="1"/>
  <c r="AU87" i="1"/>
  <c r="AV87" i="1"/>
  <c r="AT88" i="1"/>
  <c r="AU88" i="1"/>
  <c r="AV88" i="1"/>
  <c r="AT89" i="1"/>
  <c r="AU89" i="1"/>
  <c r="AV89" i="1"/>
  <c r="AT90" i="1"/>
  <c r="AU90" i="1"/>
  <c r="AV90" i="1"/>
  <c r="AT91" i="1"/>
  <c r="AU91" i="1"/>
  <c r="AV91" i="1"/>
  <c r="AT92" i="1"/>
  <c r="AU92" i="1"/>
  <c r="AV92" i="1"/>
  <c r="AT93" i="1"/>
  <c r="AU93" i="1"/>
  <c r="AV93" i="1"/>
  <c r="AT94" i="1"/>
  <c r="AU94" i="1"/>
  <c r="AV94" i="1"/>
  <c r="AT95" i="1"/>
  <c r="AU95" i="1"/>
  <c r="AV95" i="1"/>
  <c r="AT96" i="1"/>
  <c r="AU96" i="1"/>
  <c r="AV96" i="1"/>
  <c r="AT97" i="1"/>
  <c r="AU97" i="1"/>
  <c r="AV97" i="1"/>
  <c r="AT98" i="1"/>
  <c r="AU98" i="1"/>
  <c r="AV98" i="1"/>
  <c r="AT99" i="1"/>
  <c r="AU99" i="1"/>
  <c r="AV99" i="1"/>
  <c r="AT100" i="1"/>
  <c r="AU100" i="1"/>
  <c r="AV100" i="1"/>
  <c r="AT101" i="1"/>
  <c r="AU101" i="1"/>
  <c r="AV101" i="1"/>
  <c r="AT102" i="1"/>
  <c r="AU102" i="1"/>
  <c r="AV102" i="1"/>
  <c r="AT103" i="1"/>
  <c r="AU103" i="1"/>
  <c r="AV103" i="1"/>
  <c r="AT104" i="1"/>
  <c r="AU104" i="1"/>
  <c r="AV104" i="1"/>
  <c r="AT105" i="1"/>
  <c r="AU105" i="1"/>
  <c r="AV105" i="1"/>
  <c r="AT106" i="1"/>
  <c r="AU106" i="1"/>
  <c r="AV106" i="1"/>
  <c r="AT107" i="1"/>
  <c r="AU107" i="1"/>
  <c r="AV107" i="1"/>
  <c r="AT108" i="1"/>
  <c r="AU108" i="1"/>
  <c r="AV108" i="1"/>
  <c r="AT109" i="1"/>
  <c r="AU109" i="1"/>
  <c r="AV109" i="1"/>
  <c r="AT110" i="1"/>
  <c r="AU110" i="1"/>
  <c r="AV110" i="1"/>
  <c r="AT111" i="1"/>
  <c r="AU111" i="1"/>
  <c r="AV111" i="1"/>
  <c r="AT112" i="1"/>
  <c r="AU112" i="1"/>
  <c r="AV112" i="1"/>
  <c r="AT113" i="1"/>
  <c r="AU113" i="1"/>
  <c r="AV113" i="1"/>
  <c r="AT114" i="1"/>
  <c r="AU114" i="1"/>
  <c r="AV114" i="1"/>
  <c r="AT115" i="1"/>
  <c r="AU115" i="1"/>
  <c r="AV115" i="1"/>
  <c r="AT116" i="1"/>
  <c r="AU116" i="1"/>
  <c r="AV116" i="1"/>
  <c r="AT117" i="1"/>
  <c r="AU117" i="1"/>
  <c r="AV117" i="1"/>
  <c r="AT118" i="1"/>
  <c r="AU118" i="1"/>
  <c r="AV118" i="1"/>
  <c r="AT119" i="1"/>
  <c r="AU119" i="1"/>
  <c r="AV119" i="1"/>
  <c r="AT120" i="1"/>
  <c r="AU120" i="1"/>
  <c r="AV120" i="1"/>
  <c r="AT121" i="1"/>
  <c r="AU121" i="1"/>
  <c r="AV121" i="1"/>
  <c r="AT122" i="1"/>
  <c r="AU122" i="1"/>
  <c r="AV122" i="1"/>
  <c r="AT123" i="1"/>
  <c r="AU123" i="1"/>
  <c r="AV123" i="1"/>
  <c r="AT124" i="1"/>
  <c r="AU124" i="1"/>
  <c r="AV124" i="1"/>
  <c r="AT125" i="1"/>
  <c r="AU125" i="1"/>
  <c r="AV125" i="1"/>
  <c r="AT126" i="1"/>
  <c r="AU126" i="1"/>
  <c r="AV126" i="1"/>
  <c r="AT127" i="1"/>
  <c r="AU127" i="1"/>
  <c r="AV127" i="1"/>
  <c r="AT128" i="1"/>
  <c r="AU128" i="1"/>
  <c r="AV128" i="1"/>
  <c r="AT129" i="1"/>
  <c r="AU129" i="1"/>
  <c r="AV129" i="1"/>
  <c r="AT130" i="1"/>
  <c r="AU130" i="1"/>
  <c r="AV130" i="1"/>
  <c r="AT131" i="1"/>
  <c r="AU131" i="1"/>
  <c r="AV131" i="1"/>
  <c r="AT132" i="1"/>
  <c r="AU132" i="1"/>
  <c r="AV132" i="1"/>
  <c r="AT133" i="1"/>
  <c r="AU133" i="1"/>
  <c r="AV133" i="1"/>
  <c r="AT134" i="1"/>
  <c r="AU134" i="1"/>
  <c r="AV134" i="1"/>
  <c r="AT135" i="1"/>
  <c r="AU135" i="1"/>
  <c r="AV135" i="1"/>
  <c r="AT136" i="1"/>
  <c r="AU136" i="1"/>
  <c r="AV136" i="1"/>
  <c r="AT137" i="1"/>
  <c r="AU137" i="1"/>
  <c r="AV137" i="1"/>
  <c r="AT138" i="1"/>
  <c r="AU138" i="1"/>
  <c r="AV138" i="1"/>
  <c r="AT139" i="1"/>
  <c r="AU139" i="1"/>
  <c r="AV139" i="1"/>
  <c r="AT140" i="1"/>
  <c r="AU140" i="1"/>
  <c r="AV140" i="1"/>
  <c r="AT141" i="1"/>
  <c r="AU141" i="1"/>
  <c r="AV141" i="1"/>
  <c r="AT142" i="1"/>
  <c r="AU142" i="1"/>
  <c r="AV142" i="1"/>
  <c r="AT143" i="1"/>
  <c r="AU143" i="1"/>
  <c r="AV143" i="1"/>
  <c r="AT144" i="1"/>
  <c r="AU144" i="1"/>
  <c r="AV144" i="1"/>
  <c r="AT145" i="1"/>
  <c r="AU145" i="1"/>
  <c r="AV145" i="1"/>
  <c r="AT146" i="1"/>
  <c r="AU146" i="1"/>
  <c r="AV146" i="1"/>
  <c r="AT147" i="1"/>
  <c r="AU147" i="1"/>
  <c r="AV147" i="1"/>
  <c r="AT148" i="1"/>
  <c r="AU148" i="1"/>
  <c r="AV148" i="1"/>
  <c r="AT149" i="1"/>
  <c r="AU149" i="1"/>
  <c r="AV149" i="1"/>
  <c r="AT150" i="1"/>
  <c r="AU150" i="1"/>
  <c r="AV150" i="1"/>
  <c r="AT151" i="1"/>
  <c r="AU151" i="1"/>
  <c r="AV151" i="1"/>
  <c r="AT152" i="1"/>
  <c r="AU152" i="1"/>
  <c r="AV152" i="1"/>
  <c r="AT153" i="1"/>
  <c r="AU153" i="1"/>
  <c r="AV153" i="1"/>
  <c r="AT154" i="1"/>
  <c r="AU154" i="1"/>
  <c r="AV154" i="1"/>
  <c r="AT155" i="1"/>
  <c r="AU155" i="1"/>
  <c r="AV155" i="1"/>
  <c r="AT156" i="1"/>
  <c r="AU156" i="1"/>
  <c r="AV156" i="1"/>
  <c r="AT157" i="1"/>
  <c r="AU157" i="1"/>
  <c r="AV157" i="1"/>
  <c r="AT158" i="1"/>
  <c r="AU158" i="1"/>
  <c r="AV158" i="1"/>
  <c r="AT159" i="1"/>
  <c r="AU159" i="1"/>
  <c r="AV159" i="1"/>
  <c r="AT160" i="1"/>
  <c r="AU160" i="1"/>
  <c r="AV160" i="1"/>
  <c r="AT161" i="1"/>
  <c r="AU161" i="1"/>
  <c r="AV161" i="1"/>
  <c r="AT162" i="1"/>
  <c r="AU162" i="1"/>
  <c r="AV162" i="1"/>
  <c r="AT163" i="1"/>
  <c r="AU163" i="1"/>
  <c r="AV163" i="1"/>
  <c r="AT164" i="1"/>
  <c r="AU164" i="1"/>
  <c r="AV164" i="1"/>
  <c r="AT165" i="1"/>
  <c r="AU165" i="1"/>
  <c r="AV165" i="1"/>
  <c r="AT166" i="1"/>
  <c r="AU166" i="1"/>
  <c r="AV166" i="1"/>
  <c r="AT167" i="1"/>
  <c r="AU167" i="1"/>
  <c r="AV167" i="1"/>
  <c r="AT168" i="1"/>
  <c r="AU168" i="1"/>
  <c r="AV168" i="1"/>
  <c r="AT169" i="1"/>
  <c r="AU169" i="1"/>
  <c r="AV169" i="1"/>
  <c r="AT170" i="1"/>
  <c r="AU170" i="1"/>
  <c r="AV170" i="1"/>
  <c r="AT171" i="1"/>
  <c r="AU171" i="1"/>
  <c r="AV171" i="1"/>
  <c r="AT172" i="1"/>
  <c r="AU172" i="1"/>
  <c r="AV172" i="1"/>
  <c r="AT173" i="1"/>
  <c r="AU173" i="1"/>
  <c r="AV173" i="1"/>
  <c r="AT174" i="1"/>
  <c r="AU174" i="1"/>
  <c r="AV174" i="1"/>
  <c r="AT175" i="1"/>
  <c r="AU175" i="1"/>
  <c r="AV175" i="1"/>
  <c r="AT176" i="1"/>
  <c r="AU176" i="1"/>
  <c r="AV176" i="1"/>
  <c r="AT177" i="1"/>
  <c r="AU177" i="1"/>
  <c r="AV177" i="1"/>
  <c r="AT178" i="1"/>
  <c r="AU178" i="1"/>
  <c r="AV178" i="1"/>
  <c r="AT179" i="1"/>
  <c r="AU179" i="1"/>
  <c r="AV179" i="1"/>
  <c r="AT180" i="1"/>
  <c r="AU180" i="1"/>
  <c r="AV180" i="1"/>
  <c r="AT181" i="1"/>
  <c r="AU181" i="1"/>
  <c r="AV181" i="1"/>
  <c r="AT182" i="1"/>
  <c r="AU182" i="1"/>
  <c r="AV182" i="1"/>
  <c r="AT183" i="1"/>
  <c r="AU183" i="1"/>
  <c r="AV183" i="1"/>
  <c r="AT184" i="1"/>
  <c r="AU184" i="1"/>
  <c r="AV184" i="1"/>
  <c r="AT185" i="1"/>
  <c r="AU185" i="1"/>
  <c r="AV185" i="1"/>
  <c r="AT186" i="1"/>
  <c r="AU186" i="1"/>
  <c r="AV186" i="1"/>
  <c r="AT187" i="1"/>
  <c r="AU187" i="1"/>
  <c r="AV187" i="1"/>
  <c r="AT188" i="1"/>
  <c r="AU188" i="1"/>
  <c r="AV188" i="1"/>
  <c r="AT189" i="1"/>
  <c r="AU189" i="1"/>
  <c r="AV189" i="1"/>
  <c r="AT190" i="1"/>
  <c r="AU190" i="1"/>
  <c r="AV190" i="1"/>
  <c r="AT191" i="1"/>
  <c r="AU191" i="1"/>
  <c r="AV191" i="1"/>
  <c r="AT192" i="1"/>
  <c r="AU192" i="1"/>
  <c r="AV192" i="1"/>
  <c r="AT193" i="1"/>
  <c r="AU193" i="1"/>
  <c r="AV193" i="1"/>
  <c r="AT194" i="1"/>
  <c r="AU194" i="1"/>
  <c r="AV194" i="1"/>
  <c r="AT195" i="1"/>
  <c r="AU195" i="1"/>
  <c r="AV195" i="1"/>
  <c r="AT196" i="1"/>
  <c r="AU196" i="1"/>
  <c r="AV196" i="1"/>
  <c r="AT197" i="1"/>
  <c r="AU197" i="1"/>
  <c r="AV197" i="1"/>
  <c r="AT198" i="1"/>
  <c r="AU198" i="1"/>
  <c r="AV198" i="1"/>
  <c r="AT199" i="1"/>
  <c r="AU199" i="1"/>
  <c r="AV199" i="1"/>
  <c r="AT200" i="1"/>
  <c r="AU200" i="1"/>
  <c r="AV200" i="1"/>
  <c r="AT201" i="1"/>
  <c r="AU201" i="1"/>
  <c r="AV201" i="1"/>
  <c r="AT202" i="1"/>
  <c r="AU202" i="1"/>
  <c r="AV202" i="1"/>
  <c r="AT203" i="1"/>
  <c r="AU203" i="1"/>
  <c r="AV203" i="1"/>
  <c r="AT204" i="1"/>
  <c r="AU204" i="1"/>
  <c r="AV204" i="1"/>
  <c r="AT205" i="1"/>
  <c r="AU205" i="1"/>
  <c r="AV205" i="1"/>
  <c r="AT206" i="1"/>
  <c r="AU206" i="1"/>
  <c r="AV206" i="1"/>
  <c r="AT207" i="1"/>
  <c r="AU207" i="1"/>
  <c r="AV207" i="1"/>
  <c r="AT208" i="1"/>
  <c r="AU208" i="1"/>
  <c r="AV208" i="1"/>
  <c r="AT209" i="1"/>
  <c r="AU209" i="1"/>
  <c r="AV209" i="1"/>
  <c r="AT210" i="1"/>
  <c r="AU210" i="1"/>
  <c r="AV210" i="1"/>
  <c r="AT211" i="1"/>
  <c r="AU211" i="1"/>
  <c r="AV211" i="1"/>
  <c r="AT212" i="1"/>
  <c r="AU212" i="1"/>
  <c r="AV212" i="1"/>
  <c r="AT213" i="1"/>
  <c r="AU213" i="1"/>
  <c r="AV213" i="1"/>
  <c r="AT214" i="1"/>
  <c r="AU214" i="1"/>
  <c r="AV214" i="1"/>
  <c r="AT215" i="1"/>
  <c r="AU215" i="1"/>
  <c r="AV215" i="1"/>
  <c r="AT216" i="1"/>
  <c r="AU216" i="1"/>
  <c r="AV216" i="1"/>
  <c r="AT217" i="1"/>
  <c r="AU217" i="1"/>
  <c r="AV217" i="1"/>
  <c r="AT218" i="1"/>
  <c r="AU218" i="1"/>
  <c r="AV218" i="1"/>
  <c r="AT219" i="1"/>
  <c r="AU219" i="1"/>
  <c r="AV219" i="1"/>
  <c r="AT220" i="1"/>
  <c r="AU220" i="1"/>
  <c r="AV220" i="1"/>
  <c r="AT221" i="1"/>
  <c r="AU221" i="1"/>
  <c r="AV221" i="1"/>
  <c r="AT222" i="1"/>
  <c r="AU222" i="1"/>
  <c r="AV222" i="1"/>
  <c r="AT223" i="1"/>
  <c r="AU223" i="1"/>
  <c r="AV223" i="1"/>
  <c r="AT224" i="1"/>
  <c r="AU224" i="1"/>
  <c r="AV224" i="1"/>
  <c r="AT225" i="1"/>
  <c r="AU225" i="1"/>
  <c r="AV225" i="1"/>
  <c r="AT226" i="1"/>
  <c r="AU226" i="1"/>
  <c r="AV226" i="1"/>
  <c r="AT227" i="1"/>
  <c r="AU227" i="1"/>
  <c r="AV227" i="1"/>
  <c r="AT228" i="1"/>
  <c r="AU228" i="1"/>
  <c r="AV228" i="1"/>
  <c r="AT229" i="1"/>
  <c r="AU229" i="1"/>
  <c r="AV229" i="1"/>
  <c r="AT230" i="1"/>
  <c r="AU230" i="1"/>
  <c r="AV230" i="1"/>
  <c r="AT231" i="1"/>
  <c r="AU231" i="1"/>
  <c r="AV231" i="1"/>
  <c r="AT232" i="1"/>
  <c r="AU232" i="1"/>
  <c r="AV232" i="1"/>
  <c r="AT233" i="1"/>
  <c r="AU233" i="1"/>
  <c r="AV233" i="1"/>
  <c r="AT234" i="1"/>
  <c r="AU234" i="1"/>
  <c r="AV234" i="1"/>
  <c r="AT235" i="1"/>
  <c r="AU235" i="1"/>
  <c r="AV235" i="1"/>
  <c r="AT236" i="1"/>
  <c r="AU236" i="1"/>
  <c r="AV236" i="1"/>
  <c r="AT237" i="1"/>
  <c r="AU237" i="1"/>
  <c r="AV237" i="1"/>
  <c r="AT238" i="1"/>
  <c r="AU238" i="1"/>
  <c r="AV238" i="1"/>
  <c r="AT239" i="1"/>
  <c r="AU239" i="1"/>
  <c r="AV239" i="1"/>
  <c r="AT240" i="1"/>
  <c r="AU240" i="1"/>
  <c r="AV240" i="1"/>
  <c r="AT241" i="1"/>
  <c r="AU241" i="1"/>
  <c r="AV241" i="1"/>
  <c r="AT242" i="1"/>
  <c r="AU242" i="1"/>
  <c r="AV242" i="1"/>
  <c r="AT243" i="1"/>
  <c r="AU243" i="1"/>
  <c r="AV243" i="1"/>
  <c r="AT244" i="1"/>
  <c r="AU244" i="1"/>
  <c r="AV244" i="1"/>
  <c r="AT245" i="1"/>
  <c r="AU245" i="1"/>
  <c r="AV245" i="1"/>
  <c r="AT246" i="1"/>
  <c r="AU246" i="1"/>
  <c r="AV246" i="1"/>
  <c r="AT247" i="1"/>
  <c r="AU247" i="1"/>
  <c r="AV247" i="1"/>
  <c r="AT248" i="1"/>
  <c r="AU248" i="1"/>
  <c r="AV248" i="1"/>
  <c r="AT249" i="1"/>
  <c r="AU249" i="1"/>
  <c r="AV249" i="1"/>
  <c r="AT250" i="1"/>
  <c r="AU250" i="1"/>
  <c r="AV250" i="1"/>
  <c r="AT251" i="1"/>
  <c r="AU251" i="1"/>
  <c r="AV251" i="1"/>
  <c r="AT252" i="1"/>
  <c r="AU252" i="1"/>
  <c r="AV252" i="1"/>
  <c r="AT253" i="1"/>
  <c r="AU253" i="1"/>
  <c r="AV253" i="1"/>
  <c r="AT254" i="1"/>
  <c r="AU254" i="1"/>
  <c r="AV254" i="1"/>
  <c r="AT255" i="1"/>
  <c r="AU255" i="1"/>
  <c r="AV255" i="1"/>
  <c r="AT256" i="1"/>
  <c r="AU256" i="1"/>
  <c r="AV256" i="1"/>
  <c r="AT257" i="1"/>
  <c r="AU257" i="1"/>
  <c r="AV257" i="1"/>
  <c r="AT258" i="1"/>
  <c r="AU258" i="1"/>
  <c r="AV258" i="1"/>
  <c r="AT259" i="1"/>
  <c r="AU259" i="1"/>
  <c r="AV259" i="1"/>
  <c r="AT260" i="1"/>
  <c r="AU260" i="1"/>
  <c r="AV260" i="1"/>
  <c r="AT261" i="1"/>
  <c r="AU261" i="1"/>
  <c r="AV261" i="1"/>
  <c r="AT262" i="1"/>
  <c r="AU262" i="1"/>
  <c r="AV262" i="1"/>
  <c r="AT263" i="1"/>
  <c r="AU263" i="1"/>
  <c r="AV263" i="1"/>
  <c r="AT264" i="1"/>
  <c r="AU264" i="1"/>
  <c r="AV264" i="1"/>
  <c r="AT265" i="1"/>
  <c r="AU265" i="1"/>
  <c r="AV265" i="1"/>
  <c r="AT266" i="1"/>
  <c r="AU266" i="1"/>
  <c r="AV266" i="1"/>
  <c r="AT267" i="1"/>
  <c r="AU267" i="1"/>
  <c r="AV267" i="1"/>
  <c r="AT268" i="1"/>
  <c r="AU268" i="1"/>
  <c r="AV268" i="1"/>
  <c r="AT269" i="1"/>
  <c r="AU269" i="1"/>
  <c r="AV269" i="1"/>
  <c r="AT270" i="1"/>
  <c r="AU270" i="1"/>
  <c r="AV270" i="1"/>
  <c r="AT271" i="1"/>
  <c r="AU271" i="1"/>
  <c r="AV271" i="1"/>
  <c r="AT272" i="1"/>
  <c r="AU272" i="1"/>
  <c r="AV272" i="1"/>
  <c r="AT273" i="1"/>
  <c r="AU273" i="1"/>
  <c r="AV273" i="1"/>
  <c r="AT274" i="1"/>
  <c r="AU274" i="1"/>
  <c r="AV274" i="1"/>
  <c r="AT275" i="1"/>
  <c r="AU275" i="1"/>
  <c r="AV275" i="1"/>
  <c r="AT276" i="1"/>
  <c r="AU276" i="1"/>
  <c r="AV276" i="1"/>
  <c r="AT277" i="1"/>
  <c r="AU277" i="1"/>
  <c r="AV277" i="1"/>
  <c r="AT278" i="1"/>
  <c r="AU278" i="1"/>
  <c r="AV278" i="1"/>
  <c r="AT279" i="1"/>
  <c r="AU279" i="1"/>
  <c r="AV279" i="1"/>
  <c r="AT280" i="1"/>
  <c r="AU280" i="1"/>
  <c r="AV280" i="1"/>
  <c r="AT281" i="1"/>
  <c r="AU281" i="1"/>
  <c r="AV281" i="1"/>
  <c r="AT282" i="1"/>
  <c r="AU282" i="1"/>
  <c r="AV282" i="1"/>
  <c r="AT283" i="1"/>
  <c r="AU283" i="1"/>
  <c r="AV283" i="1"/>
  <c r="AT284" i="1"/>
  <c r="AU284" i="1"/>
  <c r="AV284" i="1"/>
  <c r="AT285" i="1"/>
  <c r="AU285" i="1"/>
  <c r="AV285" i="1"/>
  <c r="AT286" i="1"/>
  <c r="AU286" i="1"/>
  <c r="AV286" i="1"/>
  <c r="AT287" i="1"/>
  <c r="AU287" i="1"/>
  <c r="AV287" i="1"/>
  <c r="AT288" i="1"/>
  <c r="AU288" i="1"/>
  <c r="AV288" i="1"/>
  <c r="AT289" i="1"/>
  <c r="AU289" i="1"/>
  <c r="AV289" i="1"/>
  <c r="AT290" i="1"/>
  <c r="AU290" i="1"/>
  <c r="AV290" i="1"/>
  <c r="AT291" i="1"/>
  <c r="AU291" i="1"/>
  <c r="AV291" i="1"/>
  <c r="AT292" i="1"/>
  <c r="AU292" i="1"/>
  <c r="AV292" i="1"/>
  <c r="AT293" i="1"/>
  <c r="AU293" i="1"/>
  <c r="AV293" i="1"/>
  <c r="AT294" i="1"/>
  <c r="AU294" i="1"/>
  <c r="AV294" i="1"/>
  <c r="AT295" i="1"/>
  <c r="AU295" i="1"/>
  <c r="AV295" i="1"/>
  <c r="AT296" i="1"/>
  <c r="AU296" i="1"/>
  <c r="AV296" i="1"/>
  <c r="AT297" i="1"/>
  <c r="AU297" i="1"/>
  <c r="AV297" i="1"/>
  <c r="AT298" i="1"/>
  <c r="AU298" i="1"/>
  <c r="AV298" i="1"/>
  <c r="AT299" i="1"/>
  <c r="AU299" i="1"/>
  <c r="AV299" i="1"/>
  <c r="AT300" i="1"/>
  <c r="AU300" i="1"/>
  <c r="AV300" i="1"/>
  <c r="AT301" i="1"/>
  <c r="AU301" i="1"/>
  <c r="AV301" i="1"/>
  <c r="AT302" i="1"/>
  <c r="AU302" i="1"/>
  <c r="AV302" i="1"/>
  <c r="AT303" i="1"/>
  <c r="AU303" i="1"/>
  <c r="AV303" i="1"/>
  <c r="AT304" i="1"/>
  <c r="AU304" i="1"/>
  <c r="AV304" i="1"/>
  <c r="AT305" i="1"/>
  <c r="AU305" i="1"/>
  <c r="AV305" i="1"/>
  <c r="AT306" i="1"/>
  <c r="AU306" i="1"/>
  <c r="AV306" i="1"/>
  <c r="AT307" i="1"/>
  <c r="AU307" i="1"/>
  <c r="AV307" i="1"/>
  <c r="AT308" i="1"/>
  <c r="AU308" i="1"/>
  <c r="AV308" i="1"/>
  <c r="AT309" i="1"/>
  <c r="AU309" i="1"/>
  <c r="AV309" i="1"/>
  <c r="AT310" i="1"/>
  <c r="AU310" i="1"/>
  <c r="AV310" i="1"/>
  <c r="AT311" i="1"/>
  <c r="AU311" i="1"/>
  <c r="AV311" i="1"/>
  <c r="AT312" i="1"/>
  <c r="AU312" i="1"/>
  <c r="AV312" i="1"/>
  <c r="AT313" i="1"/>
  <c r="AU313" i="1"/>
  <c r="AV313" i="1"/>
  <c r="AT314" i="1"/>
  <c r="AU314" i="1"/>
  <c r="AV314" i="1"/>
  <c r="AT315" i="1"/>
  <c r="AU315" i="1"/>
  <c r="AV315" i="1"/>
  <c r="AT316" i="1"/>
  <c r="AU316" i="1"/>
  <c r="AV316" i="1"/>
  <c r="AT317" i="1"/>
  <c r="AU317" i="1"/>
  <c r="AV317" i="1"/>
  <c r="AT318" i="1"/>
  <c r="AU318" i="1"/>
  <c r="AV318" i="1"/>
  <c r="AT319" i="1"/>
  <c r="AU319" i="1"/>
  <c r="AV319" i="1"/>
  <c r="AT320" i="1"/>
  <c r="AU320" i="1"/>
  <c r="AV320" i="1"/>
  <c r="AT321" i="1"/>
  <c r="AU321" i="1"/>
  <c r="AV321" i="1"/>
  <c r="AT322" i="1"/>
  <c r="AU322" i="1"/>
  <c r="AV322" i="1"/>
  <c r="AT323" i="1"/>
  <c r="AU323" i="1"/>
  <c r="AV323" i="1"/>
  <c r="AT324" i="1"/>
  <c r="AU324" i="1"/>
  <c r="AV324" i="1"/>
  <c r="AT325" i="1"/>
  <c r="AU325" i="1"/>
  <c r="AV325" i="1"/>
  <c r="AT326" i="1"/>
  <c r="AU326" i="1"/>
  <c r="AV326" i="1"/>
  <c r="AT327" i="1"/>
  <c r="AU327" i="1"/>
  <c r="AV327" i="1"/>
  <c r="AT328" i="1"/>
  <c r="AU328" i="1"/>
  <c r="AV328" i="1"/>
  <c r="AT329" i="1"/>
  <c r="AU329" i="1"/>
  <c r="AV329" i="1"/>
  <c r="AT330" i="1"/>
  <c r="AU330" i="1"/>
  <c r="AV330" i="1"/>
  <c r="AT331" i="1"/>
  <c r="AU331" i="1"/>
  <c r="AV331" i="1"/>
  <c r="AT332" i="1"/>
  <c r="AU332" i="1"/>
  <c r="AV332" i="1"/>
  <c r="AT333" i="1"/>
  <c r="AU333" i="1"/>
  <c r="AV333" i="1"/>
  <c r="AT334" i="1"/>
  <c r="AU334" i="1"/>
  <c r="AV334" i="1"/>
  <c r="AT335" i="1"/>
  <c r="AU335" i="1"/>
  <c r="AV335" i="1"/>
  <c r="AT336" i="1"/>
  <c r="AU336" i="1"/>
  <c r="AV336" i="1"/>
  <c r="AT337" i="1"/>
  <c r="AU337" i="1"/>
  <c r="AV337" i="1"/>
  <c r="AT338" i="1"/>
  <c r="AU338" i="1"/>
  <c r="AV338" i="1"/>
  <c r="AT339" i="1"/>
  <c r="AU339" i="1"/>
  <c r="AV339" i="1"/>
  <c r="AT340" i="1"/>
  <c r="AU340" i="1"/>
  <c r="AV340" i="1"/>
  <c r="AT341" i="1"/>
  <c r="AU341" i="1"/>
  <c r="AV341" i="1"/>
  <c r="AT342" i="1"/>
  <c r="AU342" i="1"/>
  <c r="AV342" i="1"/>
  <c r="AT343" i="1"/>
  <c r="AU343" i="1"/>
  <c r="AV343" i="1"/>
  <c r="AT344" i="1"/>
  <c r="AU344" i="1"/>
  <c r="AV344" i="1"/>
  <c r="AT345" i="1"/>
  <c r="AU345" i="1"/>
  <c r="AV345" i="1"/>
  <c r="AT346" i="1"/>
  <c r="AU346" i="1"/>
  <c r="AV346" i="1"/>
  <c r="AT347" i="1"/>
  <c r="AU347" i="1"/>
  <c r="AV347" i="1"/>
  <c r="AT348" i="1"/>
  <c r="AU348" i="1"/>
  <c r="AV348" i="1"/>
  <c r="AT349" i="1"/>
  <c r="AU349" i="1"/>
  <c r="AV349" i="1"/>
  <c r="AT350" i="1"/>
  <c r="AU350" i="1"/>
  <c r="AV350" i="1"/>
  <c r="AT351" i="1"/>
  <c r="AU351" i="1"/>
  <c r="AV351" i="1"/>
  <c r="AT352" i="1"/>
  <c r="AU352" i="1"/>
  <c r="AV352" i="1"/>
  <c r="AT353" i="1"/>
  <c r="AU353" i="1"/>
  <c r="AV353" i="1"/>
  <c r="AT354" i="1"/>
  <c r="AU354" i="1"/>
  <c r="AV354" i="1"/>
  <c r="AT355" i="1"/>
  <c r="AU355" i="1"/>
  <c r="AV355" i="1"/>
  <c r="AT356" i="1"/>
  <c r="AU356" i="1"/>
  <c r="AV356" i="1"/>
  <c r="AT357" i="1"/>
  <c r="AU357" i="1"/>
  <c r="AV357" i="1"/>
  <c r="AT358" i="1"/>
  <c r="AU358" i="1"/>
  <c r="AV358" i="1"/>
  <c r="AT359" i="1"/>
  <c r="AU359" i="1"/>
  <c r="AV359" i="1"/>
  <c r="AT360" i="1"/>
  <c r="AU360" i="1"/>
  <c r="AV360" i="1"/>
  <c r="AT361" i="1"/>
  <c r="AU361" i="1"/>
  <c r="AV361" i="1"/>
  <c r="AT362" i="1"/>
  <c r="AU362" i="1"/>
  <c r="AV362" i="1"/>
  <c r="AT363" i="1"/>
  <c r="AU363" i="1"/>
  <c r="AV363" i="1"/>
  <c r="AT364" i="1"/>
  <c r="AU364" i="1"/>
  <c r="AV364" i="1"/>
  <c r="AT365" i="1"/>
  <c r="AU365" i="1"/>
  <c r="AV365" i="1"/>
  <c r="AT366" i="1"/>
  <c r="AU366" i="1"/>
  <c r="AV366" i="1"/>
  <c r="AT367" i="1"/>
  <c r="AU367" i="1"/>
  <c r="AV367" i="1"/>
  <c r="AT368" i="1"/>
  <c r="AU368" i="1"/>
  <c r="AV368" i="1"/>
  <c r="AT369" i="1"/>
  <c r="AU369" i="1"/>
  <c r="AV369" i="1"/>
  <c r="AT370" i="1"/>
  <c r="AU370" i="1"/>
  <c r="AV370" i="1"/>
  <c r="AT371" i="1"/>
  <c r="AU371" i="1"/>
  <c r="AV371" i="1"/>
  <c r="AT372" i="1"/>
  <c r="AU372" i="1"/>
  <c r="AV372" i="1"/>
  <c r="AT373" i="1"/>
  <c r="AU373" i="1"/>
  <c r="AV373" i="1"/>
  <c r="AT374" i="1"/>
  <c r="AU374" i="1"/>
  <c r="AV374" i="1"/>
  <c r="AT375" i="1"/>
  <c r="AU375" i="1"/>
  <c r="AV375" i="1"/>
  <c r="AT376" i="1"/>
  <c r="AU376" i="1"/>
  <c r="AV376" i="1"/>
  <c r="AT377" i="1"/>
  <c r="AU377" i="1"/>
  <c r="AV377" i="1"/>
  <c r="AT378" i="1"/>
  <c r="AU378" i="1"/>
  <c r="AV378" i="1"/>
  <c r="AT379" i="1"/>
  <c r="AU379" i="1"/>
  <c r="AV379" i="1"/>
  <c r="AT380" i="1"/>
  <c r="AU380" i="1"/>
  <c r="AV380" i="1"/>
  <c r="AT381" i="1"/>
  <c r="AU381" i="1"/>
  <c r="AV381" i="1"/>
  <c r="AT382" i="1"/>
  <c r="AU382" i="1"/>
  <c r="AV382" i="1"/>
  <c r="AT383" i="1"/>
  <c r="AU383" i="1"/>
  <c r="AV383" i="1"/>
  <c r="AT384" i="1"/>
  <c r="AU384" i="1"/>
  <c r="AV384" i="1"/>
  <c r="AT385" i="1"/>
  <c r="AU385" i="1"/>
  <c r="AV385" i="1"/>
  <c r="AT386" i="1"/>
  <c r="AU386" i="1"/>
  <c r="AV386" i="1"/>
  <c r="AT387" i="1"/>
  <c r="AU387" i="1"/>
  <c r="AV387" i="1"/>
  <c r="AT388" i="1"/>
  <c r="AU388" i="1"/>
  <c r="AV388" i="1"/>
  <c r="AT389" i="1"/>
  <c r="AU389" i="1"/>
  <c r="AV389" i="1"/>
  <c r="AT390" i="1"/>
  <c r="AU390" i="1"/>
  <c r="AV390" i="1"/>
  <c r="AT391" i="1"/>
  <c r="AU391" i="1"/>
  <c r="AV391" i="1"/>
  <c r="AT392" i="1"/>
  <c r="AU392" i="1"/>
  <c r="AV392" i="1"/>
  <c r="AT393" i="1"/>
  <c r="AU393" i="1"/>
  <c r="AV393" i="1"/>
  <c r="AT394" i="1"/>
  <c r="AU394" i="1"/>
  <c r="AV394" i="1"/>
  <c r="AT395" i="1"/>
  <c r="AU395" i="1"/>
  <c r="AV395" i="1"/>
  <c r="AT396" i="1"/>
  <c r="AU396" i="1"/>
  <c r="AV396" i="1"/>
  <c r="AT397" i="1"/>
  <c r="AU397" i="1"/>
  <c r="AV397" i="1"/>
  <c r="AT398" i="1"/>
  <c r="AU398" i="1"/>
  <c r="AV398" i="1"/>
  <c r="AT399" i="1"/>
  <c r="AU399" i="1"/>
  <c r="AV399" i="1"/>
  <c r="AT400" i="1"/>
  <c r="AU400" i="1"/>
  <c r="AV400" i="1"/>
  <c r="AT401" i="1"/>
  <c r="AU401" i="1"/>
  <c r="AV401" i="1"/>
  <c r="AT402" i="1"/>
  <c r="AU402" i="1"/>
  <c r="AV402" i="1"/>
  <c r="AT403" i="1"/>
  <c r="AU403" i="1"/>
  <c r="AV403" i="1"/>
  <c r="AT404" i="1"/>
  <c r="AU404" i="1"/>
  <c r="AV404" i="1"/>
  <c r="AT405" i="1"/>
  <c r="AU405" i="1"/>
  <c r="AV405" i="1"/>
  <c r="AT406" i="1"/>
  <c r="AU406" i="1"/>
  <c r="AV406" i="1"/>
  <c r="AT407" i="1"/>
  <c r="AU407" i="1"/>
  <c r="AV407" i="1"/>
  <c r="AT408" i="1"/>
  <c r="AU408" i="1"/>
  <c r="AV408" i="1"/>
  <c r="AT409" i="1"/>
  <c r="AU409" i="1"/>
  <c r="AV409" i="1"/>
  <c r="AT410" i="1"/>
  <c r="AU410" i="1"/>
  <c r="AV410" i="1"/>
  <c r="AT411" i="1"/>
  <c r="AU411" i="1"/>
  <c r="AV411" i="1"/>
  <c r="AT412" i="1"/>
  <c r="AU412" i="1"/>
  <c r="AV412" i="1"/>
  <c r="AT413" i="1"/>
  <c r="AU413" i="1"/>
  <c r="AV413" i="1"/>
  <c r="AT414" i="1"/>
  <c r="AU414" i="1"/>
  <c r="AV414" i="1"/>
  <c r="AT415" i="1"/>
  <c r="AU415" i="1"/>
  <c r="AV415" i="1"/>
  <c r="AT416" i="1"/>
  <c r="AU416" i="1"/>
  <c r="AV416" i="1"/>
  <c r="AT417" i="1"/>
  <c r="AU417" i="1"/>
  <c r="AV417" i="1"/>
  <c r="AT418" i="1"/>
  <c r="AU418" i="1"/>
  <c r="AV418" i="1"/>
  <c r="AT419" i="1"/>
  <c r="AU419" i="1"/>
  <c r="AV419" i="1"/>
  <c r="AT420" i="1"/>
  <c r="AU420" i="1"/>
  <c r="AV420" i="1"/>
  <c r="AT421" i="1"/>
  <c r="AU421" i="1"/>
  <c r="AV421" i="1"/>
  <c r="AT422" i="1"/>
  <c r="AU422" i="1"/>
  <c r="AV422" i="1"/>
  <c r="AT423" i="1"/>
  <c r="AU423" i="1"/>
  <c r="AV423" i="1"/>
  <c r="AT424" i="1"/>
  <c r="AU424" i="1"/>
  <c r="AV424" i="1"/>
  <c r="AT425" i="1"/>
  <c r="AU425" i="1"/>
  <c r="AV425" i="1"/>
  <c r="AT426" i="1"/>
  <c r="AU426" i="1"/>
  <c r="AV426" i="1"/>
  <c r="AT427" i="1"/>
  <c r="AU427" i="1"/>
  <c r="AV427" i="1"/>
  <c r="AT428" i="1"/>
  <c r="AU428" i="1"/>
  <c r="AV428" i="1"/>
  <c r="AT429" i="1"/>
  <c r="AU429" i="1"/>
  <c r="AV429" i="1"/>
  <c r="AT430" i="1"/>
  <c r="AU430" i="1"/>
  <c r="AV430" i="1"/>
  <c r="AT431" i="1"/>
  <c r="AU431" i="1"/>
  <c r="AV431" i="1"/>
  <c r="AT432" i="1"/>
  <c r="AU432" i="1"/>
  <c r="AV432" i="1"/>
  <c r="AT433" i="1"/>
  <c r="AU433" i="1"/>
  <c r="AV433" i="1"/>
  <c r="AT434" i="1"/>
  <c r="AU434" i="1"/>
  <c r="AV434" i="1"/>
  <c r="AT435" i="1"/>
  <c r="AU435" i="1"/>
  <c r="AV435" i="1"/>
  <c r="AT436" i="1"/>
  <c r="AU436" i="1"/>
  <c r="AV436" i="1"/>
  <c r="AT437" i="1"/>
  <c r="AU437" i="1"/>
  <c r="AV437" i="1"/>
  <c r="AT438" i="1"/>
  <c r="AU438" i="1"/>
  <c r="AV438" i="1"/>
  <c r="AT439" i="1"/>
  <c r="AU439" i="1"/>
  <c r="AV439" i="1"/>
  <c r="AT440" i="1"/>
  <c r="AU440" i="1"/>
  <c r="AV440" i="1"/>
  <c r="AT441" i="1"/>
  <c r="AU441" i="1"/>
  <c r="AV441" i="1"/>
  <c r="AT442" i="1"/>
  <c r="AU442" i="1"/>
  <c r="AV442" i="1"/>
  <c r="AT443" i="1"/>
  <c r="AU443" i="1"/>
  <c r="AV443" i="1"/>
  <c r="AT444" i="1"/>
  <c r="AU444" i="1"/>
  <c r="AV444" i="1"/>
  <c r="AT445" i="1"/>
  <c r="AU445" i="1"/>
  <c r="AV445" i="1"/>
  <c r="AT446" i="1"/>
  <c r="AU446" i="1"/>
  <c r="AV446" i="1"/>
  <c r="AT447" i="1"/>
  <c r="AU447" i="1"/>
  <c r="AV447" i="1"/>
  <c r="AT448" i="1"/>
  <c r="AU448" i="1"/>
  <c r="AV448" i="1"/>
  <c r="AT449" i="1"/>
  <c r="AU449" i="1"/>
  <c r="AV449" i="1"/>
  <c r="AT450" i="1"/>
  <c r="AU450" i="1"/>
  <c r="AV450" i="1"/>
  <c r="AT451" i="1"/>
  <c r="AU451" i="1"/>
  <c r="AV451" i="1"/>
  <c r="AT452" i="1"/>
  <c r="AU452" i="1"/>
  <c r="AV452" i="1"/>
  <c r="AT453" i="1"/>
  <c r="AU453" i="1"/>
  <c r="AV453" i="1"/>
  <c r="AT454" i="1"/>
  <c r="AU454" i="1"/>
  <c r="AV454" i="1"/>
  <c r="AT455" i="1"/>
  <c r="AU455" i="1"/>
  <c r="AV455" i="1"/>
  <c r="AT456" i="1"/>
  <c r="AU456" i="1"/>
  <c r="AV456" i="1"/>
  <c r="AT457" i="1"/>
  <c r="AU457" i="1"/>
  <c r="AV457" i="1"/>
  <c r="AT458" i="1"/>
  <c r="AU458" i="1"/>
  <c r="AV458" i="1"/>
  <c r="AT459" i="1"/>
  <c r="AU459" i="1"/>
  <c r="AV459" i="1"/>
  <c r="AT460" i="1"/>
  <c r="AU460" i="1"/>
  <c r="AV460" i="1"/>
  <c r="AT461" i="1"/>
  <c r="AU461" i="1"/>
  <c r="AV461" i="1"/>
  <c r="AT462" i="1"/>
  <c r="AU462" i="1"/>
  <c r="AV462" i="1"/>
  <c r="AT463" i="1"/>
  <c r="AU463" i="1"/>
  <c r="AV463" i="1"/>
  <c r="AT464" i="1"/>
  <c r="AU464" i="1"/>
  <c r="AV464" i="1"/>
  <c r="AT465" i="1"/>
  <c r="AU465" i="1"/>
  <c r="AV465" i="1"/>
  <c r="AT466" i="1"/>
  <c r="AU466" i="1"/>
  <c r="AV466" i="1"/>
  <c r="AT467" i="1"/>
  <c r="AU467" i="1"/>
  <c r="AV467" i="1"/>
  <c r="AT468" i="1"/>
  <c r="AU468" i="1"/>
  <c r="AV468" i="1"/>
  <c r="AT469" i="1"/>
  <c r="AU469" i="1"/>
  <c r="AV469" i="1"/>
  <c r="AT470" i="1"/>
  <c r="AU470" i="1"/>
  <c r="AV470" i="1"/>
  <c r="AT471" i="1"/>
  <c r="AU471" i="1"/>
  <c r="AV471" i="1"/>
  <c r="AT472" i="1"/>
  <c r="AU472" i="1"/>
  <c r="AV472" i="1"/>
  <c r="AT473" i="1"/>
  <c r="AU473" i="1"/>
  <c r="AV473" i="1"/>
  <c r="AT474" i="1"/>
  <c r="AU474" i="1"/>
  <c r="AV474" i="1"/>
  <c r="AT475" i="1"/>
  <c r="AU475" i="1"/>
  <c r="AV475" i="1"/>
  <c r="AT476" i="1"/>
  <c r="AU476" i="1"/>
  <c r="AV476" i="1"/>
  <c r="AT477" i="1"/>
  <c r="AU477" i="1"/>
  <c r="AV477" i="1"/>
  <c r="AT478" i="1"/>
  <c r="AU478" i="1"/>
  <c r="AV478" i="1"/>
  <c r="AT479" i="1"/>
  <c r="AU479" i="1"/>
  <c r="AV479" i="1"/>
  <c r="AT480" i="1"/>
  <c r="AU480" i="1"/>
  <c r="AV480" i="1"/>
  <c r="AT481" i="1"/>
  <c r="AU481" i="1"/>
  <c r="AV481" i="1"/>
  <c r="AT482" i="1"/>
  <c r="AU482" i="1"/>
  <c r="AV482" i="1"/>
  <c r="AT483" i="1"/>
  <c r="AU483" i="1"/>
  <c r="AV483" i="1"/>
  <c r="AT484" i="1"/>
  <c r="AU484" i="1"/>
  <c r="AV484" i="1"/>
  <c r="AT485" i="1"/>
  <c r="AU485" i="1"/>
  <c r="AV485" i="1"/>
  <c r="AT486" i="1"/>
  <c r="AU486" i="1"/>
  <c r="AV486" i="1"/>
  <c r="AT487" i="1"/>
  <c r="AU487" i="1"/>
  <c r="AV487" i="1"/>
  <c r="AT488" i="1"/>
  <c r="AU488" i="1"/>
  <c r="AV488" i="1"/>
  <c r="AT489" i="1"/>
  <c r="AU489" i="1"/>
  <c r="AV489" i="1"/>
  <c r="AT490" i="1"/>
  <c r="AU490" i="1"/>
  <c r="AV490" i="1"/>
  <c r="AT491" i="1"/>
  <c r="AU491" i="1"/>
  <c r="AV491" i="1"/>
  <c r="AT492" i="1"/>
  <c r="AU492" i="1"/>
  <c r="AV492" i="1"/>
  <c r="AT493" i="1"/>
  <c r="AU493" i="1"/>
  <c r="AV493" i="1"/>
  <c r="AT494" i="1"/>
  <c r="AU494" i="1"/>
  <c r="AV494" i="1"/>
  <c r="AT495" i="1"/>
  <c r="AU495" i="1"/>
  <c r="AV495" i="1"/>
  <c r="AT496" i="1"/>
  <c r="AU496" i="1"/>
  <c r="AV496" i="1"/>
  <c r="AT497" i="1"/>
  <c r="AU497" i="1"/>
  <c r="AV497" i="1"/>
  <c r="AT498" i="1"/>
  <c r="AU498" i="1"/>
  <c r="AV498" i="1"/>
  <c r="AT499" i="1"/>
  <c r="AU499" i="1"/>
  <c r="AV499" i="1"/>
  <c r="AT500" i="1"/>
  <c r="AU500" i="1"/>
  <c r="AV500" i="1"/>
  <c r="AT501" i="1"/>
  <c r="AU501" i="1"/>
  <c r="AV501" i="1"/>
  <c r="AT502" i="1"/>
  <c r="AU502" i="1"/>
  <c r="AV502" i="1"/>
  <c r="AT503" i="1"/>
  <c r="AU503" i="1"/>
  <c r="AV503" i="1"/>
  <c r="AT504" i="1"/>
  <c r="AU504" i="1"/>
  <c r="AV504" i="1"/>
  <c r="AT505" i="1"/>
  <c r="AU505" i="1"/>
  <c r="AV505" i="1"/>
  <c r="AT506" i="1"/>
  <c r="AU506" i="1"/>
  <c r="AV506" i="1"/>
  <c r="AT507" i="1"/>
  <c r="AU507" i="1"/>
  <c r="AV507" i="1"/>
  <c r="AT508" i="1"/>
  <c r="AU508" i="1"/>
  <c r="AV508" i="1"/>
  <c r="AT509" i="1"/>
  <c r="AU509" i="1"/>
  <c r="AV509" i="1"/>
  <c r="AT510" i="1"/>
  <c r="AU510" i="1"/>
  <c r="AV510" i="1"/>
  <c r="AT511" i="1"/>
  <c r="AU511" i="1"/>
  <c r="AV511" i="1"/>
  <c r="AT512" i="1"/>
  <c r="AU512" i="1"/>
  <c r="AV512" i="1"/>
  <c r="AT513" i="1"/>
  <c r="AU513" i="1"/>
  <c r="AV513" i="1"/>
  <c r="AT514" i="1"/>
  <c r="AU514" i="1"/>
  <c r="AV514" i="1"/>
  <c r="AT515" i="1"/>
  <c r="AU515" i="1"/>
  <c r="AV515" i="1"/>
  <c r="AT516" i="1"/>
  <c r="AU516" i="1"/>
  <c r="AV516" i="1"/>
  <c r="AT517" i="1"/>
  <c r="AU517" i="1"/>
  <c r="AV517" i="1"/>
  <c r="AT518" i="1"/>
  <c r="AU518" i="1"/>
  <c r="AV518" i="1"/>
  <c r="AT519" i="1"/>
  <c r="AU519" i="1"/>
  <c r="AV519" i="1"/>
  <c r="AT520" i="1"/>
  <c r="AU520" i="1"/>
  <c r="AV520" i="1"/>
  <c r="AT521" i="1"/>
  <c r="AU521" i="1"/>
  <c r="AV521" i="1"/>
  <c r="AT522" i="1"/>
  <c r="AU522" i="1"/>
  <c r="AV522" i="1"/>
  <c r="AT523" i="1"/>
  <c r="AU523" i="1"/>
  <c r="AV523" i="1"/>
  <c r="AT524" i="1"/>
  <c r="AU524" i="1"/>
  <c r="AV524" i="1"/>
  <c r="AT525" i="1"/>
  <c r="AU525" i="1"/>
  <c r="AV525" i="1"/>
  <c r="AT526" i="1"/>
  <c r="AU526" i="1"/>
  <c r="AV526" i="1"/>
  <c r="AT527" i="1"/>
  <c r="AU527" i="1"/>
  <c r="AV527" i="1"/>
  <c r="AT528" i="1"/>
  <c r="AU528" i="1"/>
  <c r="AV528" i="1"/>
  <c r="AT529" i="1"/>
  <c r="AU529" i="1"/>
  <c r="AV529" i="1"/>
  <c r="AT530" i="1"/>
  <c r="AU530" i="1"/>
  <c r="AV530" i="1"/>
  <c r="AT531" i="1"/>
  <c r="AU531" i="1"/>
  <c r="AV531" i="1"/>
  <c r="AT532" i="1"/>
  <c r="AU532" i="1"/>
  <c r="AV532" i="1"/>
  <c r="AT533" i="1"/>
  <c r="AU533" i="1"/>
  <c r="AV533" i="1"/>
  <c r="AT534" i="1"/>
  <c r="AU534" i="1"/>
  <c r="AV534" i="1"/>
  <c r="AT535" i="1"/>
  <c r="AU535" i="1"/>
  <c r="AV535" i="1"/>
  <c r="AT536" i="1"/>
  <c r="AU536" i="1"/>
  <c r="AV536" i="1"/>
  <c r="AT537" i="1"/>
  <c r="AU537" i="1"/>
  <c r="AV537" i="1"/>
  <c r="AT538" i="1"/>
  <c r="AU538" i="1"/>
  <c r="AV538" i="1"/>
  <c r="AT539" i="1"/>
  <c r="AU539" i="1"/>
  <c r="AV539" i="1"/>
  <c r="AT540" i="1"/>
  <c r="AU540" i="1"/>
  <c r="AV540" i="1"/>
  <c r="AT541" i="1"/>
  <c r="AU541" i="1"/>
  <c r="AV541" i="1"/>
  <c r="AT542" i="1"/>
  <c r="AU542" i="1"/>
  <c r="AV542" i="1"/>
  <c r="AT543" i="1"/>
  <c r="AU543" i="1"/>
  <c r="AV543" i="1"/>
  <c r="AT544" i="1"/>
  <c r="AU544" i="1"/>
  <c r="AV544" i="1"/>
  <c r="AT545" i="1"/>
  <c r="AU545" i="1"/>
  <c r="AV545" i="1"/>
  <c r="AT546" i="1"/>
  <c r="AU546" i="1"/>
  <c r="AV546" i="1"/>
  <c r="AT547" i="1"/>
  <c r="AU547" i="1"/>
  <c r="AV547" i="1"/>
  <c r="AT548" i="1"/>
  <c r="AU548" i="1"/>
  <c r="AV548" i="1"/>
  <c r="AT549" i="1"/>
  <c r="AU549" i="1"/>
  <c r="AV549" i="1"/>
  <c r="AT550" i="1"/>
  <c r="AU550" i="1"/>
  <c r="AV550" i="1"/>
  <c r="AT551" i="1"/>
  <c r="AU551" i="1"/>
  <c r="AV551" i="1"/>
  <c r="AT552" i="1"/>
  <c r="AU552" i="1"/>
  <c r="AV552" i="1"/>
  <c r="AT553" i="1"/>
  <c r="AU553" i="1"/>
  <c r="AV553" i="1"/>
  <c r="AT554" i="1"/>
  <c r="AU554" i="1"/>
  <c r="AV554" i="1"/>
  <c r="AT555" i="1"/>
  <c r="AU555" i="1"/>
  <c r="AV555" i="1"/>
  <c r="AT556" i="1"/>
  <c r="AU556" i="1"/>
  <c r="AV556" i="1"/>
  <c r="AT557" i="1"/>
  <c r="AU557" i="1"/>
  <c r="AV557" i="1"/>
  <c r="AT558" i="1"/>
  <c r="AU558" i="1"/>
  <c r="AV558" i="1"/>
  <c r="AT559" i="1"/>
  <c r="AU559" i="1"/>
  <c r="AV559" i="1"/>
  <c r="AT560" i="1"/>
  <c r="AU560" i="1"/>
  <c r="AV560" i="1"/>
  <c r="AT561" i="1"/>
  <c r="AU561" i="1"/>
  <c r="AV561" i="1"/>
  <c r="AT562" i="1"/>
  <c r="AU562" i="1"/>
  <c r="AV562" i="1"/>
  <c r="AT563" i="1"/>
  <c r="AU563" i="1"/>
  <c r="AV563" i="1"/>
  <c r="AT564" i="1"/>
  <c r="AU564" i="1"/>
  <c r="AV564" i="1"/>
  <c r="AT565" i="1"/>
  <c r="AU565" i="1"/>
  <c r="AV565" i="1"/>
  <c r="AT566" i="1"/>
  <c r="AU566" i="1"/>
  <c r="AV566" i="1"/>
  <c r="AT567" i="1"/>
  <c r="AU567" i="1"/>
  <c r="AV567" i="1"/>
  <c r="AT568" i="1"/>
  <c r="AU568" i="1"/>
  <c r="AV568" i="1"/>
  <c r="AT569" i="1"/>
  <c r="AU569" i="1"/>
  <c r="AV569" i="1"/>
  <c r="AT570" i="1"/>
  <c r="AU570" i="1"/>
  <c r="AV570" i="1"/>
  <c r="AT571" i="1"/>
  <c r="AU571" i="1"/>
  <c r="AV571" i="1"/>
  <c r="AT572" i="1"/>
  <c r="AU572" i="1"/>
  <c r="AV572" i="1"/>
  <c r="AT573" i="1"/>
  <c r="AU573" i="1"/>
  <c r="AV573" i="1"/>
  <c r="AT574" i="1"/>
  <c r="AU574" i="1"/>
  <c r="AV574" i="1"/>
  <c r="AT575" i="1"/>
  <c r="AU575" i="1"/>
  <c r="AV575" i="1"/>
  <c r="AT576" i="1"/>
  <c r="AU576" i="1"/>
  <c r="AV576" i="1"/>
  <c r="AT577" i="1"/>
  <c r="AU577" i="1"/>
  <c r="AV577" i="1"/>
  <c r="AT578" i="1"/>
  <c r="AU578" i="1"/>
  <c r="AV578" i="1"/>
  <c r="AT579" i="1"/>
  <c r="AU579" i="1"/>
  <c r="AV579" i="1"/>
  <c r="AT580" i="1"/>
  <c r="AU580" i="1"/>
  <c r="AV580" i="1"/>
  <c r="AT581" i="1"/>
  <c r="AU581" i="1"/>
  <c r="AV581" i="1"/>
  <c r="AT582" i="1"/>
  <c r="AU582" i="1"/>
  <c r="AV582" i="1"/>
  <c r="AT583" i="1"/>
  <c r="AU583" i="1"/>
  <c r="AV583" i="1"/>
  <c r="AT584" i="1"/>
  <c r="AU584" i="1"/>
  <c r="AV584" i="1"/>
  <c r="AT585" i="1"/>
  <c r="AU585" i="1"/>
  <c r="AV585" i="1"/>
  <c r="AT586" i="1"/>
  <c r="AU586" i="1"/>
  <c r="AV586" i="1"/>
  <c r="AT587" i="1"/>
  <c r="AU587" i="1"/>
  <c r="AV587" i="1"/>
  <c r="AT588" i="1"/>
  <c r="AU588" i="1"/>
  <c r="AV588" i="1"/>
  <c r="AT589" i="1"/>
  <c r="AU589" i="1"/>
  <c r="AV589" i="1"/>
  <c r="AT590" i="1"/>
  <c r="AU590" i="1"/>
  <c r="AV590" i="1"/>
  <c r="AT591" i="1"/>
  <c r="AU591" i="1"/>
  <c r="AV591" i="1"/>
  <c r="AT592" i="1"/>
  <c r="AU592" i="1"/>
  <c r="AV592" i="1"/>
  <c r="AT593" i="1"/>
  <c r="AU593" i="1"/>
  <c r="AV593" i="1"/>
  <c r="AT594" i="1"/>
  <c r="AU594" i="1"/>
  <c r="AV594" i="1"/>
  <c r="AT595" i="1"/>
  <c r="AU595" i="1"/>
  <c r="AV595" i="1"/>
  <c r="AT596" i="1"/>
  <c r="AU596" i="1"/>
  <c r="AV596" i="1"/>
  <c r="AT597" i="1"/>
  <c r="AU597" i="1"/>
  <c r="AV597" i="1"/>
  <c r="AT598" i="1"/>
  <c r="AU598" i="1"/>
  <c r="AV598" i="1"/>
  <c r="AT599" i="1"/>
  <c r="AU599" i="1"/>
  <c r="AV599" i="1"/>
  <c r="AT600" i="1"/>
  <c r="AU600" i="1"/>
  <c r="AV600" i="1"/>
  <c r="AT601" i="1"/>
  <c r="AU601" i="1"/>
  <c r="AV601" i="1"/>
  <c r="AT602" i="1"/>
  <c r="AU602" i="1"/>
  <c r="AV602" i="1"/>
  <c r="AT603" i="1"/>
  <c r="AU603" i="1"/>
  <c r="AV603" i="1"/>
  <c r="AT604" i="1"/>
  <c r="AU604" i="1"/>
  <c r="AV604" i="1"/>
  <c r="AT605" i="1"/>
  <c r="AU605" i="1"/>
  <c r="AV605" i="1"/>
  <c r="AT606" i="1"/>
  <c r="AU606" i="1"/>
  <c r="AV606" i="1"/>
  <c r="AT607" i="1"/>
  <c r="AU607" i="1"/>
  <c r="AV607" i="1"/>
  <c r="AT608" i="1"/>
  <c r="AU608" i="1"/>
  <c r="AV608" i="1"/>
  <c r="AT609" i="1"/>
  <c r="AU609" i="1"/>
  <c r="AV609" i="1"/>
  <c r="AT610" i="1"/>
  <c r="AU610" i="1"/>
  <c r="AV610" i="1"/>
  <c r="AT611" i="1"/>
  <c r="AU611" i="1"/>
  <c r="AV611" i="1"/>
  <c r="AT612" i="1"/>
  <c r="AU612" i="1"/>
  <c r="AV612" i="1"/>
  <c r="AT613" i="1"/>
  <c r="AU613" i="1"/>
  <c r="AV613" i="1"/>
  <c r="AT614" i="1"/>
  <c r="AU614" i="1"/>
  <c r="AV614" i="1"/>
  <c r="AT615" i="1"/>
  <c r="AU615" i="1"/>
  <c r="AV615" i="1"/>
  <c r="AT616" i="1"/>
  <c r="AU616" i="1"/>
  <c r="AV616" i="1"/>
  <c r="AT617" i="1"/>
  <c r="AU617" i="1"/>
  <c r="AV617" i="1"/>
  <c r="AT618" i="1"/>
  <c r="AU618" i="1"/>
  <c r="AV618" i="1"/>
  <c r="AT619" i="1"/>
  <c r="AU619" i="1"/>
  <c r="AV619" i="1"/>
  <c r="AT620" i="1"/>
  <c r="AU620" i="1"/>
  <c r="AV620" i="1"/>
  <c r="AT621" i="1"/>
  <c r="AU621" i="1"/>
  <c r="AV621" i="1"/>
  <c r="AT622" i="1"/>
  <c r="AU622" i="1"/>
  <c r="AV622" i="1"/>
  <c r="AT623" i="1"/>
  <c r="AU623" i="1"/>
  <c r="AV623" i="1"/>
  <c r="AT624" i="1"/>
  <c r="AU624" i="1"/>
  <c r="AV624" i="1"/>
  <c r="AT625" i="1"/>
  <c r="AU625" i="1"/>
  <c r="AV625" i="1"/>
  <c r="AT626" i="1"/>
  <c r="AU626" i="1"/>
  <c r="AV626" i="1"/>
  <c r="AT627" i="1"/>
  <c r="AU627" i="1"/>
  <c r="AV627" i="1"/>
  <c r="AT628" i="1"/>
  <c r="AU628" i="1"/>
  <c r="AV628" i="1"/>
  <c r="AT629" i="1"/>
  <c r="AU629" i="1"/>
  <c r="AV629" i="1"/>
  <c r="AT630" i="1"/>
  <c r="AU630" i="1"/>
  <c r="AV630" i="1"/>
  <c r="AT631" i="1"/>
  <c r="AU631" i="1"/>
  <c r="AV631" i="1"/>
  <c r="AT632" i="1"/>
  <c r="AU632" i="1"/>
  <c r="AV632" i="1"/>
  <c r="AT633" i="1"/>
  <c r="AU633" i="1"/>
  <c r="AV633" i="1"/>
  <c r="AT634" i="1"/>
  <c r="AU634" i="1"/>
  <c r="AV634" i="1"/>
  <c r="AT635" i="1"/>
  <c r="AU635" i="1"/>
  <c r="AV635" i="1"/>
  <c r="AT636" i="1"/>
  <c r="AU636" i="1"/>
  <c r="AV636" i="1"/>
  <c r="AT637" i="1"/>
  <c r="AU637" i="1"/>
  <c r="AV637" i="1"/>
  <c r="AT638" i="1"/>
  <c r="AU638" i="1"/>
  <c r="AV638" i="1"/>
  <c r="AT639" i="1"/>
  <c r="AU639" i="1"/>
  <c r="AV639" i="1"/>
  <c r="AT640" i="1"/>
  <c r="AU640" i="1"/>
  <c r="AV640" i="1"/>
  <c r="AT641" i="1"/>
  <c r="AU641" i="1"/>
  <c r="AV641" i="1"/>
  <c r="AT642" i="1"/>
  <c r="AU642" i="1"/>
  <c r="AV642" i="1"/>
  <c r="AT643" i="1"/>
  <c r="AU643" i="1"/>
  <c r="AV643" i="1"/>
  <c r="AT644" i="1"/>
  <c r="AU644" i="1"/>
  <c r="AV644" i="1"/>
  <c r="AT645" i="1"/>
  <c r="AU645" i="1"/>
  <c r="AV645" i="1"/>
  <c r="AT646" i="1"/>
  <c r="AU646" i="1"/>
  <c r="AV646" i="1"/>
  <c r="AT647" i="1"/>
  <c r="AU647" i="1"/>
  <c r="AV647" i="1"/>
  <c r="AT648" i="1"/>
  <c r="AU648" i="1"/>
  <c r="AV648" i="1"/>
  <c r="AT649" i="1"/>
  <c r="AU649" i="1"/>
  <c r="AV649" i="1"/>
  <c r="AT650" i="1"/>
  <c r="AU650" i="1"/>
  <c r="AV650" i="1"/>
  <c r="AT651" i="1"/>
  <c r="AU651" i="1"/>
  <c r="AV651" i="1"/>
  <c r="AT652" i="1"/>
  <c r="AU652" i="1"/>
  <c r="AV652" i="1"/>
  <c r="AT653" i="1"/>
  <c r="AU653" i="1"/>
  <c r="AV653" i="1"/>
  <c r="AT654" i="1"/>
  <c r="AU654" i="1"/>
  <c r="AV654" i="1"/>
  <c r="AT655" i="1"/>
  <c r="AU655" i="1"/>
  <c r="AV655" i="1"/>
  <c r="AT656" i="1"/>
  <c r="AU656" i="1"/>
  <c r="AV656" i="1"/>
  <c r="AT657" i="1"/>
  <c r="AU657" i="1"/>
  <c r="AV657" i="1"/>
  <c r="AT658" i="1"/>
  <c r="AU658" i="1"/>
  <c r="AV658" i="1"/>
  <c r="AT659" i="1"/>
  <c r="AU659" i="1"/>
  <c r="AV659" i="1"/>
  <c r="AT660" i="1"/>
  <c r="AU660" i="1"/>
  <c r="AV660" i="1"/>
  <c r="AT661" i="1"/>
  <c r="AU661" i="1"/>
  <c r="AV661" i="1"/>
  <c r="AT662" i="1"/>
  <c r="AU662" i="1"/>
  <c r="AV662" i="1"/>
  <c r="AT663" i="1"/>
  <c r="AU663" i="1"/>
  <c r="AV663" i="1"/>
  <c r="AT664" i="1"/>
  <c r="AU664" i="1"/>
  <c r="AV664" i="1"/>
  <c r="AT665" i="1"/>
  <c r="AU665" i="1"/>
  <c r="AV665" i="1"/>
  <c r="AT666" i="1"/>
  <c r="AU666" i="1"/>
  <c r="AV666" i="1"/>
  <c r="AT667" i="1"/>
  <c r="AU667" i="1"/>
  <c r="AV667" i="1"/>
  <c r="AT668" i="1"/>
  <c r="AU668" i="1"/>
  <c r="AV668" i="1"/>
  <c r="AT669" i="1"/>
  <c r="AU669" i="1"/>
  <c r="AV669" i="1"/>
  <c r="AT670" i="1"/>
  <c r="AU670" i="1"/>
  <c r="AV670" i="1"/>
  <c r="AT671" i="1"/>
  <c r="AU671" i="1"/>
  <c r="AV671" i="1"/>
  <c r="AT672" i="1"/>
  <c r="AU672" i="1"/>
  <c r="AV672" i="1"/>
  <c r="AT673" i="1"/>
  <c r="AU673" i="1"/>
  <c r="AV673" i="1"/>
  <c r="AT674" i="1"/>
  <c r="AU674" i="1"/>
  <c r="AV674" i="1"/>
  <c r="AT675" i="1"/>
  <c r="AU675" i="1"/>
  <c r="AV675" i="1"/>
  <c r="AT676" i="1"/>
  <c r="AU676" i="1"/>
  <c r="AV676" i="1"/>
  <c r="AT677" i="1"/>
  <c r="AU677" i="1"/>
  <c r="AV677" i="1"/>
  <c r="AT678" i="1"/>
  <c r="AU678" i="1"/>
  <c r="AV678" i="1"/>
  <c r="AT679" i="1"/>
  <c r="AU679" i="1"/>
  <c r="AV679" i="1"/>
  <c r="AT680" i="1"/>
  <c r="AU680" i="1"/>
  <c r="AV680" i="1"/>
  <c r="AT681" i="1"/>
  <c r="AU681" i="1"/>
  <c r="AV681" i="1"/>
  <c r="AT682" i="1"/>
  <c r="AU682" i="1"/>
  <c r="AV682" i="1"/>
  <c r="AT683" i="1"/>
  <c r="AU683" i="1"/>
  <c r="AV683" i="1"/>
  <c r="AT684" i="1"/>
  <c r="AU684" i="1"/>
  <c r="AV684" i="1"/>
  <c r="AT685" i="1"/>
  <c r="AU685" i="1"/>
  <c r="AV685" i="1"/>
  <c r="AT686" i="1"/>
  <c r="AU686" i="1"/>
  <c r="AV686" i="1"/>
  <c r="AT687" i="1"/>
  <c r="AU687" i="1"/>
  <c r="AV687" i="1"/>
  <c r="AT688" i="1"/>
  <c r="AU688" i="1"/>
  <c r="AV688" i="1"/>
  <c r="AT689" i="1"/>
  <c r="AU689" i="1"/>
  <c r="AV689" i="1"/>
  <c r="AT690" i="1"/>
  <c r="AU690" i="1"/>
  <c r="AV690" i="1"/>
  <c r="AT691" i="1"/>
  <c r="AU691" i="1"/>
  <c r="AV691" i="1"/>
  <c r="AT692" i="1"/>
  <c r="AU692" i="1"/>
  <c r="AV692" i="1"/>
  <c r="AT693" i="1"/>
  <c r="AU693" i="1"/>
  <c r="AV693" i="1"/>
  <c r="AT694" i="1"/>
  <c r="AU694" i="1"/>
  <c r="AV694" i="1"/>
  <c r="AT695" i="1"/>
  <c r="AU695" i="1"/>
  <c r="AV695" i="1"/>
  <c r="AT696" i="1"/>
  <c r="AU696" i="1"/>
  <c r="AV696" i="1"/>
  <c r="AT697" i="1"/>
  <c r="AU697" i="1"/>
  <c r="AV697" i="1"/>
  <c r="AT698" i="1"/>
  <c r="AU698" i="1"/>
  <c r="AV698" i="1"/>
  <c r="AT699" i="1"/>
  <c r="AU699" i="1"/>
  <c r="AV699" i="1"/>
  <c r="AT700" i="1"/>
  <c r="AU700" i="1"/>
  <c r="AV700" i="1"/>
  <c r="AT701" i="1"/>
  <c r="AU701" i="1"/>
  <c r="AV701" i="1"/>
  <c r="AT702" i="1"/>
  <c r="AU702" i="1"/>
  <c r="AV702" i="1"/>
  <c r="AT703" i="1"/>
  <c r="AU703" i="1"/>
  <c r="AV703" i="1"/>
  <c r="AT704" i="1"/>
  <c r="AU704" i="1"/>
  <c r="AV704" i="1"/>
  <c r="AT705" i="1"/>
  <c r="AU705" i="1"/>
  <c r="AV705" i="1"/>
  <c r="AT706" i="1"/>
  <c r="AU706" i="1"/>
  <c r="AV706" i="1"/>
  <c r="AT707" i="1"/>
  <c r="AU707" i="1"/>
  <c r="AV707" i="1"/>
  <c r="AT708" i="1"/>
  <c r="AU708" i="1"/>
  <c r="AV708" i="1"/>
  <c r="AT709" i="1"/>
  <c r="AU709" i="1"/>
  <c r="AV709" i="1"/>
  <c r="AT710" i="1"/>
  <c r="AU710" i="1"/>
  <c r="AV710" i="1"/>
  <c r="AT711" i="1"/>
  <c r="AU711" i="1"/>
  <c r="AV711" i="1"/>
  <c r="AT712" i="1"/>
  <c r="AU712" i="1"/>
  <c r="AV712" i="1"/>
  <c r="AT713" i="1"/>
  <c r="AU713" i="1"/>
  <c r="AV713" i="1"/>
  <c r="AT714" i="1"/>
  <c r="AU714" i="1"/>
  <c r="AV714" i="1"/>
  <c r="AT715" i="1"/>
  <c r="AU715" i="1"/>
  <c r="AV715" i="1"/>
  <c r="AT716" i="1"/>
  <c r="AU716" i="1"/>
  <c r="AV716" i="1"/>
  <c r="AT717" i="1"/>
  <c r="AU717" i="1"/>
  <c r="AV717" i="1"/>
  <c r="AT718" i="1"/>
  <c r="AU718" i="1"/>
  <c r="AV718" i="1"/>
  <c r="AT719" i="1"/>
  <c r="AU719" i="1"/>
  <c r="AV719" i="1"/>
  <c r="AT720" i="1"/>
  <c r="AU720" i="1"/>
  <c r="AV720" i="1"/>
  <c r="AT721" i="1"/>
  <c r="AU721" i="1"/>
  <c r="AV721" i="1"/>
  <c r="AT722" i="1"/>
  <c r="AU722" i="1"/>
  <c r="AV722" i="1"/>
  <c r="AT723" i="1"/>
  <c r="AU723" i="1"/>
  <c r="AV723" i="1"/>
  <c r="AT724" i="1"/>
  <c r="AU724" i="1"/>
  <c r="AV724" i="1"/>
  <c r="AT725" i="1"/>
  <c r="AU725" i="1"/>
  <c r="AV725" i="1"/>
  <c r="AT726" i="1"/>
  <c r="AU726" i="1"/>
  <c r="AV726" i="1"/>
  <c r="AT727" i="1"/>
  <c r="AU727" i="1"/>
  <c r="AV727" i="1"/>
  <c r="AT728" i="1"/>
  <c r="AU728" i="1"/>
  <c r="AV728" i="1"/>
  <c r="AT729" i="1"/>
  <c r="AU729" i="1"/>
  <c r="AV729" i="1"/>
  <c r="AT730" i="1"/>
  <c r="AU730" i="1"/>
  <c r="AV730" i="1"/>
  <c r="AT731" i="1"/>
  <c r="AU731" i="1"/>
  <c r="AV731" i="1"/>
  <c r="AT732" i="1"/>
  <c r="AU732" i="1"/>
  <c r="AV732" i="1"/>
  <c r="AT733" i="1"/>
  <c r="AU733" i="1"/>
  <c r="AV733" i="1"/>
  <c r="AT734" i="1"/>
  <c r="AU734" i="1"/>
  <c r="AV734" i="1"/>
  <c r="AT735" i="1"/>
  <c r="AU735" i="1"/>
  <c r="AV735" i="1"/>
  <c r="AT736" i="1"/>
  <c r="AU736" i="1"/>
  <c r="AV736" i="1"/>
  <c r="AT737" i="1"/>
  <c r="AU737" i="1"/>
  <c r="AV737" i="1"/>
  <c r="AT738" i="1"/>
  <c r="AU738" i="1"/>
  <c r="AV738" i="1"/>
  <c r="AT739" i="1"/>
  <c r="AU739" i="1"/>
  <c r="AV739" i="1"/>
  <c r="AT740" i="1"/>
  <c r="AU740" i="1"/>
  <c r="AV740" i="1"/>
  <c r="AT741" i="1"/>
  <c r="AU741" i="1"/>
  <c r="AV741" i="1"/>
  <c r="AT742" i="1"/>
  <c r="AU742" i="1"/>
  <c r="AV742" i="1"/>
  <c r="AT743" i="1"/>
  <c r="AU743" i="1"/>
  <c r="AV743" i="1"/>
  <c r="AT744" i="1"/>
  <c r="AU744" i="1"/>
  <c r="AV744" i="1"/>
  <c r="AT745" i="1"/>
  <c r="AU745" i="1"/>
  <c r="AV745" i="1"/>
  <c r="AT746" i="1"/>
  <c r="AU746" i="1"/>
  <c r="AV746" i="1"/>
  <c r="AT747" i="1"/>
  <c r="AU747" i="1"/>
  <c r="AV747" i="1"/>
  <c r="AT748" i="1"/>
  <c r="AU748" i="1"/>
  <c r="AV748" i="1"/>
  <c r="AT749" i="1"/>
  <c r="AU749" i="1"/>
  <c r="AV749" i="1"/>
  <c r="AT750" i="1"/>
  <c r="AU750" i="1"/>
  <c r="AV750" i="1"/>
  <c r="AT751" i="1"/>
  <c r="AU751" i="1"/>
  <c r="AV751" i="1"/>
  <c r="AT752" i="1"/>
  <c r="AU752" i="1"/>
  <c r="AV752" i="1"/>
  <c r="AT753" i="1"/>
  <c r="AU753" i="1"/>
  <c r="AV753" i="1"/>
  <c r="AT754" i="1"/>
  <c r="AU754" i="1"/>
  <c r="AV754" i="1"/>
  <c r="AT755" i="1"/>
  <c r="AU755" i="1"/>
  <c r="AV755" i="1"/>
  <c r="AT756" i="1"/>
  <c r="AU756" i="1"/>
  <c r="AV756" i="1"/>
  <c r="AT757" i="1"/>
  <c r="AU757" i="1"/>
  <c r="AV757" i="1"/>
  <c r="AT758" i="1"/>
  <c r="AU758" i="1"/>
  <c r="AV758" i="1"/>
  <c r="AT759" i="1"/>
  <c r="AU759" i="1"/>
  <c r="AV759" i="1"/>
  <c r="AT760" i="1"/>
  <c r="AU760" i="1"/>
  <c r="AV760" i="1"/>
  <c r="AT761" i="1"/>
  <c r="AU761" i="1"/>
  <c r="AV761" i="1"/>
  <c r="AT762" i="1"/>
  <c r="AU762" i="1"/>
  <c r="AV762" i="1"/>
  <c r="AT763" i="1"/>
  <c r="AU763" i="1"/>
  <c r="AV763" i="1"/>
  <c r="AT764" i="1"/>
  <c r="AU764" i="1"/>
  <c r="AV764" i="1"/>
  <c r="AT765" i="1"/>
  <c r="AU765" i="1"/>
  <c r="AV765" i="1"/>
  <c r="AT766" i="1"/>
  <c r="AU766" i="1"/>
  <c r="AV766" i="1"/>
  <c r="AT767" i="1"/>
  <c r="AU767" i="1"/>
  <c r="AV767" i="1"/>
  <c r="AT768" i="1"/>
  <c r="AU768" i="1"/>
  <c r="AV768" i="1"/>
  <c r="AT769" i="1"/>
  <c r="AU769" i="1"/>
  <c r="AV769" i="1"/>
  <c r="AT770" i="1"/>
  <c r="AU770" i="1"/>
  <c r="AV770" i="1"/>
  <c r="AT771" i="1"/>
  <c r="AU771" i="1"/>
  <c r="AV771" i="1"/>
  <c r="AT772" i="1"/>
  <c r="AU772" i="1"/>
  <c r="AV772" i="1"/>
  <c r="AT773" i="1"/>
  <c r="AU773" i="1"/>
  <c r="AV773" i="1"/>
  <c r="AT774" i="1"/>
  <c r="AU774" i="1"/>
  <c r="AV774" i="1"/>
  <c r="AT775" i="1"/>
  <c r="AU775" i="1"/>
  <c r="AV775" i="1"/>
  <c r="AT776" i="1"/>
  <c r="AU776" i="1"/>
  <c r="AV776" i="1"/>
  <c r="AT777" i="1"/>
  <c r="AU777" i="1"/>
  <c r="AV777" i="1"/>
  <c r="AT778" i="1"/>
  <c r="AU778" i="1"/>
  <c r="AV778" i="1"/>
  <c r="AT779" i="1"/>
  <c r="AU779" i="1"/>
  <c r="AV779" i="1"/>
  <c r="AT780" i="1"/>
  <c r="AU780" i="1"/>
  <c r="AV780" i="1"/>
  <c r="AT781" i="1"/>
  <c r="AU781" i="1"/>
  <c r="AV781" i="1"/>
  <c r="AT782" i="1"/>
  <c r="AU782" i="1"/>
  <c r="AV782" i="1"/>
  <c r="AT783" i="1"/>
  <c r="AU783" i="1"/>
  <c r="AV783" i="1"/>
  <c r="AT784" i="1"/>
  <c r="AU784" i="1"/>
  <c r="AV784" i="1"/>
  <c r="AT785" i="1"/>
  <c r="AU785" i="1"/>
  <c r="AV785" i="1"/>
  <c r="AT786" i="1"/>
  <c r="AU786" i="1"/>
  <c r="AV786" i="1"/>
  <c r="AT787" i="1"/>
  <c r="AU787" i="1"/>
  <c r="AV787" i="1"/>
  <c r="AT788" i="1"/>
  <c r="AU788" i="1"/>
  <c r="AV788" i="1"/>
  <c r="AT789" i="1"/>
  <c r="AU789" i="1"/>
  <c r="AV789" i="1"/>
  <c r="AT790" i="1"/>
  <c r="AU790" i="1"/>
  <c r="AV790" i="1"/>
  <c r="AT791" i="1"/>
  <c r="AU791" i="1"/>
  <c r="AV791" i="1"/>
  <c r="AT792" i="1"/>
  <c r="AU792" i="1"/>
  <c r="AV792" i="1"/>
  <c r="AT793" i="1"/>
  <c r="AU793" i="1"/>
  <c r="AV793" i="1"/>
  <c r="AT794" i="1"/>
  <c r="AU794" i="1"/>
  <c r="AV794" i="1"/>
  <c r="AT795" i="1"/>
  <c r="AU795" i="1"/>
  <c r="AV795" i="1"/>
  <c r="AT796" i="1"/>
  <c r="AU796" i="1"/>
  <c r="AV796" i="1"/>
  <c r="AT797" i="1"/>
  <c r="AU797" i="1"/>
  <c r="AV797" i="1"/>
  <c r="AT798" i="1"/>
  <c r="AU798" i="1"/>
  <c r="AV798" i="1"/>
  <c r="AT799" i="1"/>
  <c r="AU799" i="1"/>
  <c r="AV799" i="1"/>
  <c r="AT800" i="1"/>
  <c r="AU800" i="1"/>
  <c r="AV800" i="1"/>
  <c r="AT801" i="1"/>
  <c r="AU801" i="1"/>
  <c r="AV801" i="1"/>
  <c r="AT802" i="1"/>
  <c r="AU802" i="1"/>
  <c r="AV802" i="1"/>
  <c r="AT803" i="1"/>
  <c r="AU803" i="1"/>
  <c r="AV803" i="1"/>
  <c r="AT804" i="1"/>
  <c r="AU804" i="1"/>
  <c r="AV804" i="1"/>
  <c r="AT805" i="1"/>
  <c r="AU805" i="1"/>
  <c r="AV805" i="1"/>
  <c r="AT806" i="1"/>
  <c r="AU806" i="1"/>
  <c r="AV806" i="1"/>
  <c r="AT807" i="1"/>
  <c r="AU807" i="1"/>
  <c r="AV807" i="1"/>
  <c r="AT808" i="1"/>
  <c r="AU808" i="1"/>
  <c r="AV808" i="1"/>
  <c r="AT809" i="1"/>
  <c r="AU809" i="1"/>
  <c r="AV809" i="1"/>
  <c r="AT810" i="1"/>
  <c r="AU810" i="1"/>
  <c r="AV810" i="1"/>
  <c r="AT811" i="1"/>
  <c r="AU811" i="1"/>
  <c r="AV811" i="1"/>
  <c r="AT812" i="1"/>
  <c r="AU812" i="1"/>
  <c r="AV812" i="1"/>
  <c r="AT813" i="1"/>
  <c r="AU813" i="1"/>
  <c r="AV813" i="1"/>
  <c r="AT814" i="1"/>
  <c r="AU814" i="1"/>
  <c r="AV814" i="1"/>
  <c r="AT815" i="1"/>
  <c r="AU815" i="1"/>
  <c r="AV815" i="1"/>
  <c r="AT816" i="1"/>
  <c r="AU816" i="1"/>
  <c r="AV816" i="1"/>
  <c r="AT817" i="1"/>
  <c r="AU817" i="1"/>
  <c r="AV817" i="1"/>
  <c r="AT818" i="1"/>
  <c r="AU818" i="1"/>
  <c r="AV818" i="1"/>
  <c r="AT819" i="1"/>
  <c r="AU819" i="1"/>
  <c r="AV819" i="1"/>
  <c r="AT820" i="1"/>
  <c r="AU820" i="1"/>
  <c r="AV820" i="1"/>
  <c r="AT821" i="1"/>
  <c r="AU821" i="1"/>
  <c r="AV821" i="1"/>
  <c r="AT822" i="1"/>
  <c r="AU822" i="1"/>
  <c r="AV822" i="1"/>
  <c r="AT823" i="1"/>
  <c r="AU823" i="1"/>
  <c r="AV823" i="1"/>
  <c r="AT824" i="1"/>
  <c r="AU824" i="1"/>
  <c r="AV824" i="1"/>
  <c r="AT825" i="1"/>
  <c r="AU825" i="1"/>
  <c r="AV825" i="1"/>
  <c r="AT826" i="1"/>
  <c r="AU826" i="1"/>
  <c r="AV826" i="1"/>
  <c r="AT827" i="1"/>
  <c r="AU827" i="1"/>
  <c r="AV827" i="1"/>
  <c r="AT828" i="1"/>
  <c r="AU828" i="1"/>
  <c r="AV828" i="1"/>
  <c r="AT829" i="1"/>
  <c r="AU829" i="1"/>
  <c r="AV829" i="1"/>
  <c r="AT830" i="1"/>
  <c r="AU830" i="1"/>
  <c r="AV830" i="1"/>
  <c r="AT831" i="1"/>
  <c r="AU831" i="1"/>
  <c r="AV831" i="1"/>
  <c r="AT832" i="1"/>
  <c r="AU832" i="1"/>
  <c r="AV832" i="1"/>
  <c r="AT833" i="1"/>
  <c r="AU833" i="1"/>
  <c r="AV833" i="1"/>
  <c r="AT834" i="1"/>
  <c r="AU834" i="1"/>
  <c r="AV834" i="1"/>
  <c r="AT835" i="1"/>
  <c r="AU835" i="1"/>
  <c r="AV835" i="1"/>
  <c r="AT836" i="1"/>
  <c r="AU836" i="1"/>
  <c r="AV836" i="1"/>
  <c r="AT837" i="1"/>
  <c r="AU837" i="1"/>
  <c r="AV837" i="1"/>
  <c r="AT838" i="1"/>
  <c r="AU838" i="1"/>
  <c r="AV838" i="1"/>
  <c r="AT839" i="1"/>
  <c r="AU839" i="1"/>
  <c r="AV839" i="1"/>
  <c r="AT840" i="1"/>
  <c r="AU840" i="1"/>
  <c r="AV840" i="1"/>
  <c r="AT841" i="1"/>
  <c r="AU841" i="1"/>
  <c r="AV841" i="1"/>
  <c r="AT842" i="1"/>
  <c r="AU842" i="1"/>
  <c r="AV842" i="1"/>
  <c r="AT843" i="1"/>
  <c r="AU843" i="1"/>
  <c r="AV843" i="1"/>
  <c r="AT844" i="1"/>
  <c r="AU844" i="1"/>
  <c r="AV844" i="1"/>
  <c r="AT845" i="1"/>
  <c r="AU845" i="1"/>
  <c r="AV845" i="1"/>
  <c r="AT846" i="1"/>
  <c r="AU846" i="1"/>
  <c r="AV846" i="1"/>
  <c r="AT847" i="1"/>
  <c r="AU847" i="1"/>
  <c r="AV847" i="1"/>
  <c r="AT848" i="1"/>
  <c r="AU848" i="1"/>
  <c r="AV848" i="1"/>
  <c r="AT849" i="1"/>
  <c r="AU849" i="1"/>
  <c r="AV849" i="1"/>
  <c r="AT850" i="1"/>
  <c r="AU850" i="1"/>
  <c r="AV850" i="1"/>
  <c r="AT851" i="1"/>
  <c r="AU851" i="1"/>
  <c r="AV851" i="1"/>
  <c r="AT852" i="1"/>
  <c r="AU852" i="1"/>
  <c r="AV852" i="1"/>
  <c r="AT853" i="1"/>
  <c r="AU853" i="1"/>
  <c r="AV853" i="1"/>
  <c r="AT854" i="1"/>
  <c r="AU854" i="1"/>
  <c r="AV854" i="1"/>
  <c r="AT855" i="1"/>
  <c r="AU855" i="1"/>
  <c r="AV855" i="1"/>
  <c r="AT856" i="1"/>
  <c r="AU856" i="1"/>
  <c r="AV856" i="1"/>
  <c r="AT857" i="1"/>
  <c r="AU857" i="1"/>
  <c r="AV857" i="1"/>
  <c r="AT858" i="1"/>
  <c r="AU858" i="1"/>
  <c r="AV858" i="1"/>
  <c r="AT859" i="1"/>
  <c r="AU859" i="1"/>
  <c r="AV859" i="1"/>
  <c r="AT860" i="1"/>
  <c r="AU860" i="1"/>
  <c r="AV860" i="1"/>
  <c r="AT861" i="1"/>
  <c r="AU861" i="1"/>
  <c r="AV861" i="1"/>
  <c r="AT862" i="1"/>
  <c r="AU862" i="1"/>
  <c r="AV862" i="1"/>
  <c r="AT863" i="1"/>
  <c r="AU863" i="1"/>
  <c r="AV863" i="1"/>
  <c r="AT864" i="1"/>
  <c r="AU864" i="1"/>
  <c r="AV864" i="1"/>
  <c r="AT865" i="1"/>
  <c r="AU865" i="1"/>
  <c r="AV865" i="1"/>
  <c r="AT866" i="1"/>
  <c r="AU866" i="1"/>
  <c r="AV866" i="1"/>
  <c r="AT867" i="1"/>
  <c r="AU867" i="1"/>
  <c r="AV867" i="1"/>
  <c r="AT868" i="1"/>
  <c r="AU868" i="1"/>
  <c r="AV868" i="1"/>
  <c r="AT869" i="1"/>
  <c r="AU869" i="1"/>
  <c r="AV869" i="1"/>
  <c r="AT870" i="1"/>
  <c r="AU870" i="1"/>
  <c r="AV870" i="1"/>
  <c r="AT871" i="1"/>
  <c r="AU871" i="1"/>
  <c r="AV871" i="1"/>
  <c r="AT872" i="1"/>
  <c r="AU872" i="1"/>
  <c r="AV872" i="1"/>
  <c r="AT873" i="1"/>
  <c r="AU873" i="1"/>
  <c r="AV873" i="1"/>
  <c r="AT874" i="1"/>
  <c r="AU874" i="1"/>
  <c r="AV874" i="1"/>
  <c r="AT875" i="1"/>
  <c r="AU875" i="1"/>
  <c r="AV875" i="1"/>
  <c r="AT876" i="1"/>
  <c r="AU876" i="1"/>
  <c r="AV876" i="1"/>
  <c r="AT877" i="1"/>
  <c r="AU877" i="1"/>
  <c r="AV877" i="1"/>
  <c r="AT878" i="1"/>
  <c r="AU878" i="1"/>
  <c r="AV878" i="1"/>
  <c r="AT879" i="1"/>
  <c r="AU879" i="1"/>
  <c r="AV879" i="1"/>
  <c r="AT880" i="1"/>
  <c r="AU880" i="1"/>
  <c r="AV880" i="1"/>
  <c r="AT881" i="1"/>
  <c r="AU881" i="1"/>
  <c r="AV881" i="1"/>
  <c r="AT882" i="1"/>
  <c r="AU882" i="1"/>
  <c r="AV882" i="1"/>
  <c r="AT883" i="1"/>
  <c r="AU883" i="1"/>
  <c r="AV883" i="1"/>
  <c r="AT884" i="1"/>
  <c r="AU884" i="1"/>
  <c r="AV884" i="1"/>
  <c r="AT885" i="1"/>
  <c r="AU885" i="1"/>
  <c r="AV885" i="1"/>
  <c r="AT886" i="1"/>
  <c r="AU886" i="1"/>
  <c r="AV886" i="1"/>
  <c r="AT887" i="1"/>
  <c r="AU887" i="1"/>
  <c r="AV887" i="1"/>
  <c r="AT888" i="1"/>
  <c r="AU888" i="1"/>
  <c r="AV888" i="1"/>
  <c r="AT889" i="1"/>
  <c r="AU889" i="1"/>
  <c r="AV889" i="1"/>
  <c r="AT890" i="1"/>
  <c r="AU890" i="1"/>
  <c r="AV890" i="1"/>
  <c r="AT891" i="1"/>
  <c r="AU891" i="1"/>
  <c r="AV891" i="1"/>
  <c r="AT892" i="1"/>
  <c r="AU892" i="1"/>
  <c r="AV892" i="1"/>
  <c r="AT893" i="1"/>
  <c r="AU893" i="1"/>
  <c r="AV893" i="1"/>
  <c r="AT894" i="1"/>
  <c r="AU894" i="1"/>
  <c r="AV894" i="1"/>
  <c r="AT895" i="1"/>
  <c r="AU895" i="1"/>
  <c r="AV895" i="1"/>
  <c r="AT896" i="1"/>
  <c r="AU896" i="1"/>
  <c r="AV896" i="1"/>
  <c r="AT897" i="1"/>
  <c r="AU897" i="1"/>
  <c r="AV897" i="1"/>
  <c r="AT898" i="1"/>
  <c r="AU898" i="1"/>
  <c r="AV898" i="1"/>
  <c r="AT899" i="1"/>
  <c r="AU899" i="1"/>
  <c r="AV899" i="1"/>
  <c r="AT900" i="1"/>
  <c r="AU900" i="1"/>
  <c r="AV900" i="1"/>
  <c r="AT901" i="1"/>
  <c r="AU901" i="1"/>
  <c r="AV901" i="1"/>
  <c r="AT902" i="1"/>
  <c r="AU902" i="1"/>
  <c r="AV902" i="1"/>
  <c r="AT903" i="1"/>
  <c r="AU903" i="1"/>
  <c r="AV903" i="1"/>
  <c r="AT904" i="1"/>
  <c r="AU904" i="1"/>
  <c r="AV904" i="1"/>
  <c r="AT905" i="1"/>
  <c r="AU905" i="1"/>
  <c r="AV905" i="1"/>
  <c r="AT906" i="1"/>
  <c r="AU906" i="1"/>
  <c r="AV906" i="1"/>
  <c r="AT907" i="1"/>
  <c r="AU907" i="1"/>
  <c r="AV907" i="1"/>
  <c r="AT908" i="1"/>
  <c r="AU908" i="1"/>
  <c r="AV908" i="1"/>
  <c r="AT909" i="1"/>
  <c r="AU909" i="1"/>
  <c r="AV909" i="1"/>
  <c r="AT910" i="1"/>
  <c r="AU910" i="1"/>
  <c r="AV910" i="1"/>
  <c r="AT911" i="1"/>
  <c r="AU911" i="1"/>
  <c r="AV911" i="1"/>
  <c r="AT912" i="1"/>
  <c r="AU912" i="1"/>
  <c r="AV912" i="1"/>
  <c r="AT913" i="1"/>
  <c r="AU913" i="1"/>
  <c r="AV913" i="1"/>
  <c r="AT914" i="1"/>
  <c r="AU914" i="1"/>
  <c r="AV914" i="1"/>
  <c r="AT915" i="1"/>
  <c r="AU915" i="1"/>
  <c r="AV915" i="1"/>
  <c r="AT916" i="1"/>
  <c r="AU916" i="1"/>
  <c r="AV916" i="1"/>
  <c r="AT917" i="1"/>
  <c r="AU917" i="1"/>
  <c r="AV917" i="1"/>
  <c r="AT918" i="1"/>
  <c r="AU918" i="1"/>
  <c r="AV918" i="1"/>
  <c r="AT919" i="1"/>
  <c r="AU919" i="1"/>
  <c r="AV919" i="1"/>
  <c r="AT920" i="1"/>
  <c r="AU920" i="1"/>
  <c r="AV920" i="1"/>
  <c r="AT921" i="1"/>
  <c r="AU921" i="1"/>
  <c r="AV921" i="1"/>
  <c r="AT922" i="1"/>
  <c r="AU922" i="1"/>
  <c r="AV922" i="1"/>
  <c r="AT923" i="1"/>
  <c r="AU923" i="1"/>
  <c r="AV923" i="1"/>
  <c r="AT924" i="1"/>
  <c r="AU924" i="1"/>
  <c r="AV924" i="1"/>
  <c r="AT925" i="1"/>
  <c r="AU925" i="1"/>
  <c r="AV925" i="1"/>
  <c r="AT926" i="1"/>
  <c r="AU926" i="1"/>
  <c r="AV926" i="1"/>
  <c r="AT927" i="1"/>
  <c r="AU927" i="1"/>
  <c r="AV927" i="1"/>
  <c r="AT928" i="1"/>
  <c r="AU928" i="1"/>
  <c r="AV928" i="1"/>
  <c r="AT929" i="1"/>
  <c r="AU929" i="1"/>
  <c r="AV929" i="1"/>
  <c r="AT930" i="1"/>
  <c r="AU930" i="1"/>
  <c r="AV930" i="1"/>
  <c r="AT931" i="1"/>
  <c r="AU931" i="1"/>
  <c r="AV931" i="1"/>
  <c r="AT932" i="1"/>
  <c r="AU932" i="1"/>
  <c r="AV932" i="1"/>
  <c r="AT933" i="1"/>
  <c r="AU933" i="1"/>
  <c r="AV933" i="1"/>
  <c r="AT934" i="1"/>
  <c r="AU934" i="1"/>
  <c r="AV934" i="1"/>
  <c r="AT935" i="1"/>
  <c r="AU935" i="1"/>
  <c r="AV935" i="1"/>
  <c r="AT936" i="1"/>
  <c r="AU936" i="1"/>
  <c r="AV936" i="1"/>
  <c r="AT937" i="1"/>
  <c r="AU937" i="1"/>
  <c r="AV937" i="1"/>
  <c r="AT938" i="1"/>
  <c r="AU938" i="1"/>
  <c r="AV938" i="1"/>
  <c r="AT939" i="1"/>
  <c r="AU939" i="1"/>
  <c r="AV939" i="1"/>
  <c r="AT940" i="1"/>
  <c r="AU940" i="1"/>
  <c r="AV940" i="1"/>
  <c r="AT941" i="1"/>
  <c r="AU941" i="1"/>
  <c r="AV941" i="1"/>
  <c r="AT942" i="1"/>
  <c r="AU942" i="1"/>
  <c r="AV942" i="1"/>
  <c r="AT943" i="1"/>
  <c r="AU943" i="1"/>
  <c r="AV943" i="1"/>
  <c r="AT944" i="1"/>
  <c r="AU944" i="1"/>
  <c r="AV944" i="1"/>
  <c r="AT945" i="1"/>
  <c r="AU945" i="1"/>
  <c r="AV945" i="1"/>
  <c r="AT946" i="1"/>
  <c r="AU946" i="1"/>
  <c r="AV946" i="1"/>
  <c r="AT947" i="1"/>
  <c r="AU947" i="1"/>
  <c r="AV947" i="1"/>
  <c r="AT948" i="1"/>
  <c r="AU948" i="1"/>
  <c r="AV948" i="1"/>
  <c r="AT949" i="1"/>
  <c r="AU949" i="1"/>
  <c r="AV949" i="1"/>
  <c r="AT950" i="1"/>
  <c r="AU950" i="1"/>
  <c r="AV950" i="1"/>
  <c r="AT951" i="1"/>
  <c r="AU951" i="1"/>
  <c r="AV951" i="1"/>
  <c r="AT952" i="1"/>
  <c r="AU952" i="1"/>
  <c r="AV952" i="1"/>
  <c r="AT953" i="1"/>
  <c r="AU953" i="1"/>
  <c r="AV953" i="1"/>
  <c r="AT954" i="1"/>
  <c r="AU954" i="1"/>
  <c r="AV954" i="1"/>
  <c r="AT955" i="1"/>
  <c r="AU955" i="1"/>
  <c r="AV955" i="1"/>
  <c r="AT956" i="1"/>
  <c r="AU956" i="1"/>
  <c r="AV956" i="1"/>
  <c r="AT957" i="1"/>
  <c r="AU957" i="1"/>
  <c r="AV957" i="1"/>
  <c r="AT958" i="1"/>
  <c r="AU958" i="1"/>
  <c r="AV958" i="1"/>
  <c r="AT959" i="1"/>
  <c r="AU959" i="1"/>
  <c r="AV959" i="1"/>
  <c r="AT960" i="1"/>
  <c r="AU960" i="1"/>
  <c r="AV960" i="1"/>
  <c r="AT961" i="1"/>
  <c r="AU961" i="1"/>
  <c r="AV961" i="1"/>
  <c r="AT962" i="1"/>
  <c r="AU962" i="1"/>
  <c r="AV962" i="1"/>
  <c r="AT963" i="1"/>
  <c r="AU963" i="1"/>
  <c r="AV963" i="1"/>
  <c r="AT964" i="1"/>
  <c r="AU964" i="1"/>
  <c r="AV964" i="1"/>
  <c r="AT965" i="1"/>
  <c r="AU965" i="1"/>
  <c r="AV965" i="1"/>
  <c r="AT966" i="1"/>
  <c r="AU966" i="1"/>
  <c r="AV966" i="1"/>
  <c r="AT967" i="1"/>
  <c r="AU967" i="1"/>
  <c r="AV967" i="1"/>
  <c r="AT968" i="1"/>
  <c r="AU968" i="1"/>
  <c r="AV968" i="1"/>
  <c r="AT969" i="1"/>
  <c r="AU969" i="1"/>
  <c r="AV969" i="1"/>
  <c r="AT970" i="1"/>
  <c r="AU970" i="1"/>
  <c r="AV970" i="1"/>
  <c r="AT971" i="1"/>
  <c r="AU971" i="1"/>
  <c r="AV971" i="1"/>
  <c r="AT972" i="1"/>
  <c r="AU972" i="1"/>
  <c r="AV972" i="1"/>
  <c r="AT973" i="1"/>
  <c r="AU973" i="1"/>
  <c r="AV973" i="1"/>
  <c r="AT974" i="1"/>
  <c r="AU974" i="1"/>
  <c r="AV974" i="1"/>
  <c r="AT975" i="1"/>
  <c r="AU975" i="1"/>
  <c r="AV975" i="1"/>
  <c r="AT976" i="1"/>
  <c r="AU976" i="1"/>
  <c r="AV976" i="1"/>
  <c r="AT977" i="1"/>
  <c r="AU977" i="1"/>
  <c r="AV977" i="1"/>
  <c r="AT978" i="1"/>
  <c r="AU978" i="1"/>
  <c r="AV978" i="1"/>
  <c r="AT979" i="1"/>
  <c r="AU979" i="1"/>
  <c r="AV979" i="1"/>
  <c r="AT980" i="1"/>
  <c r="AU980" i="1"/>
  <c r="AV980" i="1"/>
  <c r="AT981" i="1"/>
  <c r="AU981" i="1"/>
  <c r="AV981" i="1"/>
  <c r="AT982" i="1"/>
  <c r="AU982" i="1"/>
  <c r="AV982" i="1"/>
  <c r="AT983" i="1"/>
  <c r="AU983" i="1"/>
  <c r="AV983" i="1"/>
  <c r="AT984" i="1"/>
  <c r="AU984" i="1"/>
  <c r="AV984" i="1"/>
  <c r="AT985" i="1"/>
  <c r="AU985" i="1"/>
  <c r="AV985" i="1"/>
  <c r="AT986" i="1"/>
  <c r="AU986" i="1"/>
  <c r="AV986" i="1"/>
  <c r="AT987" i="1"/>
  <c r="AU987" i="1"/>
  <c r="AV987" i="1"/>
  <c r="AT988" i="1"/>
  <c r="AU988" i="1"/>
  <c r="AV988" i="1"/>
  <c r="AT989" i="1"/>
  <c r="AU989" i="1"/>
  <c r="AV989" i="1"/>
  <c r="AT990" i="1"/>
  <c r="AU990" i="1"/>
  <c r="AV990" i="1"/>
  <c r="AT991" i="1"/>
  <c r="AU991" i="1"/>
  <c r="AV991" i="1"/>
  <c r="AT992" i="1"/>
  <c r="AU992" i="1"/>
  <c r="AV992" i="1"/>
  <c r="AT993" i="1"/>
  <c r="AU993" i="1"/>
  <c r="AV993" i="1"/>
  <c r="AT994" i="1"/>
  <c r="AU994" i="1"/>
  <c r="AV994" i="1"/>
  <c r="AT995" i="1"/>
  <c r="AU995" i="1"/>
  <c r="AV995" i="1"/>
  <c r="AT996" i="1"/>
  <c r="AU996" i="1"/>
  <c r="AV996" i="1"/>
  <c r="AT997" i="1"/>
  <c r="AU997" i="1"/>
  <c r="AV997" i="1"/>
  <c r="AT998" i="1"/>
  <c r="AU998" i="1"/>
  <c r="AV998" i="1"/>
  <c r="AT999" i="1"/>
  <c r="AU999" i="1"/>
  <c r="AV999" i="1"/>
  <c r="AT1000" i="1"/>
  <c r="AU1000" i="1"/>
  <c r="AV1000" i="1"/>
  <c r="AT1001" i="1"/>
  <c r="AU1001" i="1"/>
  <c r="AV1001" i="1"/>
  <c r="AT1002" i="1"/>
  <c r="AU1002" i="1"/>
  <c r="AV1002" i="1"/>
  <c r="AT1003" i="1"/>
  <c r="AU1003" i="1"/>
  <c r="AV1003" i="1"/>
  <c r="AT1004" i="1"/>
  <c r="AU1004" i="1"/>
  <c r="AV1004" i="1"/>
  <c r="AT1005" i="1"/>
  <c r="AU1005" i="1"/>
  <c r="AV1005" i="1"/>
  <c r="AT1006" i="1"/>
  <c r="AU1006" i="1"/>
  <c r="AV1006" i="1"/>
  <c r="AT1007" i="1"/>
  <c r="AU1007" i="1"/>
  <c r="AV1007" i="1"/>
  <c r="AT1008" i="1"/>
  <c r="AU1008" i="1"/>
  <c r="AV1008" i="1"/>
  <c r="AT1009" i="1"/>
  <c r="AU1009" i="1"/>
  <c r="AV1009" i="1"/>
  <c r="AT1010" i="1"/>
  <c r="AU1010" i="1"/>
  <c r="AV1010" i="1"/>
  <c r="AT1011" i="1"/>
  <c r="AU1011" i="1"/>
  <c r="AV1011" i="1"/>
  <c r="AT1012" i="1"/>
  <c r="AU1012" i="1"/>
  <c r="AV1012" i="1"/>
  <c r="AT1013" i="1"/>
  <c r="AU1013" i="1"/>
  <c r="AV1013" i="1"/>
  <c r="AT1014" i="1"/>
  <c r="AU1014" i="1"/>
  <c r="AV1014" i="1"/>
  <c r="AT1015" i="1"/>
  <c r="AU1015" i="1"/>
  <c r="AV1015" i="1"/>
  <c r="AT1016" i="1"/>
  <c r="AU1016" i="1"/>
  <c r="AV1016" i="1"/>
  <c r="AT1017" i="1"/>
  <c r="AU1017" i="1"/>
  <c r="AV1017" i="1"/>
  <c r="AT1018" i="1"/>
  <c r="AU1018" i="1"/>
  <c r="AV1018" i="1"/>
  <c r="AT1019" i="1"/>
  <c r="AU1019" i="1"/>
  <c r="AV1019" i="1"/>
  <c r="AT1020" i="1"/>
  <c r="AU1020" i="1"/>
  <c r="AV1020" i="1"/>
  <c r="AT1021" i="1"/>
  <c r="AU1021" i="1"/>
  <c r="AV1021" i="1"/>
  <c r="AT1022" i="1"/>
  <c r="AU1022" i="1"/>
  <c r="AV1022" i="1"/>
  <c r="AT1023" i="1"/>
  <c r="AU1023" i="1"/>
  <c r="AV1023" i="1"/>
  <c r="AT1024" i="1"/>
  <c r="AU1024" i="1"/>
  <c r="AV1024" i="1"/>
  <c r="AT1025" i="1"/>
  <c r="AU1025" i="1"/>
  <c r="AV1025" i="1"/>
  <c r="AT1026" i="1"/>
  <c r="AU1026" i="1"/>
  <c r="AV1026" i="1"/>
  <c r="AT1027" i="1"/>
  <c r="AU1027" i="1"/>
  <c r="AV1027" i="1"/>
  <c r="AT1028" i="1"/>
  <c r="AU1028" i="1"/>
  <c r="AV1028" i="1"/>
  <c r="AT1029" i="1"/>
  <c r="AU1029" i="1"/>
  <c r="AV1029" i="1"/>
  <c r="AT1030" i="1"/>
  <c r="AU1030" i="1"/>
  <c r="AV1030" i="1"/>
  <c r="AT1031" i="1"/>
  <c r="AU1031" i="1"/>
  <c r="AV1031" i="1"/>
  <c r="AT1032" i="1"/>
  <c r="AU1032" i="1"/>
  <c r="AV1032" i="1"/>
  <c r="AT1033" i="1"/>
  <c r="AU1033" i="1"/>
  <c r="AV1033" i="1"/>
  <c r="AT1034" i="1"/>
  <c r="AU1034" i="1"/>
  <c r="AV1034" i="1"/>
  <c r="AT1035" i="1"/>
  <c r="AU1035" i="1"/>
  <c r="AV1035" i="1"/>
  <c r="AT1036" i="1"/>
  <c r="AU1036" i="1"/>
  <c r="AV1036" i="1"/>
  <c r="AT1037" i="1"/>
  <c r="AU1037" i="1"/>
  <c r="AV1037" i="1"/>
  <c r="AT1038" i="1"/>
  <c r="AU1038" i="1"/>
  <c r="AV1038" i="1"/>
  <c r="AT1039" i="1"/>
  <c r="AU1039" i="1"/>
  <c r="AV1039" i="1"/>
  <c r="AT1040" i="1"/>
  <c r="AU1040" i="1"/>
  <c r="AV1040" i="1"/>
  <c r="AT1041" i="1"/>
  <c r="AU1041" i="1"/>
  <c r="AV1041" i="1"/>
  <c r="AT1042" i="1"/>
  <c r="AU1042" i="1"/>
  <c r="AV1042" i="1"/>
  <c r="AT1043" i="1"/>
  <c r="AU1043" i="1"/>
  <c r="AV1043" i="1"/>
  <c r="AT1044" i="1"/>
  <c r="AU1044" i="1"/>
  <c r="AV1044" i="1"/>
  <c r="AT1045" i="1"/>
  <c r="AU1045" i="1"/>
  <c r="AV1045" i="1"/>
  <c r="AT1046" i="1"/>
  <c r="AU1046" i="1"/>
  <c r="AV1046" i="1"/>
  <c r="AT1047" i="1"/>
  <c r="AU1047" i="1"/>
  <c r="AV1047" i="1"/>
  <c r="AT1048" i="1"/>
  <c r="AU1048" i="1"/>
  <c r="AV1048" i="1"/>
  <c r="AT1049" i="1"/>
  <c r="AU1049" i="1"/>
  <c r="AV1049" i="1"/>
  <c r="AT1050" i="1"/>
  <c r="AU1050" i="1"/>
  <c r="AV1050" i="1"/>
  <c r="AT1051" i="1"/>
  <c r="AU1051" i="1"/>
  <c r="AV1051" i="1"/>
  <c r="AT1052" i="1"/>
  <c r="AU1052" i="1"/>
  <c r="AV1052" i="1"/>
  <c r="AT1053" i="1"/>
  <c r="AU1053" i="1"/>
  <c r="AV1053" i="1"/>
  <c r="AT1054" i="1"/>
  <c r="AU1054" i="1"/>
  <c r="AV1054" i="1"/>
  <c r="AT1055" i="1"/>
  <c r="AU1055" i="1"/>
  <c r="AV1055" i="1"/>
  <c r="AT1056" i="1"/>
  <c r="AU1056" i="1"/>
  <c r="AV1056" i="1"/>
  <c r="AT1057" i="1"/>
  <c r="AU1057" i="1"/>
  <c r="AV1057" i="1"/>
  <c r="AT1058" i="1"/>
  <c r="AU1058" i="1"/>
  <c r="AV1058" i="1"/>
  <c r="AT1059" i="1"/>
  <c r="AU1059" i="1"/>
  <c r="AV1059" i="1"/>
  <c r="AT1060" i="1"/>
  <c r="AU1060" i="1"/>
  <c r="AV1060" i="1"/>
  <c r="AT1061" i="1"/>
  <c r="AU1061" i="1"/>
  <c r="AV1061" i="1"/>
  <c r="AT1062" i="1"/>
  <c r="AU1062" i="1"/>
  <c r="AV1062" i="1"/>
  <c r="AT1063" i="1"/>
  <c r="AU1063" i="1"/>
  <c r="AV1063" i="1"/>
  <c r="AT1064" i="1"/>
  <c r="AU1064" i="1"/>
  <c r="AV1064" i="1"/>
  <c r="AT1065" i="1"/>
  <c r="AU1065" i="1"/>
  <c r="AV1065" i="1"/>
  <c r="AT1066" i="1"/>
  <c r="AU1066" i="1"/>
  <c r="AV1066" i="1"/>
  <c r="AT1067" i="1"/>
  <c r="AU1067" i="1"/>
  <c r="AV1067" i="1"/>
  <c r="AT1068" i="1"/>
  <c r="AU1068" i="1"/>
  <c r="AV1068" i="1"/>
  <c r="AT1069" i="1"/>
  <c r="AU1069" i="1"/>
  <c r="AV1069" i="1"/>
  <c r="AT1070" i="1"/>
  <c r="AU1070" i="1"/>
  <c r="AV1070" i="1"/>
  <c r="AT1071" i="1"/>
  <c r="AU1071" i="1"/>
  <c r="AV1071" i="1"/>
  <c r="AT1072" i="1"/>
  <c r="AU1072" i="1"/>
  <c r="AV1072" i="1"/>
  <c r="AT1073" i="1"/>
  <c r="AU1073" i="1"/>
  <c r="AV1073" i="1"/>
  <c r="AT1074" i="1"/>
  <c r="AU1074" i="1"/>
  <c r="AV1074" i="1"/>
  <c r="AT1075" i="1"/>
  <c r="AU1075" i="1"/>
  <c r="AV1075" i="1"/>
  <c r="AT1076" i="1"/>
  <c r="AU1076" i="1"/>
  <c r="AV1076" i="1"/>
  <c r="AT1077" i="1"/>
  <c r="AU1077" i="1"/>
  <c r="AV1077" i="1"/>
  <c r="AT1078" i="1"/>
  <c r="AU1078" i="1"/>
  <c r="AV1078" i="1"/>
  <c r="AT1079" i="1"/>
  <c r="AU1079" i="1"/>
  <c r="AV1079" i="1"/>
  <c r="AT1080" i="1"/>
  <c r="AU1080" i="1"/>
  <c r="AV1080" i="1"/>
  <c r="AT1081" i="1"/>
  <c r="AU1081" i="1"/>
  <c r="AV1081" i="1"/>
  <c r="AT1082" i="1"/>
  <c r="AU1082" i="1"/>
  <c r="AV1082" i="1"/>
  <c r="AT1083" i="1"/>
  <c r="AU1083" i="1"/>
  <c r="AV1083" i="1"/>
  <c r="AT1084" i="1"/>
  <c r="AU1084" i="1"/>
  <c r="AV1084" i="1"/>
  <c r="AT1085" i="1"/>
  <c r="AU1085" i="1"/>
  <c r="AV1085" i="1"/>
  <c r="AT1086" i="1"/>
  <c r="AU1086" i="1"/>
  <c r="AV1086" i="1"/>
  <c r="AT1087" i="1"/>
  <c r="AU1087" i="1"/>
  <c r="AV1087" i="1"/>
  <c r="AT1088" i="1"/>
  <c r="AU1088" i="1"/>
  <c r="AV1088" i="1"/>
  <c r="AT1089" i="1"/>
  <c r="AU1089" i="1"/>
  <c r="AV1089" i="1"/>
  <c r="AT1090" i="1"/>
  <c r="AU1090" i="1"/>
  <c r="AV1090" i="1"/>
  <c r="AT1091" i="1"/>
  <c r="AU1091" i="1"/>
  <c r="AV1091" i="1"/>
  <c r="AT1092" i="1"/>
  <c r="AU1092" i="1"/>
  <c r="AV1092" i="1"/>
  <c r="AT1093" i="1"/>
  <c r="AU1093" i="1"/>
  <c r="AV1093" i="1"/>
  <c r="AT1094" i="1"/>
  <c r="AU1094" i="1"/>
  <c r="AV1094" i="1"/>
  <c r="AT1095" i="1"/>
  <c r="AU1095" i="1"/>
  <c r="AV1095" i="1"/>
  <c r="AT1096" i="1"/>
  <c r="AU1096" i="1"/>
  <c r="AV1096" i="1"/>
  <c r="AT1097" i="1"/>
  <c r="AU1097" i="1"/>
  <c r="AV1097" i="1"/>
  <c r="AT1098" i="1"/>
  <c r="AU1098" i="1"/>
  <c r="AV1098" i="1"/>
  <c r="AT1099" i="1"/>
  <c r="AU1099" i="1"/>
  <c r="AV1099" i="1"/>
  <c r="AT1100" i="1"/>
  <c r="AU1100" i="1"/>
  <c r="AV1100" i="1"/>
  <c r="AT1101" i="1"/>
  <c r="AU1101" i="1"/>
  <c r="AV1101" i="1"/>
  <c r="AT1102" i="1"/>
  <c r="AU1102" i="1"/>
  <c r="AV1102" i="1"/>
  <c r="AT1103" i="1"/>
  <c r="AU1103" i="1"/>
  <c r="AV1103" i="1"/>
  <c r="AT1104" i="1"/>
  <c r="AU1104" i="1"/>
  <c r="AV1104" i="1"/>
  <c r="AT1105" i="1"/>
  <c r="AU1105" i="1"/>
  <c r="AV1105" i="1"/>
  <c r="AT1106" i="1"/>
  <c r="AU1106" i="1"/>
  <c r="AV1106" i="1"/>
  <c r="AT1107" i="1"/>
  <c r="AU1107" i="1"/>
  <c r="AV1107" i="1"/>
  <c r="AT1108" i="1"/>
  <c r="AU1108" i="1"/>
  <c r="AV1108" i="1"/>
  <c r="AT1109" i="1"/>
  <c r="AU1109" i="1"/>
  <c r="AV1109" i="1"/>
  <c r="AT1110" i="1"/>
  <c r="AU1110" i="1"/>
  <c r="AV1110" i="1"/>
  <c r="AT1111" i="1"/>
  <c r="AU1111" i="1"/>
  <c r="AV1111" i="1"/>
  <c r="AT1112" i="1"/>
  <c r="AU1112" i="1"/>
  <c r="AV1112" i="1"/>
  <c r="AT1113" i="1"/>
  <c r="AU1113" i="1"/>
  <c r="AV1113" i="1"/>
  <c r="AT1114" i="1"/>
  <c r="AU1114" i="1"/>
  <c r="AV1114" i="1"/>
  <c r="AT1115" i="1"/>
  <c r="AU1115" i="1"/>
  <c r="AV1115" i="1"/>
  <c r="AT1116" i="1"/>
  <c r="AU1116" i="1"/>
  <c r="AV1116" i="1"/>
  <c r="AT1117" i="1"/>
  <c r="AU1117" i="1"/>
  <c r="AV1117" i="1"/>
  <c r="AT1118" i="1"/>
  <c r="AU1118" i="1"/>
  <c r="AV1118" i="1"/>
  <c r="AT1119" i="1"/>
  <c r="AU1119" i="1"/>
  <c r="AV1119" i="1"/>
  <c r="AT1120" i="1"/>
  <c r="AU1120" i="1"/>
  <c r="AV1120" i="1"/>
  <c r="AT1121" i="1"/>
  <c r="AU1121" i="1"/>
  <c r="AV1121" i="1"/>
  <c r="AT1122" i="1"/>
  <c r="AU1122" i="1"/>
  <c r="AV1122" i="1"/>
  <c r="AT1123" i="1"/>
  <c r="AU1123" i="1"/>
  <c r="AV1123" i="1"/>
  <c r="AT1124" i="1"/>
  <c r="AU1124" i="1"/>
  <c r="AV1124" i="1"/>
  <c r="AT1125" i="1"/>
  <c r="AU1125" i="1"/>
  <c r="AV1125" i="1"/>
  <c r="AT1126" i="1"/>
  <c r="AU1126" i="1"/>
  <c r="AV1126" i="1"/>
  <c r="AT1127" i="1"/>
  <c r="AU1127" i="1"/>
  <c r="AV1127" i="1"/>
  <c r="AT1128" i="1"/>
  <c r="AU1128" i="1"/>
  <c r="AV1128" i="1"/>
  <c r="AT1129" i="1"/>
  <c r="AU1129" i="1"/>
  <c r="AV1129" i="1"/>
  <c r="AT1130" i="1"/>
  <c r="AU1130" i="1"/>
  <c r="AV1130" i="1"/>
  <c r="AT1131" i="1"/>
  <c r="AU1131" i="1"/>
  <c r="AV1131" i="1"/>
  <c r="AT1132" i="1"/>
  <c r="AU1132" i="1"/>
  <c r="AV1132" i="1"/>
  <c r="AT1133" i="1"/>
  <c r="AU1133" i="1"/>
  <c r="AV1133" i="1"/>
  <c r="AT1134" i="1"/>
  <c r="AU1134" i="1"/>
  <c r="AV1134" i="1"/>
  <c r="AT1135" i="1"/>
  <c r="AU1135" i="1"/>
  <c r="AV1135" i="1"/>
  <c r="AT1136" i="1"/>
  <c r="AU1136" i="1"/>
  <c r="AV1136" i="1"/>
  <c r="AT1137" i="1"/>
  <c r="AU1137" i="1"/>
  <c r="AV1137" i="1"/>
  <c r="AT1138" i="1"/>
  <c r="AU1138" i="1"/>
  <c r="AV1138" i="1"/>
  <c r="AT1139" i="1"/>
  <c r="AU1139" i="1"/>
  <c r="AV1139" i="1"/>
  <c r="AT1140" i="1"/>
  <c r="AU1140" i="1"/>
  <c r="AV1140" i="1"/>
  <c r="AT1141" i="1"/>
  <c r="AU1141" i="1"/>
  <c r="AV1141" i="1"/>
  <c r="AT1142" i="1"/>
  <c r="AU1142" i="1"/>
  <c r="AV1142" i="1"/>
  <c r="AT1143" i="1"/>
  <c r="AU1143" i="1"/>
  <c r="AV1143" i="1"/>
  <c r="AT1144" i="1"/>
  <c r="AU1144" i="1"/>
  <c r="AV1144" i="1"/>
  <c r="AT1145" i="1"/>
  <c r="AU1145" i="1"/>
  <c r="AV1145" i="1"/>
  <c r="AT1146" i="1"/>
  <c r="AU1146" i="1"/>
  <c r="AV1146" i="1"/>
  <c r="AT1147" i="1"/>
  <c r="AU1147" i="1"/>
  <c r="AV1147" i="1"/>
  <c r="AT1148" i="1"/>
  <c r="AU1148" i="1"/>
  <c r="AV1148" i="1"/>
  <c r="AT1149" i="1"/>
  <c r="AU1149" i="1"/>
  <c r="AV1149" i="1"/>
  <c r="AT1150" i="1"/>
  <c r="AU1150" i="1"/>
  <c r="AV1150" i="1"/>
  <c r="AT1151" i="1"/>
  <c r="AU1151" i="1"/>
  <c r="AV1151" i="1"/>
  <c r="AT1152" i="1"/>
  <c r="AU1152" i="1"/>
  <c r="AV1152" i="1"/>
  <c r="AT1153" i="1"/>
  <c r="AU1153" i="1"/>
  <c r="AV1153" i="1"/>
  <c r="AT1154" i="1"/>
  <c r="AU1154" i="1"/>
  <c r="AV1154" i="1"/>
  <c r="AT1155" i="1"/>
  <c r="AU1155" i="1"/>
  <c r="AV1155" i="1"/>
  <c r="AT1156" i="1"/>
  <c r="AU1156" i="1"/>
  <c r="AV1156" i="1"/>
  <c r="AT1157" i="1"/>
  <c r="AU1157" i="1"/>
  <c r="AV1157" i="1"/>
  <c r="AT1158" i="1"/>
  <c r="AU1158" i="1"/>
  <c r="AV1158" i="1"/>
  <c r="AT1159" i="1"/>
  <c r="AU1159" i="1"/>
  <c r="AV1159" i="1"/>
  <c r="AT1160" i="1"/>
  <c r="AU1160" i="1"/>
  <c r="AV1160" i="1"/>
  <c r="AT1161" i="1"/>
  <c r="AU1161" i="1"/>
  <c r="AV1161" i="1"/>
  <c r="AT1162" i="1"/>
  <c r="AU1162" i="1"/>
  <c r="AV1162" i="1"/>
  <c r="AT1163" i="1"/>
  <c r="AU1163" i="1"/>
  <c r="AV1163" i="1"/>
  <c r="AT1164" i="1"/>
  <c r="AU1164" i="1"/>
  <c r="AV1164" i="1"/>
  <c r="AT1165" i="1"/>
  <c r="AU1165" i="1"/>
  <c r="AV1165" i="1"/>
  <c r="AT1166" i="1"/>
  <c r="AU1166" i="1"/>
  <c r="AV1166" i="1"/>
  <c r="AT1167" i="1"/>
  <c r="AU1167" i="1"/>
  <c r="AV1167" i="1"/>
  <c r="AT1168" i="1"/>
  <c r="AU1168" i="1"/>
  <c r="AV1168" i="1"/>
  <c r="AT1169" i="1"/>
  <c r="AU1169" i="1"/>
  <c r="AV1169" i="1"/>
  <c r="AT1170" i="1"/>
  <c r="AU1170" i="1"/>
  <c r="AV1170" i="1"/>
  <c r="AT1171" i="1"/>
  <c r="AU1171" i="1"/>
  <c r="AV1171" i="1"/>
  <c r="AT1172" i="1"/>
  <c r="AU1172" i="1"/>
  <c r="AV1172" i="1"/>
  <c r="AT1173" i="1"/>
  <c r="AU1173" i="1"/>
  <c r="AV1173" i="1"/>
  <c r="AT1174" i="1"/>
  <c r="AU1174" i="1"/>
  <c r="AV1174" i="1"/>
  <c r="AT1175" i="1"/>
  <c r="AU1175" i="1"/>
  <c r="AV1175" i="1"/>
  <c r="AT1176" i="1"/>
  <c r="AU1176" i="1"/>
  <c r="AV1176" i="1"/>
  <c r="AT1177" i="1"/>
  <c r="AU1177" i="1"/>
  <c r="AV1177" i="1"/>
  <c r="AT1178" i="1"/>
  <c r="AU1178" i="1"/>
  <c r="AV1178" i="1"/>
  <c r="AT1179" i="1"/>
  <c r="AU1179" i="1"/>
  <c r="AV1179" i="1"/>
  <c r="AT1180" i="1"/>
  <c r="AU1180" i="1"/>
  <c r="AV1180" i="1"/>
  <c r="AT1181" i="1"/>
  <c r="AU1181" i="1"/>
  <c r="AV1181" i="1"/>
  <c r="AT1182" i="1"/>
  <c r="AU1182" i="1"/>
  <c r="AV1182" i="1"/>
  <c r="AT1183" i="1"/>
  <c r="AU1183" i="1"/>
  <c r="AV1183" i="1"/>
  <c r="AT1184" i="1"/>
  <c r="AU1184" i="1"/>
  <c r="AV1184" i="1"/>
  <c r="AT1185" i="1"/>
  <c r="AU1185" i="1"/>
  <c r="AV1185" i="1"/>
  <c r="AT1186" i="1"/>
  <c r="AU1186" i="1"/>
  <c r="AV1186" i="1"/>
  <c r="AT1187" i="1"/>
  <c r="AU1187" i="1"/>
  <c r="AV1187" i="1"/>
  <c r="AT1188" i="1"/>
  <c r="AU1188" i="1"/>
  <c r="AV1188" i="1"/>
  <c r="AT1189" i="1"/>
  <c r="AU1189" i="1"/>
  <c r="AV1189" i="1"/>
  <c r="AT1190" i="1"/>
  <c r="AU1190" i="1"/>
  <c r="AV1190" i="1"/>
  <c r="AT1191" i="1"/>
  <c r="AU1191" i="1"/>
  <c r="AV1191" i="1"/>
  <c r="AT1192" i="1"/>
  <c r="AU1192" i="1"/>
  <c r="AV1192" i="1"/>
  <c r="AT1193" i="1"/>
  <c r="AU1193" i="1"/>
  <c r="AV1193" i="1"/>
  <c r="AT1194" i="1"/>
  <c r="AU1194" i="1"/>
  <c r="AV1194" i="1"/>
  <c r="AT1195" i="1"/>
  <c r="AU1195" i="1"/>
  <c r="AV1195" i="1"/>
  <c r="AT1196" i="1"/>
  <c r="AU1196" i="1"/>
  <c r="AV1196" i="1"/>
  <c r="AT1197" i="1"/>
  <c r="AU1197" i="1"/>
  <c r="AV1197" i="1"/>
  <c r="AT1198" i="1"/>
  <c r="AU1198" i="1"/>
  <c r="AV1198" i="1"/>
  <c r="AT1199" i="1"/>
  <c r="AU1199" i="1"/>
  <c r="AV1199" i="1"/>
  <c r="AT1200" i="1"/>
  <c r="AU1200" i="1"/>
  <c r="AV1200" i="1"/>
  <c r="AT1201" i="1"/>
  <c r="AU1201" i="1"/>
  <c r="AV1201" i="1"/>
  <c r="AT1202" i="1"/>
  <c r="AU1202" i="1"/>
  <c r="AV1202" i="1"/>
  <c r="AT1203" i="1"/>
  <c r="AU1203" i="1"/>
  <c r="AV1203" i="1"/>
  <c r="AT1204" i="1"/>
  <c r="AU1204" i="1"/>
  <c r="AV1204" i="1"/>
  <c r="AT1205" i="1"/>
  <c r="AU1205" i="1"/>
  <c r="AV1205" i="1"/>
  <c r="AT1206" i="1"/>
  <c r="AU1206" i="1"/>
  <c r="AV1206" i="1"/>
  <c r="AT1207" i="1"/>
  <c r="AU1207" i="1"/>
  <c r="AV1207" i="1"/>
  <c r="AT1208" i="1"/>
  <c r="AU1208" i="1"/>
  <c r="AV1208" i="1"/>
  <c r="AT1209" i="1"/>
  <c r="AU1209" i="1"/>
  <c r="AV1209" i="1"/>
  <c r="AT1210" i="1"/>
  <c r="AU1210" i="1"/>
  <c r="AV1210" i="1"/>
  <c r="AT1211" i="1"/>
  <c r="AU1211" i="1"/>
  <c r="AV1211" i="1"/>
  <c r="AT1212" i="1"/>
  <c r="AU1212" i="1"/>
  <c r="AV1212" i="1"/>
  <c r="AT1213" i="1"/>
  <c r="AU1213" i="1"/>
  <c r="AV1213" i="1"/>
  <c r="AT1214" i="1"/>
  <c r="AU1214" i="1"/>
  <c r="AV1214" i="1"/>
  <c r="AT1215" i="1"/>
  <c r="AU1215" i="1"/>
  <c r="AV1215" i="1"/>
  <c r="AT1216" i="1"/>
  <c r="AU1216" i="1"/>
  <c r="AV1216" i="1"/>
  <c r="AT1217" i="1"/>
  <c r="AU1217" i="1"/>
  <c r="AV1217" i="1"/>
  <c r="AT1218" i="1"/>
  <c r="AU1218" i="1"/>
  <c r="AV1218" i="1"/>
  <c r="AT1219" i="1"/>
  <c r="AU1219" i="1"/>
  <c r="AV1219" i="1"/>
  <c r="AT1220" i="1"/>
  <c r="AU1220" i="1"/>
  <c r="AV1220" i="1"/>
  <c r="AT1221" i="1"/>
  <c r="AU1221" i="1"/>
  <c r="AV1221" i="1"/>
  <c r="AT1222" i="1"/>
  <c r="AU1222" i="1"/>
  <c r="AV1222" i="1"/>
  <c r="AT1223" i="1"/>
  <c r="AU1223" i="1"/>
  <c r="AV1223" i="1"/>
  <c r="AT1224" i="1"/>
  <c r="AU1224" i="1"/>
  <c r="AV1224" i="1"/>
  <c r="AT1225" i="1"/>
  <c r="AU1225" i="1"/>
  <c r="AV1225" i="1"/>
  <c r="AT1226" i="1"/>
  <c r="AU1226" i="1"/>
  <c r="AV1226" i="1"/>
  <c r="AT1227" i="1"/>
  <c r="AU1227" i="1"/>
  <c r="AV1227" i="1"/>
  <c r="AT1228" i="1"/>
  <c r="AU1228" i="1"/>
  <c r="AV1228" i="1"/>
  <c r="AT1229" i="1"/>
  <c r="AU1229" i="1"/>
  <c r="AV1229" i="1"/>
  <c r="AT1230" i="1"/>
  <c r="AU1230" i="1"/>
  <c r="AV1230" i="1"/>
  <c r="AT1231" i="1"/>
  <c r="AU1231" i="1"/>
  <c r="AV1231" i="1"/>
  <c r="AT1232" i="1"/>
  <c r="AU1232" i="1"/>
  <c r="AV1232" i="1"/>
  <c r="AT1233" i="1"/>
  <c r="AU1233" i="1"/>
  <c r="AV1233" i="1"/>
  <c r="AT1234" i="1"/>
  <c r="AU1234" i="1"/>
  <c r="AV1234" i="1"/>
  <c r="AT1235" i="1"/>
  <c r="AU1235" i="1"/>
  <c r="AV1235" i="1"/>
  <c r="AT1236" i="1"/>
  <c r="AU1236" i="1"/>
  <c r="AV1236" i="1"/>
  <c r="AT1237" i="1"/>
  <c r="AU1237" i="1"/>
  <c r="AV1237" i="1"/>
  <c r="AT1238" i="1"/>
  <c r="AU1238" i="1"/>
  <c r="AV1238" i="1"/>
  <c r="AT1239" i="1"/>
  <c r="AU1239" i="1"/>
  <c r="AV1239" i="1"/>
  <c r="AT1240" i="1"/>
  <c r="AU1240" i="1"/>
  <c r="AV1240" i="1"/>
  <c r="AT1241" i="1"/>
  <c r="AU1241" i="1"/>
  <c r="AV1241" i="1"/>
  <c r="AT1242" i="1"/>
  <c r="AU1242" i="1"/>
  <c r="AV1242" i="1"/>
  <c r="AT1243" i="1"/>
  <c r="AU1243" i="1"/>
  <c r="AV1243" i="1"/>
  <c r="AT1244" i="1"/>
  <c r="AU1244" i="1"/>
  <c r="AV1244" i="1"/>
  <c r="AT1245" i="1"/>
  <c r="AU1245" i="1"/>
  <c r="AV1245" i="1"/>
  <c r="AT1246" i="1"/>
  <c r="AU1246" i="1"/>
  <c r="AV1246" i="1"/>
  <c r="AT1247" i="1"/>
  <c r="AU1247" i="1"/>
  <c r="AV1247" i="1"/>
  <c r="AT1248" i="1"/>
  <c r="AU1248" i="1"/>
  <c r="AV1248" i="1"/>
  <c r="AT1249" i="1"/>
  <c r="AU1249" i="1"/>
  <c r="AV1249" i="1"/>
  <c r="AT1250" i="1"/>
  <c r="AU1250" i="1"/>
  <c r="AV1250" i="1"/>
  <c r="AT1251" i="1"/>
  <c r="AU1251" i="1"/>
  <c r="AV1251" i="1"/>
  <c r="AT1252" i="1"/>
  <c r="AU1252" i="1"/>
  <c r="AV1252" i="1"/>
  <c r="AT1253" i="1"/>
  <c r="AU1253" i="1"/>
  <c r="AV1253" i="1"/>
  <c r="AT1254" i="1"/>
  <c r="AU1254" i="1"/>
  <c r="AV1254" i="1"/>
  <c r="AT1255" i="1"/>
  <c r="AU1255" i="1"/>
  <c r="AV1255" i="1"/>
  <c r="AT1256" i="1"/>
  <c r="AU1256" i="1"/>
  <c r="AV1256" i="1"/>
  <c r="AT1257" i="1"/>
  <c r="AU1257" i="1"/>
  <c r="AV1257" i="1"/>
  <c r="AT1258" i="1"/>
  <c r="AU1258" i="1"/>
  <c r="AV1258" i="1"/>
  <c r="AT1259" i="1"/>
  <c r="AU1259" i="1"/>
  <c r="AV1259" i="1"/>
  <c r="AT1260" i="1"/>
  <c r="AU1260" i="1"/>
  <c r="AV1260" i="1"/>
  <c r="AT1261" i="1"/>
  <c r="AU1261" i="1"/>
  <c r="AV1261" i="1"/>
  <c r="AT1262" i="1"/>
  <c r="AU1262" i="1"/>
  <c r="AV1262" i="1"/>
  <c r="AT1263" i="1"/>
  <c r="AU1263" i="1"/>
  <c r="AV1263" i="1"/>
  <c r="AT1264" i="1"/>
  <c r="AU1264" i="1"/>
  <c r="AV1264" i="1"/>
  <c r="AT1265" i="1"/>
  <c r="AU1265" i="1"/>
  <c r="AV1265" i="1"/>
  <c r="AT1266" i="1"/>
  <c r="AU1266" i="1"/>
  <c r="AV1266" i="1"/>
  <c r="AT1267" i="1"/>
  <c r="AU1267" i="1"/>
  <c r="AV1267" i="1"/>
  <c r="AT1268" i="1"/>
  <c r="AU1268" i="1"/>
  <c r="AV1268" i="1"/>
  <c r="AT1269" i="1"/>
  <c r="AU1269" i="1"/>
  <c r="AV1269" i="1"/>
  <c r="AT1270" i="1"/>
  <c r="AU1270" i="1"/>
  <c r="AV1270" i="1"/>
  <c r="AT1271" i="1"/>
  <c r="AU1271" i="1"/>
  <c r="AV1271" i="1"/>
  <c r="AT1272" i="1"/>
  <c r="AU1272" i="1"/>
  <c r="AV1272" i="1"/>
  <c r="AT1273" i="1"/>
  <c r="AU1273" i="1"/>
  <c r="AV1273" i="1"/>
  <c r="AT1274" i="1"/>
  <c r="AU1274" i="1"/>
  <c r="AV1274" i="1"/>
  <c r="AT1275" i="1"/>
  <c r="AU1275" i="1"/>
  <c r="AV1275" i="1"/>
  <c r="AT1276" i="1"/>
  <c r="AU1276" i="1"/>
  <c r="AV1276" i="1"/>
  <c r="AT1277" i="1"/>
  <c r="AU1277" i="1"/>
  <c r="AV1277" i="1"/>
  <c r="AT1278" i="1"/>
  <c r="AU1278" i="1"/>
  <c r="AV1278" i="1"/>
  <c r="AT1279" i="1"/>
  <c r="AU1279" i="1"/>
  <c r="AV1279" i="1"/>
  <c r="AT1280" i="1"/>
  <c r="AU1280" i="1"/>
  <c r="AV1280" i="1"/>
  <c r="AT1281" i="1"/>
  <c r="AU1281" i="1"/>
  <c r="AV1281" i="1"/>
  <c r="AT1282" i="1"/>
  <c r="AU1282" i="1"/>
  <c r="AV1282" i="1"/>
  <c r="AT1283" i="1"/>
  <c r="AU1283" i="1"/>
  <c r="AV1283" i="1"/>
  <c r="AT1284" i="1"/>
  <c r="AU1284" i="1"/>
  <c r="AV1284" i="1"/>
  <c r="AT1285" i="1"/>
  <c r="AU1285" i="1"/>
  <c r="AV1285" i="1"/>
  <c r="AT1286" i="1"/>
  <c r="AU1286" i="1"/>
  <c r="AV1286" i="1"/>
  <c r="AT1287" i="1"/>
  <c r="AU1287" i="1"/>
  <c r="AV1287" i="1"/>
  <c r="AT1288" i="1"/>
  <c r="AU1288" i="1"/>
  <c r="AV1288" i="1"/>
  <c r="AT1289" i="1"/>
  <c r="AU1289" i="1"/>
  <c r="AV1289" i="1"/>
  <c r="AT1290" i="1"/>
  <c r="AU1290" i="1"/>
  <c r="AV1290" i="1"/>
  <c r="AT1291" i="1"/>
  <c r="AU1291" i="1"/>
  <c r="AV1291" i="1"/>
  <c r="AT1292" i="1"/>
  <c r="AU1292" i="1"/>
  <c r="AV1292" i="1"/>
  <c r="AT1293" i="1"/>
  <c r="AU1293" i="1"/>
  <c r="AV1293" i="1"/>
  <c r="AT1294" i="1"/>
  <c r="AU1294" i="1"/>
  <c r="AV1294" i="1"/>
  <c r="AT1295" i="1"/>
  <c r="AU1295" i="1"/>
  <c r="AV1295" i="1"/>
  <c r="AT1296" i="1"/>
  <c r="AU1296" i="1"/>
  <c r="AV1296" i="1"/>
  <c r="AT1297" i="1"/>
  <c r="AU1297" i="1"/>
  <c r="AV1297" i="1"/>
  <c r="AT1298" i="1"/>
  <c r="AU1298" i="1"/>
  <c r="AV1298" i="1"/>
  <c r="AT1299" i="1"/>
  <c r="AU1299" i="1"/>
  <c r="AV1299" i="1"/>
  <c r="AT1300" i="1"/>
  <c r="AU1300" i="1"/>
  <c r="AV1300" i="1"/>
  <c r="AT1301" i="1"/>
  <c r="AU1301" i="1"/>
  <c r="AV1301" i="1"/>
  <c r="AT1302" i="1"/>
  <c r="AU1302" i="1"/>
  <c r="AV1302" i="1"/>
  <c r="AT1303" i="1"/>
  <c r="AU1303" i="1"/>
  <c r="AV1303" i="1"/>
  <c r="AT1304" i="1"/>
  <c r="AU1304" i="1"/>
  <c r="AV1304" i="1"/>
  <c r="AT1305" i="1"/>
  <c r="AU1305" i="1"/>
  <c r="AV1305" i="1"/>
  <c r="AT1306" i="1"/>
  <c r="AU1306" i="1"/>
  <c r="AV1306" i="1"/>
  <c r="AT1307" i="1"/>
  <c r="AU1307" i="1"/>
  <c r="AV1307" i="1"/>
  <c r="AT1308" i="1"/>
  <c r="AU1308" i="1"/>
  <c r="AV1308" i="1"/>
  <c r="AT1309" i="1"/>
  <c r="AU1309" i="1"/>
  <c r="AV1309" i="1"/>
  <c r="AT1310" i="1"/>
  <c r="AU1310" i="1"/>
  <c r="AV1310" i="1"/>
  <c r="AT1311" i="1"/>
  <c r="AU1311" i="1"/>
  <c r="AV1311" i="1"/>
  <c r="AT1312" i="1"/>
  <c r="AU1312" i="1"/>
  <c r="AV1312" i="1"/>
  <c r="AT1313" i="1"/>
  <c r="AU1313" i="1"/>
  <c r="AV1313" i="1"/>
  <c r="AT1314" i="1"/>
  <c r="AU1314" i="1"/>
  <c r="AV1314" i="1"/>
  <c r="AT1315" i="1"/>
  <c r="AU1315" i="1"/>
  <c r="AV1315" i="1"/>
  <c r="AT1316" i="1"/>
  <c r="AU1316" i="1"/>
  <c r="AV1316" i="1"/>
  <c r="AT1317" i="1"/>
  <c r="AU1317" i="1"/>
  <c r="AV1317" i="1"/>
  <c r="AT1318" i="1"/>
  <c r="AU1318" i="1"/>
  <c r="AV1318" i="1"/>
  <c r="AT1319" i="1"/>
  <c r="AU1319" i="1"/>
  <c r="AV1319" i="1"/>
  <c r="AT1320" i="1"/>
  <c r="AU1320" i="1"/>
  <c r="AV1320" i="1"/>
  <c r="AT1321" i="1"/>
  <c r="AU1321" i="1"/>
  <c r="AV1321" i="1"/>
  <c r="AT1322" i="1"/>
  <c r="AU1322" i="1"/>
  <c r="AV1322" i="1"/>
  <c r="AT1323" i="1"/>
  <c r="AU1323" i="1"/>
  <c r="AV1323" i="1"/>
  <c r="AT1324" i="1"/>
  <c r="AU1324" i="1"/>
  <c r="AV1324" i="1"/>
  <c r="AT1325" i="1"/>
  <c r="AU1325" i="1"/>
  <c r="AV1325" i="1"/>
  <c r="AT1326" i="1"/>
  <c r="AU1326" i="1"/>
  <c r="AV1326" i="1"/>
  <c r="AT1327" i="1"/>
  <c r="AU1327" i="1"/>
  <c r="AV1327" i="1"/>
  <c r="AT1328" i="1"/>
  <c r="AU1328" i="1"/>
  <c r="AV1328" i="1"/>
  <c r="AT1329" i="1"/>
  <c r="AU1329" i="1"/>
  <c r="AV1329" i="1"/>
  <c r="AT1330" i="1"/>
  <c r="AU1330" i="1"/>
  <c r="AV1330" i="1"/>
  <c r="AT1331" i="1"/>
  <c r="AU1331" i="1"/>
  <c r="AV1331" i="1"/>
  <c r="AT1332" i="1"/>
  <c r="AU1332" i="1"/>
  <c r="AV1332" i="1"/>
  <c r="AT1333" i="1"/>
  <c r="AU1333" i="1"/>
  <c r="AV1333" i="1"/>
  <c r="AT1334" i="1"/>
  <c r="AU1334" i="1"/>
  <c r="AV1334" i="1"/>
  <c r="AT1335" i="1"/>
  <c r="AU1335" i="1"/>
  <c r="AV1335" i="1"/>
  <c r="AT1336" i="1"/>
  <c r="AU1336" i="1"/>
  <c r="AV1336" i="1"/>
  <c r="AT1337" i="1"/>
  <c r="AU1337" i="1"/>
  <c r="AV1337" i="1"/>
  <c r="AT1338" i="1"/>
  <c r="AU1338" i="1"/>
  <c r="AV1338" i="1"/>
  <c r="AT1339" i="1"/>
  <c r="AU1339" i="1"/>
  <c r="AV1339" i="1"/>
  <c r="AT1340" i="1"/>
  <c r="AU1340" i="1"/>
  <c r="AV1340" i="1"/>
  <c r="AT1341" i="1"/>
  <c r="AU1341" i="1"/>
  <c r="AV1341" i="1"/>
  <c r="AT1342" i="1"/>
  <c r="AU1342" i="1"/>
  <c r="AV1342" i="1"/>
  <c r="AT1343" i="1"/>
  <c r="AU1343" i="1"/>
  <c r="AV1343" i="1"/>
  <c r="AT1344" i="1"/>
  <c r="AU1344" i="1"/>
  <c r="AV1344" i="1"/>
  <c r="AT1345" i="1"/>
  <c r="AU1345" i="1"/>
  <c r="AV1345" i="1"/>
  <c r="AT1346" i="1"/>
  <c r="AU1346" i="1"/>
  <c r="AV1346" i="1"/>
  <c r="AT1347" i="1"/>
  <c r="AU1347" i="1"/>
  <c r="AV1347" i="1"/>
  <c r="AT1348" i="1"/>
  <c r="AU1348" i="1"/>
  <c r="AV1348" i="1"/>
  <c r="AT1349" i="1"/>
  <c r="AU1349" i="1"/>
  <c r="AV1349" i="1"/>
  <c r="AT1350" i="1"/>
  <c r="AU1350" i="1"/>
  <c r="AV1350" i="1"/>
  <c r="AT1351" i="1"/>
  <c r="AU1351" i="1"/>
  <c r="AV1351" i="1"/>
  <c r="AT1352" i="1"/>
  <c r="AU1352" i="1"/>
  <c r="AV1352" i="1"/>
  <c r="AT1353" i="1"/>
  <c r="AU1353" i="1"/>
  <c r="AV1353" i="1"/>
  <c r="AT1354" i="1"/>
  <c r="AU1354" i="1"/>
  <c r="AV1354" i="1"/>
  <c r="AT1355" i="1"/>
  <c r="AU1355" i="1"/>
  <c r="AV1355" i="1"/>
  <c r="AT1356" i="1"/>
  <c r="AU1356" i="1"/>
  <c r="AV1356" i="1"/>
  <c r="AT1357" i="1"/>
  <c r="AU1357" i="1"/>
  <c r="AV1357" i="1"/>
  <c r="AT1358" i="1"/>
  <c r="AU1358" i="1"/>
  <c r="AV1358" i="1"/>
  <c r="AT1359" i="1"/>
  <c r="AU1359" i="1"/>
  <c r="AV1359" i="1"/>
  <c r="AT1360" i="1"/>
  <c r="AU1360" i="1"/>
  <c r="AV1360" i="1"/>
  <c r="AT1361" i="1"/>
  <c r="AU1361" i="1"/>
  <c r="AV1361" i="1"/>
  <c r="AT1362" i="1"/>
  <c r="AU1362" i="1"/>
  <c r="AV1362" i="1"/>
  <c r="AT1363" i="1"/>
  <c r="AU1363" i="1"/>
  <c r="AV1363" i="1"/>
  <c r="AT1364" i="1"/>
  <c r="AU1364" i="1"/>
  <c r="AV1364" i="1"/>
  <c r="AT1365" i="1"/>
  <c r="AU1365" i="1"/>
  <c r="AV1365" i="1"/>
  <c r="AT1366" i="1"/>
  <c r="AU1366" i="1"/>
  <c r="AV1366" i="1"/>
  <c r="AT1367" i="1"/>
  <c r="AU1367" i="1"/>
  <c r="AV1367" i="1"/>
  <c r="AT1368" i="1"/>
  <c r="AU1368" i="1"/>
  <c r="AV1368" i="1"/>
  <c r="AT1369" i="1"/>
  <c r="AU1369" i="1"/>
  <c r="AV1369" i="1"/>
  <c r="AT1370" i="1"/>
  <c r="AU1370" i="1"/>
  <c r="AV1370" i="1"/>
  <c r="AT1371" i="1"/>
  <c r="AU1371" i="1"/>
  <c r="AV1371" i="1"/>
  <c r="AT1372" i="1"/>
  <c r="AU1372" i="1"/>
  <c r="AV1372" i="1"/>
  <c r="AT1373" i="1"/>
  <c r="AU1373" i="1"/>
  <c r="AV1373" i="1"/>
  <c r="AT1374" i="1"/>
  <c r="AU1374" i="1"/>
  <c r="AV1374" i="1"/>
  <c r="AT1375" i="1"/>
  <c r="AU1375" i="1"/>
  <c r="AV1375" i="1"/>
  <c r="AT1376" i="1"/>
  <c r="AU1376" i="1"/>
  <c r="AV1376" i="1"/>
  <c r="AT1377" i="1"/>
  <c r="AU1377" i="1"/>
  <c r="AV1377" i="1"/>
  <c r="AT1378" i="1"/>
  <c r="AU1378" i="1"/>
  <c r="AV1378" i="1"/>
  <c r="AT1379" i="1"/>
  <c r="AU1379" i="1"/>
  <c r="AV1379" i="1"/>
  <c r="AT1380" i="1"/>
  <c r="AU1380" i="1"/>
  <c r="AV1380" i="1"/>
  <c r="AT1381" i="1"/>
  <c r="AU1381" i="1"/>
  <c r="AV1381" i="1"/>
  <c r="AT1382" i="1"/>
  <c r="AU1382" i="1"/>
  <c r="AV1382" i="1"/>
  <c r="AT1383" i="1"/>
  <c r="AU1383" i="1"/>
  <c r="AV1383" i="1"/>
  <c r="AT1384" i="1"/>
  <c r="AU1384" i="1"/>
  <c r="AV1384" i="1"/>
  <c r="AT1385" i="1"/>
  <c r="AU1385" i="1"/>
  <c r="AV1385" i="1"/>
  <c r="AT1386" i="1"/>
  <c r="AU1386" i="1"/>
  <c r="AV1386" i="1"/>
  <c r="AT1387" i="1"/>
  <c r="AU1387" i="1"/>
  <c r="AV1387" i="1"/>
  <c r="AT1388" i="1"/>
  <c r="AU1388" i="1"/>
  <c r="AV1388" i="1"/>
  <c r="AT1389" i="1"/>
  <c r="AU1389" i="1"/>
  <c r="AV1389" i="1"/>
  <c r="AT1390" i="1"/>
  <c r="AU1390" i="1"/>
  <c r="AV1390" i="1"/>
  <c r="AT1391" i="1"/>
  <c r="AU1391" i="1"/>
  <c r="AV1391" i="1"/>
  <c r="AT1392" i="1"/>
  <c r="AU1392" i="1"/>
  <c r="AV1392" i="1"/>
  <c r="AT1393" i="1"/>
  <c r="AU1393" i="1"/>
  <c r="AV1393" i="1"/>
  <c r="AT1394" i="1"/>
  <c r="AU1394" i="1"/>
  <c r="AV1394" i="1"/>
  <c r="AT1395" i="1"/>
  <c r="AU1395" i="1"/>
  <c r="AV1395" i="1"/>
  <c r="AT1396" i="1"/>
  <c r="AU1396" i="1"/>
  <c r="AV1396" i="1"/>
  <c r="AT1397" i="1"/>
  <c r="AU1397" i="1"/>
  <c r="AV1397" i="1"/>
  <c r="AT1398" i="1"/>
  <c r="AU1398" i="1"/>
  <c r="AV1398" i="1"/>
  <c r="AT1399" i="1"/>
  <c r="AU1399" i="1"/>
  <c r="AV1399" i="1"/>
  <c r="AT1400" i="1"/>
  <c r="AU1400" i="1"/>
  <c r="AV1400" i="1"/>
  <c r="AT1401" i="1"/>
  <c r="AU1401" i="1"/>
  <c r="AV1401" i="1"/>
  <c r="AT1402" i="1"/>
  <c r="AU1402" i="1"/>
  <c r="AV1402" i="1"/>
  <c r="AT1403" i="1"/>
  <c r="AU1403" i="1"/>
  <c r="AV1403" i="1"/>
  <c r="AT1404" i="1"/>
  <c r="AU1404" i="1"/>
  <c r="AV1404" i="1"/>
  <c r="AT1405" i="1"/>
  <c r="AU1405" i="1"/>
  <c r="AV1405" i="1"/>
  <c r="AT1406" i="1"/>
  <c r="AU1406" i="1"/>
  <c r="AV1406" i="1"/>
  <c r="AT1407" i="1"/>
  <c r="AU1407" i="1"/>
  <c r="AV1407" i="1"/>
  <c r="AT1408" i="1"/>
  <c r="AU1408" i="1"/>
  <c r="AV1408" i="1"/>
  <c r="AT1409" i="1"/>
  <c r="AU1409" i="1"/>
  <c r="AV1409" i="1"/>
  <c r="AT1410" i="1"/>
  <c r="AU1410" i="1"/>
  <c r="AV1410" i="1"/>
  <c r="AT1411" i="1"/>
  <c r="AU1411" i="1"/>
  <c r="AV1411" i="1"/>
  <c r="AT1412" i="1"/>
  <c r="AU1412" i="1"/>
  <c r="AV1412" i="1"/>
  <c r="AT1413" i="1"/>
  <c r="AU1413" i="1"/>
  <c r="AV1413" i="1"/>
  <c r="AT1414" i="1"/>
  <c r="AU1414" i="1"/>
  <c r="AV1414" i="1"/>
  <c r="AT1415" i="1"/>
  <c r="AU1415" i="1"/>
  <c r="AV1415" i="1"/>
  <c r="AT1416" i="1"/>
  <c r="AU1416" i="1"/>
  <c r="AV1416" i="1"/>
  <c r="AT1417" i="1"/>
  <c r="AU1417" i="1"/>
  <c r="AV1417" i="1"/>
  <c r="AT1418" i="1"/>
  <c r="AU1418" i="1"/>
  <c r="AV1418" i="1"/>
  <c r="AT1419" i="1"/>
  <c r="AU1419" i="1"/>
  <c r="AV1419" i="1"/>
  <c r="AT1420" i="1"/>
  <c r="AU1420" i="1"/>
  <c r="AV1420" i="1"/>
  <c r="AT1421" i="1"/>
  <c r="AU1421" i="1"/>
  <c r="AV1421" i="1"/>
  <c r="AT1422" i="1"/>
  <c r="AU1422" i="1"/>
  <c r="AV1422" i="1"/>
  <c r="AT1423" i="1"/>
  <c r="AU1423" i="1"/>
  <c r="AV1423" i="1"/>
  <c r="AT1424" i="1"/>
  <c r="AU1424" i="1"/>
  <c r="AV1424" i="1"/>
  <c r="AT1425" i="1"/>
  <c r="AU1425" i="1"/>
  <c r="AV1425" i="1"/>
  <c r="AT1426" i="1"/>
  <c r="AU1426" i="1"/>
  <c r="AV1426" i="1"/>
  <c r="AT1427" i="1"/>
  <c r="AU1427" i="1"/>
  <c r="AV1427" i="1"/>
  <c r="AT1428" i="1"/>
  <c r="AU1428" i="1"/>
  <c r="AV1428" i="1"/>
  <c r="AT1429" i="1"/>
  <c r="AU1429" i="1"/>
  <c r="AV1429" i="1"/>
  <c r="AT1430" i="1"/>
  <c r="AU1430" i="1"/>
  <c r="AV1430" i="1"/>
  <c r="AT1431" i="1"/>
  <c r="AU1431" i="1"/>
  <c r="AV1431" i="1"/>
  <c r="AT1432" i="1"/>
  <c r="AU1432" i="1"/>
  <c r="AV1432" i="1"/>
  <c r="AT1433" i="1"/>
  <c r="AU1433" i="1"/>
  <c r="AV1433" i="1"/>
  <c r="AT1434" i="1"/>
  <c r="AU1434" i="1"/>
  <c r="AV1434" i="1"/>
  <c r="AT1435" i="1"/>
  <c r="AU1435" i="1"/>
  <c r="AV1435" i="1"/>
  <c r="AT1436" i="1"/>
  <c r="AU1436" i="1"/>
  <c r="AV1436" i="1"/>
  <c r="AT1437" i="1"/>
  <c r="AU1437" i="1"/>
  <c r="AV1437" i="1"/>
  <c r="AT1438" i="1"/>
  <c r="AU1438" i="1"/>
  <c r="AV1438" i="1"/>
  <c r="AT1439" i="1"/>
  <c r="AU1439" i="1"/>
  <c r="AV1439" i="1"/>
  <c r="AT1440" i="1"/>
  <c r="AU1440" i="1"/>
  <c r="AV1440" i="1"/>
  <c r="AT1441" i="1"/>
  <c r="AU1441" i="1"/>
  <c r="AV1441" i="1"/>
  <c r="AT1442" i="1"/>
  <c r="AU1442" i="1"/>
  <c r="AV1442" i="1"/>
  <c r="AT1443" i="1"/>
  <c r="AU1443" i="1"/>
  <c r="AV1443" i="1"/>
  <c r="AT1444" i="1"/>
  <c r="AU1444" i="1"/>
  <c r="AV1444" i="1"/>
  <c r="AT1445" i="1"/>
  <c r="AU1445" i="1"/>
  <c r="AV1445" i="1"/>
  <c r="AT1446" i="1"/>
  <c r="AU1446" i="1"/>
  <c r="AV1446" i="1"/>
  <c r="AT1447" i="1"/>
  <c r="AU1447" i="1"/>
  <c r="AV1447" i="1"/>
  <c r="AT1448" i="1"/>
  <c r="AU1448" i="1"/>
  <c r="AV1448" i="1"/>
  <c r="AT1449" i="1"/>
  <c r="AU1449" i="1"/>
  <c r="AV1449" i="1"/>
  <c r="AT1450" i="1"/>
  <c r="AU1450" i="1"/>
  <c r="AV1450" i="1"/>
  <c r="AT1451" i="1"/>
  <c r="AU1451" i="1"/>
  <c r="AV1451" i="1"/>
  <c r="AT1452" i="1"/>
  <c r="AU1452" i="1"/>
  <c r="AV1452" i="1"/>
  <c r="AT1453" i="1"/>
  <c r="AU1453" i="1"/>
  <c r="AV1453" i="1"/>
  <c r="AT1454" i="1"/>
  <c r="AU1454" i="1"/>
  <c r="AV1454" i="1"/>
  <c r="AT1455" i="1"/>
  <c r="AU1455" i="1"/>
  <c r="AV1455" i="1"/>
  <c r="AT1456" i="1"/>
  <c r="AU1456" i="1"/>
  <c r="AV1456" i="1"/>
  <c r="AT1457" i="1"/>
  <c r="AU1457" i="1"/>
  <c r="AV1457" i="1"/>
  <c r="AT1458" i="1"/>
  <c r="AU1458" i="1"/>
  <c r="AV1458" i="1"/>
  <c r="AT1459" i="1"/>
  <c r="AU1459" i="1"/>
  <c r="AV1459" i="1"/>
  <c r="AT1460" i="1"/>
  <c r="AU1460" i="1"/>
  <c r="AV1460" i="1"/>
  <c r="AT1461" i="1"/>
  <c r="AU1461" i="1"/>
  <c r="AV1461" i="1"/>
  <c r="AT1462" i="1"/>
  <c r="AU1462" i="1"/>
  <c r="AV1462" i="1"/>
  <c r="AT1463" i="1"/>
  <c r="AU1463" i="1"/>
  <c r="AV1463" i="1"/>
  <c r="AT1464" i="1"/>
  <c r="AU1464" i="1"/>
  <c r="AV1464" i="1"/>
  <c r="AT1465" i="1"/>
  <c r="AU1465" i="1"/>
  <c r="AV1465" i="1"/>
  <c r="AT1466" i="1"/>
  <c r="AU1466" i="1"/>
  <c r="AV1466" i="1"/>
  <c r="AT1467" i="1"/>
  <c r="AU1467" i="1"/>
  <c r="AV1467" i="1"/>
  <c r="AT1468" i="1"/>
  <c r="AU1468" i="1"/>
  <c r="AV1468" i="1"/>
  <c r="AT1469" i="1"/>
  <c r="AU1469" i="1"/>
  <c r="AV1469" i="1"/>
  <c r="AT1470" i="1"/>
  <c r="AU1470" i="1"/>
  <c r="AV1470" i="1"/>
  <c r="AT1471" i="1"/>
  <c r="AU1471" i="1"/>
  <c r="AV1471" i="1"/>
  <c r="AT1472" i="1"/>
  <c r="AU1472" i="1"/>
  <c r="AV1472" i="1"/>
  <c r="AT1473" i="1"/>
  <c r="AU1473" i="1"/>
  <c r="AV1473" i="1"/>
  <c r="AT1474" i="1"/>
  <c r="AU1474" i="1"/>
  <c r="AV1474" i="1"/>
  <c r="AT1475" i="1"/>
  <c r="AU1475" i="1"/>
  <c r="AV1475" i="1"/>
  <c r="AT1476" i="1"/>
  <c r="AU1476" i="1"/>
  <c r="AV1476" i="1"/>
  <c r="AT1477" i="1"/>
  <c r="AU1477" i="1"/>
  <c r="AV1477" i="1"/>
  <c r="AT1478" i="1"/>
  <c r="AU1478" i="1"/>
  <c r="AV1478" i="1"/>
  <c r="AT1479" i="1"/>
  <c r="AU1479" i="1"/>
  <c r="AV1479" i="1"/>
  <c r="AT1480" i="1"/>
  <c r="AU1480" i="1"/>
  <c r="AV1480" i="1"/>
  <c r="AT1481" i="1"/>
  <c r="AU1481" i="1"/>
  <c r="AV1481" i="1"/>
  <c r="AT1482" i="1"/>
  <c r="AU1482" i="1"/>
  <c r="AV1482" i="1"/>
  <c r="AT1483" i="1"/>
  <c r="AU1483" i="1"/>
  <c r="AV1483" i="1"/>
  <c r="AT1484" i="1"/>
  <c r="AU1484" i="1"/>
  <c r="AV1484" i="1"/>
  <c r="AT1485" i="1"/>
  <c r="AU1485" i="1"/>
  <c r="AV1485" i="1"/>
  <c r="AT1486" i="1"/>
  <c r="AU1486" i="1"/>
  <c r="AV1486" i="1"/>
  <c r="AT1487" i="1"/>
  <c r="AU1487" i="1"/>
  <c r="AV1487" i="1"/>
  <c r="AT1488" i="1"/>
  <c r="AU1488" i="1"/>
  <c r="AV1488" i="1"/>
  <c r="AT1489" i="1"/>
  <c r="AU1489" i="1"/>
  <c r="AV1489" i="1"/>
  <c r="AT1490" i="1"/>
  <c r="AU1490" i="1"/>
  <c r="AV1490" i="1"/>
  <c r="AT1491" i="1"/>
  <c r="AU1491" i="1"/>
  <c r="AV1491" i="1"/>
  <c r="AT1492" i="1"/>
  <c r="AU1492" i="1"/>
  <c r="AV1492" i="1"/>
  <c r="AT1493" i="1"/>
  <c r="AU1493" i="1"/>
  <c r="AV1493" i="1"/>
  <c r="AT1494" i="1"/>
  <c r="AU1494" i="1"/>
  <c r="AV1494" i="1"/>
  <c r="AT1495" i="1"/>
  <c r="AU1495" i="1"/>
  <c r="AV1495" i="1"/>
  <c r="AT1496" i="1"/>
  <c r="AU1496" i="1"/>
  <c r="AV1496" i="1"/>
  <c r="AT1497" i="1"/>
  <c r="AU1497" i="1"/>
  <c r="AV1497" i="1"/>
  <c r="AT1498" i="1"/>
  <c r="AU1498" i="1"/>
  <c r="AV1498" i="1"/>
  <c r="AT1499" i="1"/>
  <c r="AU1499" i="1"/>
  <c r="AV1499" i="1"/>
  <c r="AT1500" i="1"/>
  <c r="AU1500" i="1"/>
  <c r="AV1500" i="1"/>
  <c r="AT1501" i="1"/>
  <c r="AU1501" i="1"/>
  <c r="AV1501" i="1"/>
  <c r="AT1502" i="1"/>
  <c r="AU1502" i="1"/>
  <c r="AV1502" i="1"/>
  <c r="AT1503" i="1"/>
  <c r="AU1503" i="1"/>
  <c r="AV1503" i="1"/>
  <c r="AT1504" i="1"/>
  <c r="AU1504" i="1"/>
  <c r="AV1504" i="1"/>
  <c r="AT1505" i="1"/>
  <c r="AU1505" i="1"/>
  <c r="AV1505" i="1"/>
  <c r="AT1506" i="1"/>
  <c r="AU1506" i="1"/>
  <c r="AV1506" i="1"/>
  <c r="AT1507" i="1"/>
  <c r="AU1507" i="1"/>
  <c r="AV1507" i="1"/>
  <c r="AT1508" i="1"/>
  <c r="AU1508" i="1"/>
  <c r="AV1508" i="1"/>
  <c r="AT1509" i="1"/>
  <c r="AU1509" i="1"/>
  <c r="AV1509" i="1"/>
  <c r="AT1510" i="1"/>
  <c r="AU1510" i="1"/>
  <c r="AV1510" i="1"/>
  <c r="AT1511" i="1"/>
  <c r="AU1511" i="1"/>
  <c r="AV1511" i="1"/>
  <c r="AT1512" i="1"/>
  <c r="AU1512" i="1"/>
  <c r="AV1512" i="1"/>
  <c r="AT1513" i="1"/>
  <c r="AU1513" i="1"/>
  <c r="AV1513" i="1"/>
  <c r="AT1514" i="1"/>
  <c r="AU1514" i="1"/>
  <c r="AV1514" i="1"/>
  <c r="AT1515" i="1"/>
  <c r="AU1515" i="1"/>
  <c r="AV1515" i="1"/>
  <c r="AT1516" i="1"/>
  <c r="AU1516" i="1"/>
  <c r="AV1516" i="1"/>
  <c r="AT1517" i="1"/>
  <c r="AU1517" i="1"/>
  <c r="AV1517" i="1"/>
  <c r="AT1518" i="1"/>
  <c r="AU1518" i="1"/>
  <c r="AV1518" i="1"/>
  <c r="AT1519" i="1"/>
  <c r="AU1519" i="1"/>
  <c r="AV1519" i="1"/>
  <c r="AT1520" i="1"/>
  <c r="AU1520" i="1"/>
  <c r="AV1520" i="1"/>
  <c r="AT1521" i="1"/>
  <c r="AU1521" i="1"/>
  <c r="AV1521" i="1"/>
  <c r="AT1522" i="1"/>
  <c r="AU1522" i="1"/>
  <c r="AV1522" i="1"/>
  <c r="AT1523" i="1"/>
  <c r="AU1523" i="1"/>
  <c r="AV1523" i="1"/>
  <c r="AT1524" i="1"/>
  <c r="AU1524" i="1"/>
  <c r="AV1524" i="1"/>
  <c r="AT1525" i="1"/>
  <c r="AU1525" i="1"/>
  <c r="AV1525" i="1"/>
  <c r="AT1526" i="1"/>
  <c r="AU1526" i="1"/>
  <c r="AV1526" i="1"/>
  <c r="AT1527" i="1"/>
  <c r="AU1527" i="1"/>
  <c r="AV1527" i="1"/>
  <c r="AT1528" i="1"/>
  <c r="AU1528" i="1"/>
  <c r="AV1528" i="1"/>
  <c r="AT1529" i="1"/>
  <c r="AU1529" i="1"/>
  <c r="AV1529" i="1"/>
  <c r="AT1530" i="1"/>
  <c r="AU1530" i="1"/>
  <c r="AV1530" i="1"/>
  <c r="AT1531" i="1"/>
  <c r="AU1531" i="1"/>
  <c r="AV1531" i="1"/>
  <c r="AT1532" i="1"/>
  <c r="AU1532" i="1"/>
  <c r="AV1532" i="1"/>
  <c r="AT1533" i="1"/>
  <c r="AU1533" i="1"/>
  <c r="AV1533" i="1"/>
  <c r="AT1534" i="1"/>
  <c r="AU1534" i="1"/>
  <c r="AV1534" i="1"/>
  <c r="AT1535" i="1"/>
  <c r="AU1535" i="1"/>
  <c r="AV1535" i="1"/>
  <c r="AT1536" i="1"/>
  <c r="AU1536" i="1"/>
  <c r="AV1536" i="1"/>
  <c r="AT1537" i="1"/>
  <c r="AU1537" i="1"/>
  <c r="AV1537" i="1"/>
  <c r="AT1538" i="1"/>
  <c r="AU1538" i="1"/>
  <c r="AV1538" i="1"/>
  <c r="AT1539" i="1"/>
  <c r="AU1539" i="1"/>
  <c r="AV1539" i="1"/>
  <c r="AT1540" i="1"/>
  <c r="AU1540" i="1"/>
  <c r="AV1540" i="1"/>
  <c r="AT1541" i="1"/>
  <c r="AU1541" i="1"/>
  <c r="AV1541" i="1"/>
  <c r="AT1542" i="1"/>
  <c r="AU1542" i="1"/>
  <c r="AV1542" i="1"/>
  <c r="AT1543" i="1"/>
  <c r="AU1543" i="1"/>
  <c r="AV1543" i="1"/>
  <c r="AT1544" i="1"/>
  <c r="AU1544" i="1"/>
  <c r="AV1544" i="1"/>
  <c r="AT1545" i="1"/>
  <c r="AU1545" i="1"/>
  <c r="AV1545" i="1"/>
  <c r="AT1546" i="1"/>
  <c r="AU1546" i="1"/>
  <c r="AV1546" i="1"/>
  <c r="AT1547" i="1"/>
  <c r="AU1547" i="1"/>
  <c r="AV1547" i="1"/>
  <c r="AT1548" i="1"/>
  <c r="AU1548" i="1"/>
  <c r="AV1548" i="1"/>
  <c r="AT1549" i="1"/>
  <c r="AU1549" i="1"/>
  <c r="AV1549" i="1"/>
  <c r="AT1550" i="1"/>
  <c r="AU1550" i="1"/>
  <c r="AV1550" i="1"/>
  <c r="AT1551" i="1"/>
  <c r="AU1551" i="1"/>
  <c r="AV1551" i="1"/>
  <c r="AT1552" i="1"/>
  <c r="AU1552" i="1"/>
  <c r="AV1552" i="1"/>
  <c r="AT1553" i="1"/>
  <c r="AU1553" i="1"/>
  <c r="AV1553" i="1"/>
  <c r="AT1554" i="1"/>
  <c r="AU1554" i="1"/>
  <c r="AV1554" i="1"/>
  <c r="AT1555" i="1"/>
  <c r="AU1555" i="1"/>
  <c r="AV1555" i="1"/>
  <c r="AT1556" i="1"/>
  <c r="AU1556" i="1"/>
  <c r="AV1556" i="1"/>
  <c r="AT1557" i="1"/>
  <c r="AU1557" i="1"/>
  <c r="AV1557" i="1"/>
  <c r="AT1558" i="1"/>
  <c r="AU1558" i="1"/>
  <c r="AV1558" i="1"/>
  <c r="AT1559" i="1"/>
  <c r="AU1559" i="1"/>
  <c r="AV1559" i="1"/>
  <c r="AT1560" i="1"/>
  <c r="AU1560" i="1"/>
  <c r="AV1560" i="1"/>
  <c r="AT1561" i="1"/>
  <c r="AU1561" i="1"/>
  <c r="AV1561" i="1"/>
  <c r="AT1562" i="1"/>
  <c r="AU1562" i="1"/>
  <c r="AV1562" i="1"/>
  <c r="AT1563" i="1"/>
  <c r="AU1563" i="1"/>
  <c r="AV1563" i="1"/>
  <c r="AT1564" i="1"/>
  <c r="AU1564" i="1"/>
  <c r="AV1564" i="1"/>
  <c r="AT1565" i="1"/>
  <c r="AU1565" i="1"/>
  <c r="AV1565" i="1"/>
  <c r="AT1566" i="1"/>
  <c r="AU1566" i="1"/>
  <c r="AV1566" i="1"/>
  <c r="AT1567" i="1"/>
  <c r="AU1567" i="1"/>
  <c r="AV1567" i="1"/>
  <c r="AT1568" i="1"/>
  <c r="AU1568" i="1"/>
  <c r="AV1568" i="1"/>
  <c r="AT1569" i="1"/>
  <c r="AU1569" i="1"/>
  <c r="AV1569" i="1"/>
  <c r="AT1570" i="1"/>
  <c r="AU1570" i="1"/>
  <c r="AV1570" i="1"/>
  <c r="AT1571" i="1"/>
  <c r="AU1571" i="1"/>
  <c r="AV1571" i="1"/>
  <c r="AT1572" i="1"/>
  <c r="AU1572" i="1"/>
  <c r="AV1572" i="1"/>
  <c r="AT1573" i="1"/>
  <c r="AU1573" i="1"/>
  <c r="AV1573" i="1"/>
  <c r="AT1574" i="1"/>
  <c r="AU1574" i="1"/>
  <c r="AV1574" i="1"/>
  <c r="AT1575" i="1"/>
  <c r="AU1575" i="1"/>
  <c r="AV1575" i="1"/>
  <c r="AT1576" i="1"/>
  <c r="AU1576" i="1"/>
  <c r="AV1576" i="1"/>
  <c r="AT1577" i="1"/>
  <c r="AU1577" i="1"/>
  <c r="AV1577" i="1"/>
  <c r="AT1578" i="1"/>
  <c r="AU1578" i="1"/>
  <c r="AV1578" i="1"/>
  <c r="AT1579" i="1"/>
  <c r="AU1579" i="1"/>
  <c r="AV1579" i="1"/>
  <c r="AT1580" i="1"/>
  <c r="AU1580" i="1"/>
  <c r="AV1580" i="1"/>
  <c r="AT1581" i="1"/>
  <c r="AU1581" i="1"/>
  <c r="AV1581" i="1"/>
  <c r="AT1582" i="1"/>
  <c r="AU1582" i="1"/>
  <c r="AV1582" i="1"/>
  <c r="AT1583" i="1"/>
  <c r="AU1583" i="1"/>
  <c r="AV1583" i="1"/>
  <c r="AT1584" i="1"/>
  <c r="AU1584" i="1"/>
  <c r="AV1584" i="1"/>
  <c r="AT1585" i="1"/>
  <c r="AU1585" i="1"/>
  <c r="AV1585" i="1"/>
  <c r="AT1586" i="1"/>
  <c r="AU1586" i="1"/>
  <c r="AV1586" i="1"/>
  <c r="AT1587" i="1"/>
  <c r="AU1587" i="1"/>
  <c r="AV1587" i="1"/>
  <c r="AT1588" i="1"/>
  <c r="AU1588" i="1"/>
  <c r="AV1588" i="1"/>
  <c r="AT1589" i="1"/>
  <c r="AU1589" i="1"/>
  <c r="AV1589" i="1"/>
  <c r="AT1590" i="1"/>
  <c r="AU1590" i="1"/>
  <c r="AV1590" i="1"/>
  <c r="AT1591" i="1"/>
  <c r="AU1591" i="1"/>
  <c r="AV1591" i="1"/>
  <c r="AT1592" i="1"/>
  <c r="AU1592" i="1"/>
  <c r="AV1592" i="1"/>
  <c r="AT1593" i="1"/>
  <c r="AU1593" i="1"/>
  <c r="AV1593" i="1"/>
  <c r="AT1594" i="1"/>
  <c r="AU1594" i="1"/>
  <c r="AV1594" i="1"/>
  <c r="AT1595" i="1"/>
  <c r="AU1595" i="1"/>
  <c r="AV1595" i="1"/>
  <c r="AT1596" i="1"/>
  <c r="AU1596" i="1"/>
  <c r="AV1596" i="1"/>
  <c r="AT1597" i="1"/>
  <c r="AU1597" i="1"/>
  <c r="AV1597" i="1"/>
  <c r="AT1598" i="1"/>
  <c r="AU1598" i="1"/>
  <c r="AV1598" i="1"/>
  <c r="AT1599" i="1"/>
  <c r="AU1599" i="1"/>
  <c r="AV1599" i="1"/>
  <c r="AT1600" i="1"/>
  <c r="AU1600" i="1"/>
  <c r="AV1600" i="1"/>
  <c r="AT1601" i="1"/>
  <c r="AU1601" i="1"/>
  <c r="AV1601" i="1"/>
  <c r="AT1602" i="1"/>
  <c r="AU1602" i="1"/>
  <c r="AV1602" i="1"/>
  <c r="AT1603" i="1"/>
  <c r="AU1603" i="1"/>
  <c r="AV1603" i="1"/>
  <c r="AT1604" i="1"/>
  <c r="AU1604" i="1"/>
  <c r="AV1604" i="1"/>
  <c r="AT1605" i="1"/>
  <c r="AU1605" i="1"/>
  <c r="AV1605" i="1"/>
  <c r="AT1606" i="1"/>
  <c r="AU1606" i="1"/>
  <c r="AV1606" i="1"/>
  <c r="AT1607" i="1"/>
  <c r="AU1607" i="1"/>
  <c r="AV1607" i="1"/>
  <c r="AT1608" i="1"/>
  <c r="AU1608" i="1"/>
  <c r="AV1608" i="1"/>
  <c r="AT1609" i="1"/>
  <c r="AU1609" i="1"/>
  <c r="AV1609" i="1"/>
  <c r="AT1610" i="1"/>
  <c r="AU1610" i="1"/>
  <c r="AV1610" i="1"/>
  <c r="AT1611" i="1"/>
  <c r="AU1611" i="1"/>
  <c r="AV1611" i="1"/>
  <c r="AT1612" i="1"/>
  <c r="AU1612" i="1"/>
  <c r="AV1612" i="1"/>
  <c r="AT1613" i="1"/>
  <c r="AU1613" i="1"/>
  <c r="AV1613" i="1"/>
  <c r="AT1614" i="1"/>
  <c r="AU1614" i="1"/>
  <c r="AV1614" i="1"/>
  <c r="AT1615" i="1"/>
  <c r="AU1615" i="1"/>
  <c r="AV1615" i="1"/>
  <c r="AT1616" i="1"/>
  <c r="AU1616" i="1"/>
  <c r="AV1616" i="1"/>
  <c r="AT1617" i="1"/>
  <c r="AU1617" i="1"/>
  <c r="AV1617" i="1"/>
  <c r="AT1618" i="1"/>
  <c r="AU1618" i="1"/>
  <c r="AV1618" i="1"/>
  <c r="AT1619" i="1"/>
  <c r="AU1619" i="1"/>
  <c r="AV1619" i="1"/>
  <c r="AT1620" i="1"/>
  <c r="AU1620" i="1"/>
  <c r="AV1620" i="1"/>
  <c r="AT1621" i="1"/>
  <c r="AU1621" i="1"/>
  <c r="AV1621" i="1"/>
  <c r="AT1622" i="1"/>
  <c r="AU1622" i="1"/>
  <c r="AV1622" i="1"/>
  <c r="AT1623" i="1"/>
  <c r="AU1623" i="1"/>
  <c r="AV1623" i="1"/>
  <c r="AT1624" i="1"/>
  <c r="AU1624" i="1"/>
  <c r="AV1624" i="1"/>
  <c r="AT1625" i="1"/>
  <c r="AU1625" i="1"/>
  <c r="AV1625" i="1"/>
  <c r="AT1626" i="1"/>
  <c r="AU1626" i="1"/>
  <c r="AV1626" i="1"/>
  <c r="AT1627" i="1"/>
  <c r="AU1627" i="1"/>
  <c r="AV1627" i="1"/>
  <c r="AT1628" i="1"/>
  <c r="AU1628" i="1"/>
  <c r="AV1628" i="1"/>
  <c r="AT1629" i="1"/>
  <c r="AU1629" i="1"/>
  <c r="AV1629" i="1"/>
  <c r="AT1630" i="1"/>
  <c r="AU1630" i="1"/>
  <c r="AV1630" i="1"/>
  <c r="AT1631" i="1"/>
  <c r="AU1631" i="1"/>
  <c r="AV1631" i="1"/>
  <c r="AT1632" i="1"/>
  <c r="AU1632" i="1"/>
  <c r="AV1632" i="1"/>
  <c r="AT1633" i="1"/>
  <c r="AU1633" i="1"/>
  <c r="AV1633" i="1"/>
  <c r="AT1634" i="1"/>
  <c r="AU1634" i="1"/>
  <c r="AV1634" i="1"/>
  <c r="AT1635" i="1"/>
  <c r="AU1635" i="1"/>
  <c r="AV1635" i="1"/>
  <c r="AT1636" i="1"/>
  <c r="AU1636" i="1"/>
  <c r="AV1636" i="1"/>
  <c r="AT1637" i="1"/>
  <c r="AU1637" i="1"/>
  <c r="AV1637" i="1"/>
  <c r="AT1638" i="1"/>
  <c r="AU1638" i="1"/>
  <c r="AV1638" i="1"/>
  <c r="AT1639" i="1"/>
  <c r="AU1639" i="1"/>
  <c r="AV1639" i="1"/>
  <c r="AT1640" i="1"/>
  <c r="AU1640" i="1"/>
  <c r="AV1640" i="1"/>
  <c r="AT1641" i="1"/>
  <c r="AU1641" i="1"/>
  <c r="AV1641" i="1"/>
  <c r="AT1642" i="1"/>
  <c r="AU1642" i="1"/>
  <c r="AV1642" i="1"/>
  <c r="AT1643" i="1"/>
  <c r="AU1643" i="1"/>
  <c r="AV1643" i="1"/>
  <c r="AT1644" i="1"/>
  <c r="AU1644" i="1"/>
  <c r="AV1644" i="1"/>
  <c r="AT1645" i="1"/>
  <c r="AU1645" i="1"/>
  <c r="AV1645" i="1"/>
  <c r="AT1646" i="1"/>
  <c r="AU1646" i="1"/>
  <c r="AV1646" i="1"/>
  <c r="AT1647" i="1"/>
  <c r="AU1647" i="1"/>
  <c r="AV1647" i="1"/>
  <c r="AT1648" i="1"/>
  <c r="AU1648" i="1"/>
  <c r="AV1648" i="1"/>
  <c r="AT1649" i="1"/>
  <c r="AU1649" i="1"/>
  <c r="AV1649" i="1"/>
  <c r="AT1650" i="1"/>
  <c r="AU1650" i="1"/>
  <c r="AV1650" i="1"/>
  <c r="AT1651" i="1"/>
  <c r="AU1651" i="1"/>
  <c r="AV1651" i="1"/>
  <c r="AT1652" i="1"/>
  <c r="AU1652" i="1"/>
  <c r="AV1652" i="1"/>
  <c r="AT1653" i="1"/>
  <c r="AU1653" i="1"/>
  <c r="AV1653" i="1"/>
  <c r="AT1654" i="1"/>
  <c r="AU1654" i="1"/>
  <c r="AV1654" i="1"/>
  <c r="AT1655" i="1"/>
  <c r="AU1655" i="1"/>
  <c r="AV1655" i="1"/>
  <c r="AT1656" i="1"/>
  <c r="AU1656" i="1"/>
  <c r="AV1656" i="1"/>
  <c r="AT1657" i="1"/>
  <c r="AU1657" i="1"/>
  <c r="AV1657" i="1"/>
  <c r="AT1658" i="1"/>
  <c r="AU1658" i="1"/>
  <c r="AV1658" i="1"/>
  <c r="AT1659" i="1"/>
  <c r="AU1659" i="1"/>
  <c r="AV1659" i="1"/>
  <c r="AT1660" i="1"/>
  <c r="AU1660" i="1"/>
  <c r="AV1660" i="1"/>
  <c r="AT1661" i="1"/>
  <c r="AU1661" i="1"/>
  <c r="AV1661" i="1"/>
  <c r="AT1662" i="1"/>
  <c r="AU1662" i="1"/>
  <c r="AV1662" i="1"/>
  <c r="AT1663" i="1"/>
  <c r="AU1663" i="1"/>
  <c r="AV1663" i="1"/>
  <c r="AT1664" i="1"/>
  <c r="AU1664" i="1"/>
  <c r="AV1664" i="1"/>
  <c r="AT1665" i="1"/>
  <c r="AU1665" i="1"/>
  <c r="AV1665" i="1"/>
  <c r="AT1666" i="1"/>
  <c r="AU1666" i="1"/>
  <c r="AV1666" i="1"/>
  <c r="AT1667" i="1"/>
  <c r="AU1667" i="1"/>
  <c r="AV1667" i="1"/>
  <c r="AT1668" i="1"/>
  <c r="AU1668" i="1"/>
  <c r="AV1668" i="1"/>
  <c r="AT1669" i="1"/>
  <c r="AU1669" i="1"/>
  <c r="AV1669" i="1"/>
  <c r="AT1670" i="1"/>
  <c r="AU1670" i="1"/>
  <c r="AV1670" i="1"/>
  <c r="AT1671" i="1"/>
  <c r="AU1671" i="1"/>
  <c r="AV1671" i="1"/>
  <c r="AT1672" i="1"/>
  <c r="AU1672" i="1"/>
  <c r="AV1672" i="1"/>
  <c r="AT1673" i="1"/>
  <c r="AU1673" i="1"/>
  <c r="AV1673" i="1"/>
  <c r="AT1674" i="1"/>
  <c r="AU1674" i="1"/>
  <c r="AV1674" i="1"/>
  <c r="AT1675" i="1"/>
  <c r="AU1675" i="1"/>
  <c r="AV1675" i="1"/>
  <c r="AT1676" i="1"/>
  <c r="AU1676" i="1"/>
  <c r="AV1676" i="1"/>
  <c r="AT1677" i="1"/>
  <c r="AU1677" i="1"/>
  <c r="AV1677" i="1"/>
  <c r="AT1678" i="1"/>
  <c r="AU1678" i="1"/>
  <c r="AV1678" i="1"/>
  <c r="AT1679" i="1"/>
  <c r="AU1679" i="1"/>
  <c r="AV1679" i="1"/>
  <c r="AT1680" i="1"/>
  <c r="AU1680" i="1"/>
  <c r="AV1680" i="1"/>
  <c r="AT1681" i="1"/>
  <c r="AU1681" i="1"/>
  <c r="AV1681" i="1"/>
  <c r="AT1682" i="1"/>
  <c r="AU1682" i="1"/>
  <c r="AV1682" i="1"/>
  <c r="AT1683" i="1"/>
  <c r="AU1683" i="1"/>
  <c r="AV1683" i="1"/>
  <c r="AT1684" i="1"/>
  <c r="AU1684" i="1"/>
  <c r="AV1684" i="1"/>
  <c r="AT1685" i="1"/>
  <c r="AU1685" i="1"/>
  <c r="AV1685" i="1"/>
  <c r="AT1686" i="1"/>
  <c r="AU1686" i="1"/>
  <c r="AV1686" i="1"/>
  <c r="AT1687" i="1"/>
  <c r="AU1687" i="1"/>
  <c r="AV1687" i="1"/>
  <c r="AT1688" i="1"/>
  <c r="AU1688" i="1"/>
  <c r="AV1688" i="1"/>
  <c r="AT1689" i="1"/>
  <c r="AU1689" i="1"/>
  <c r="AV1689" i="1"/>
  <c r="AT1690" i="1"/>
  <c r="AU1690" i="1"/>
  <c r="AV1690" i="1"/>
  <c r="AT1691" i="1"/>
  <c r="AU1691" i="1"/>
  <c r="AV1691" i="1"/>
  <c r="AT1692" i="1"/>
  <c r="AU1692" i="1"/>
  <c r="AV1692" i="1"/>
  <c r="AT1693" i="1"/>
  <c r="AU1693" i="1"/>
  <c r="AV1693" i="1"/>
  <c r="AT1694" i="1"/>
  <c r="AU1694" i="1"/>
  <c r="AV1694" i="1"/>
  <c r="AT1695" i="1"/>
  <c r="AU1695" i="1"/>
  <c r="AV1695" i="1"/>
  <c r="AT1696" i="1"/>
  <c r="AU1696" i="1"/>
  <c r="AV1696" i="1"/>
  <c r="AT1697" i="1"/>
  <c r="AU1697" i="1"/>
  <c r="AV1697" i="1"/>
  <c r="AT1698" i="1"/>
  <c r="AU1698" i="1"/>
  <c r="AV1698" i="1"/>
  <c r="AT1699" i="1"/>
  <c r="AU1699" i="1"/>
  <c r="AV1699" i="1"/>
  <c r="AT1700" i="1"/>
  <c r="AU1700" i="1"/>
  <c r="AV1700" i="1"/>
  <c r="AT1701" i="1"/>
  <c r="AU1701" i="1"/>
  <c r="AV1701" i="1"/>
  <c r="AT1702" i="1"/>
  <c r="AU1702" i="1"/>
  <c r="AV1702" i="1"/>
  <c r="AT1703" i="1"/>
  <c r="AU1703" i="1"/>
  <c r="AV1703" i="1"/>
  <c r="AT1704" i="1"/>
  <c r="AU1704" i="1"/>
  <c r="AV1704" i="1"/>
  <c r="AT1705" i="1"/>
  <c r="AU1705" i="1"/>
  <c r="AV1705" i="1"/>
  <c r="AT1706" i="1"/>
  <c r="AU1706" i="1"/>
  <c r="AV1706" i="1"/>
  <c r="AT1707" i="1"/>
  <c r="AU1707" i="1"/>
  <c r="AV1707" i="1"/>
  <c r="AT1708" i="1"/>
  <c r="AU1708" i="1"/>
  <c r="AV1708" i="1"/>
  <c r="AT1709" i="1"/>
  <c r="AU1709" i="1"/>
  <c r="AV1709" i="1"/>
  <c r="AT1710" i="1"/>
  <c r="AU1710" i="1"/>
  <c r="AV1710" i="1"/>
  <c r="AT1711" i="1"/>
  <c r="AU1711" i="1"/>
  <c r="AV1711" i="1"/>
  <c r="AT1712" i="1"/>
  <c r="AU1712" i="1"/>
  <c r="AV1712" i="1"/>
  <c r="AT1713" i="1"/>
  <c r="AU1713" i="1"/>
  <c r="AV1713" i="1"/>
  <c r="AT1714" i="1"/>
  <c r="AU1714" i="1"/>
  <c r="AV1714" i="1"/>
  <c r="AT1715" i="1"/>
  <c r="AU1715" i="1"/>
  <c r="AV1715" i="1"/>
  <c r="AT1716" i="1"/>
  <c r="AU1716" i="1"/>
  <c r="AV1716" i="1"/>
  <c r="AT1717" i="1"/>
  <c r="AU1717" i="1"/>
  <c r="AV1717" i="1"/>
  <c r="AT1718" i="1"/>
  <c r="AU1718" i="1"/>
  <c r="AV1718" i="1"/>
  <c r="AT1719" i="1"/>
  <c r="AU1719" i="1"/>
  <c r="AV1719" i="1"/>
  <c r="AT1720" i="1"/>
  <c r="AU1720" i="1"/>
  <c r="AV1720" i="1"/>
  <c r="AT1721" i="1"/>
  <c r="AU1721" i="1"/>
  <c r="AV1721" i="1"/>
  <c r="AT1722" i="1"/>
  <c r="AU1722" i="1"/>
  <c r="AV1722" i="1"/>
  <c r="AT1723" i="1"/>
  <c r="AU1723" i="1"/>
  <c r="AV1723" i="1"/>
  <c r="AT1724" i="1"/>
  <c r="AU1724" i="1"/>
  <c r="AV1724" i="1"/>
  <c r="AT1725" i="1"/>
  <c r="AU1725" i="1"/>
  <c r="AV1725" i="1"/>
  <c r="AT1726" i="1"/>
  <c r="AU1726" i="1"/>
  <c r="AV1726" i="1"/>
  <c r="AT1727" i="1"/>
  <c r="AU1727" i="1"/>
  <c r="AV1727" i="1"/>
  <c r="AT1728" i="1"/>
  <c r="AU1728" i="1"/>
  <c r="AV1728" i="1"/>
  <c r="AT1729" i="1"/>
  <c r="AU1729" i="1"/>
  <c r="AV1729" i="1"/>
  <c r="AT1730" i="1"/>
  <c r="AU1730" i="1"/>
  <c r="AV1730" i="1"/>
  <c r="AT1731" i="1"/>
  <c r="AU1731" i="1"/>
  <c r="AV1731" i="1"/>
  <c r="AT1732" i="1"/>
  <c r="AU1732" i="1"/>
  <c r="AV1732" i="1"/>
  <c r="AT1733" i="1"/>
  <c r="AU1733" i="1"/>
  <c r="AV1733" i="1"/>
  <c r="AT1734" i="1"/>
  <c r="AU1734" i="1"/>
  <c r="AV1734" i="1"/>
  <c r="AT1735" i="1"/>
  <c r="AU1735" i="1"/>
  <c r="AV1735" i="1"/>
  <c r="AT1736" i="1"/>
  <c r="AU1736" i="1"/>
  <c r="AV1736" i="1"/>
  <c r="AT1737" i="1"/>
  <c r="AU1737" i="1"/>
  <c r="AV1737" i="1"/>
  <c r="AT1738" i="1"/>
  <c r="AU1738" i="1"/>
  <c r="AV1738" i="1"/>
  <c r="AT1739" i="1"/>
  <c r="AU1739" i="1"/>
  <c r="AV1739" i="1"/>
  <c r="AT1740" i="1"/>
  <c r="AU1740" i="1"/>
  <c r="AV1740" i="1"/>
  <c r="AT1741" i="1"/>
  <c r="AU1741" i="1"/>
  <c r="AV1741" i="1"/>
  <c r="AT1742" i="1"/>
  <c r="AU1742" i="1"/>
  <c r="AV1742" i="1"/>
  <c r="AT1743" i="1"/>
  <c r="AU1743" i="1"/>
  <c r="AV1743" i="1"/>
  <c r="AT1744" i="1"/>
  <c r="AU1744" i="1"/>
  <c r="AV1744" i="1"/>
  <c r="AT1745" i="1"/>
  <c r="AU1745" i="1"/>
  <c r="AV1745" i="1"/>
  <c r="AT1746" i="1"/>
  <c r="AU1746" i="1"/>
  <c r="AV1746" i="1"/>
  <c r="AT1747" i="1"/>
  <c r="AU1747" i="1"/>
  <c r="AV1747" i="1"/>
  <c r="AT1748" i="1"/>
  <c r="AU1748" i="1"/>
  <c r="AV1748" i="1"/>
  <c r="AT1749" i="1"/>
  <c r="AU1749" i="1"/>
  <c r="AV1749" i="1"/>
  <c r="AT1750" i="1"/>
  <c r="AU1750" i="1"/>
  <c r="AV1750" i="1"/>
  <c r="AT1751" i="1"/>
  <c r="AU1751" i="1"/>
  <c r="AV1751" i="1"/>
  <c r="AT1752" i="1"/>
  <c r="AU1752" i="1"/>
  <c r="AV1752" i="1"/>
  <c r="AT1753" i="1"/>
  <c r="AU1753" i="1"/>
  <c r="AV1753" i="1"/>
  <c r="AT1754" i="1"/>
  <c r="AU1754" i="1"/>
  <c r="AV1754" i="1"/>
  <c r="AT1755" i="1"/>
  <c r="AU1755" i="1"/>
  <c r="AV1755" i="1"/>
  <c r="AT1756" i="1"/>
  <c r="AU1756" i="1"/>
  <c r="AV1756" i="1"/>
  <c r="AT1757" i="1"/>
  <c r="AU1757" i="1"/>
  <c r="AV1757" i="1"/>
  <c r="AT1758" i="1"/>
  <c r="AU1758" i="1"/>
  <c r="AV1758" i="1"/>
  <c r="AT1759" i="1"/>
  <c r="AU1759" i="1"/>
  <c r="AV1759" i="1"/>
  <c r="AT1760" i="1"/>
  <c r="AU1760" i="1"/>
  <c r="AV1760" i="1"/>
  <c r="AT1761" i="1"/>
  <c r="AU1761" i="1"/>
  <c r="AV1761" i="1"/>
  <c r="AT1762" i="1"/>
  <c r="AU1762" i="1"/>
  <c r="AV1762" i="1"/>
  <c r="AT1763" i="1"/>
  <c r="AU1763" i="1"/>
  <c r="AV1763" i="1"/>
  <c r="AT1764" i="1"/>
  <c r="AU1764" i="1"/>
  <c r="AV1764" i="1"/>
  <c r="AT1765" i="1"/>
  <c r="AU1765" i="1"/>
  <c r="AV1765" i="1"/>
  <c r="AT1766" i="1"/>
  <c r="AU1766" i="1"/>
  <c r="AV1766" i="1"/>
  <c r="AT1767" i="1"/>
  <c r="AU1767" i="1"/>
  <c r="AV1767" i="1"/>
  <c r="AT1768" i="1"/>
  <c r="AU1768" i="1"/>
  <c r="AV1768" i="1"/>
  <c r="AT1769" i="1"/>
  <c r="AU1769" i="1"/>
  <c r="AV1769" i="1"/>
  <c r="AT1770" i="1"/>
  <c r="AU1770" i="1"/>
  <c r="AV1770" i="1"/>
  <c r="AT1771" i="1"/>
  <c r="AU1771" i="1"/>
  <c r="AV1771" i="1"/>
  <c r="AT1772" i="1"/>
  <c r="AU1772" i="1"/>
  <c r="AV1772" i="1"/>
  <c r="AT1773" i="1"/>
  <c r="AU1773" i="1"/>
  <c r="AV1773" i="1"/>
  <c r="AT1774" i="1"/>
  <c r="AU1774" i="1"/>
  <c r="AV1774" i="1"/>
  <c r="AT1775" i="1"/>
  <c r="AU1775" i="1"/>
  <c r="AV1775" i="1"/>
  <c r="AT1776" i="1"/>
  <c r="AU1776" i="1"/>
  <c r="AV1776" i="1"/>
  <c r="AT1777" i="1"/>
  <c r="AU1777" i="1"/>
  <c r="AV1777" i="1"/>
  <c r="AT1778" i="1"/>
  <c r="AU1778" i="1"/>
  <c r="AV1778" i="1"/>
  <c r="AT1779" i="1"/>
  <c r="AU1779" i="1"/>
  <c r="AV1779" i="1"/>
  <c r="AT1780" i="1"/>
  <c r="AU1780" i="1"/>
  <c r="AV1780" i="1"/>
  <c r="AT1781" i="1"/>
  <c r="AU1781" i="1"/>
  <c r="AV1781" i="1"/>
  <c r="AT1782" i="1"/>
  <c r="AU1782" i="1"/>
  <c r="AV1782" i="1"/>
  <c r="AT1783" i="1"/>
  <c r="AU1783" i="1"/>
  <c r="AV1783" i="1"/>
  <c r="AT1784" i="1"/>
  <c r="AU1784" i="1"/>
  <c r="AV1784" i="1"/>
  <c r="AT1785" i="1"/>
  <c r="AU1785" i="1"/>
  <c r="AV1785" i="1"/>
  <c r="AT1786" i="1"/>
  <c r="AU1786" i="1"/>
  <c r="AV1786" i="1"/>
  <c r="AT1787" i="1"/>
  <c r="AU1787" i="1"/>
  <c r="AV1787" i="1"/>
  <c r="AT1788" i="1"/>
  <c r="AU1788" i="1"/>
  <c r="AV1788" i="1"/>
  <c r="AT1789" i="1"/>
  <c r="AU1789" i="1"/>
  <c r="AV1789" i="1"/>
  <c r="AT1790" i="1"/>
  <c r="AU1790" i="1"/>
  <c r="AV1790" i="1"/>
  <c r="AT1791" i="1"/>
  <c r="AU1791" i="1"/>
  <c r="AV1791" i="1"/>
  <c r="AT1792" i="1"/>
  <c r="AU1792" i="1"/>
  <c r="AV1792" i="1"/>
  <c r="AT1793" i="1"/>
  <c r="AU1793" i="1"/>
  <c r="AV1793" i="1"/>
  <c r="AT1794" i="1"/>
  <c r="AU1794" i="1"/>
  <c r="AV1794" i="1"/>
  <c r="AT1795" i="1"/>
  <c r="AU1795" i="1"/>
  <c r="AV1795" i="1"/>
  <c r="AT1796" i="1"/>
  <c r="AU1796" i="1"/>
  <c r="AV1796" i="1"/>
  <c r="AT1797" i="1"/>
  <c r="AU1797" i="1"/>
  <c r="AV1797" i="1"/>
  <c r="AT1798" i="1"/>
  <c r="AU1798" i="1"/>
  <c r="AV1798" i="1"/>
  <c r="AT1799" i="1"/>
  <c r="AU1799" i="1"/>
  <c r="AV1799" i="1"/>
  <c r="AT1800" i="1"/>
  <c r="AU1800" i="1"/>
  <c r="AV1800" i="1"/>
  <c r="AT1801" i="1"/>
  <c r="AU1801" i="1"/>
  <c r="AV1801" i="1"/>
  <c r="AT1802" i="1"/>
  <c r="AU1802" i="1"/>
  <c r="AV1802" i="1"/>
  <c r="AT1803" i="1"/>
  <c r="AU1803" i="1"/>
  <c r="AV1803" i="1"/>
  <c r="AT1804" i="1"/>
  <c r="AU1804" i="1"/>
  <c r="AV1804" i="1"/>
  <c r="AT1805" i="1"/>
  <c r="AU1805" i="1"/>
  <c r="AV1805" i="1"/>
  <c r="AT1806" i="1"/>
  <c r="AU1806" i="1"/>
  <c r="AV1806" i="1"/>
  <c r="AT1807" i="1"/>
  <c r="AU1807" i="1"/>
  <c r="AV1807" i="1"/>
  <c r="AT1808" i="1"/>
  <c r="AU1808" i="1"/>
  <c r="AV1808" i="1"/>
  <c r="AT1809" i="1"/>
  <c r="AU1809" i="1"/>
  <c r="AV1809" i="1"/>
  <c r="AT1810" i="1"/>
  <c r="AU1810" i="1"/>
  <c r="AV1810" i="1"/>
  <c r="AT1811" i="1"/>
  <c r="AU1811" i="1"/>
  <c r="AV1811" i="1"/>
  <c r="AT1812" i="1"/>
  <c r="AU1812" i="1"/>
  <c r="AV1812" i="1"/>
  <c r="AT1813" i="1"/>
  <c r="AU1813" i="1"/>
  <c r="AV1813" i="1"/>
  <c r="AT1814" i="1"/>
  <c r="AU1814" i="1"/>
  <c r="AV1814" i="1"/>
  <c r="AT1815" i="1"/>
  <c r="AU1815" i="1"/>
  <c r="AV1815" i="1"/>
  <c r="AT1816" i="1"/>
  <c r="AU1816" i="1"/>
  <c r="AV1816" i="1"/>
  <c r="AT1817" i="1"/>
  <c r="AU1817" i="1"/>
  <c r="AV1817" i="1"/>
  <c r="AT1818" i="1"/>
  <c r="AU1818" i="1"/>
  <c r="AV1818" i="1"/>
  <c r="AT1819" i="1"/>
  <c r="AU1819" i="1"/>
  <c r="AV1819" i="1"/>
  <c r="AT1820" i="1"/>
  <c r="AU1820" i="1"/>
  <c r="AV1820" i="1"/>
  <c r="AT1821" i="1"/>
  <c r="AU1821" i="1"/>
  <c r="AV1821" i="1"/>
  <c r="AT1822" i="1"/>
  <c r="AU1822" i="1"/>
  <c r="AV1822" i="1"/>
  <c r="AT1823" i="1"/>
  <c r="AU1823" i="1"/>
  <c r="AV1823" i="1"/>
  <c r="AT1824" i="1"/>
  <c r="AU1824" i="1"/>
  <c r="AV1824" i="1"/>
  <c r="AT1825" i="1"/>
  <c r="AU1825" i="1"/>
  <c r="AV1825" i="1"/>
  <c r="AT1826" i="1"/>
  <c r="AU1826" i="1"/>
  <c r="AV1826" i="1"/>
  <c r="AT1827" i="1"/>
  <c r="AU1827" i="1"/>
  <c r="AV1827" i="1"/>
  <c r="AT1828" i="1"/>
  <c r="AU1828" i="1"/>
  <c r="AV1828" i="1"/>
  <c r="AT1829" i="1"/>
  <c r="AU1829" i="1"/>
  <c r="AV1829" i="1"/>
  <c r="AT1830" i="1"/>
  <c r="AU1830" i="1"/>
  <c r="AV1830" i="1"/>
  <c r="AT1831" i="1"/>
  <c r="AU1831" i="1"/>
  <c r="AV1831" i="1"/>
  <c r="AT1832" i="1"/>
  <c r="AU1832" i="1"/>
  <c r="AV1832" i="1"/>
  <c r="AT1833" i="1"/>
  <c r="AU1833" i="1"/>
  <c r="AV1833" i="1"/>
  <c r="AT1834" i="1"/>
  <c r="AU1834" i="1"/>
  <c r="AV1834" i="1"/>
  <c r="AT1835" i="1"/>
  <c r="AU1835" i="1"/>
  <c r="AV1835" i="1"/>
  <c r="AT1836" i="1"/>
  <c r="AU1836" i="1"/>
  <c r="AV1836" i="1"/>
  <c r="AT1837" i="1"/>
  <c r="AU1837" i="1"/>
  <c r="AV1837" i="1"/>
  <c r="AT1838" i="1"/>
  <c r="AU1838" i="1"/>
  <c r="AV1838" i="1"/>
  <c r="AT1839" i="1"/>
  <c r="AU1839" i="1"/>
  <c r="AV1839" i="1"/>
  <c r="AT1840" i="1"/>
  <c r="AU1840" i="1"/>
  <c r="AV1840" i="1"/>
  <c r="AT1841" i="1"/>
  <c r="AU1841" i="1"/>
  <c r="AV1841" i="1"/>
  <c r="AT1842" i="1"/>
  <c r="AU1842" i="1"/>
  <c r="AV1842" i="1"/>
  <c r="AT1843" i="1"/>
  <c r="AU1843" i="1"/>
  <c r="AV1843" i="1"/>
  <c r="AT1844" i="1"/>
  <c r="AU1844" i="1"/>
  <c r="AV1844" i="1"/>
  <c r="AT1845" i="1"/>
  <c r="AU1845" i="1"/>
  <c r="AV1845" i="1"/>
  <c r="AT1846" i="1"/>
  <c r="AU1846" i="1"/>
  <c r="AV1846" i="1"/>
  <c r="AT1847" i="1"/>
  <c r="AU1847" i="1"/>
  <c r="AV1847" i="1"/>
  <c r="AT1848" i="1"/>
  <c r="AU1848" i="1"/>
  <c r="AV1848" i="1"/>
  <c r="AT1849" i="1"/>
  <c r="AU1849" i="1"/>
  <c r="AV1849" i="1"/>
  <c r="AT1850" i="1"/>
  <c r="AU1850" i="1"/>
  <c r="AV1850" i="1"/>
  <c r="AT1851" i="1"/>
  <c r="AU1851" i="1"/>
  <c r="AV1851" i="1"/>
  <c r="AT1852" i="1"/>
  <c r="AU1852" i="1"/>
  <c r="AV1852" i="1"/>
  <c r="AT1853" i="1"/>
  <c r="AU1853" i="1"/>
  <c r="AV1853" i="1"/>
  <c r="AT1854" i="1"/>
  <c r="AU1854" i="1"/>
  <c r="AV1854" i="1"/>
  <c r="AT1855" i="1"/>
  <c r="AU1855" i="1"/>
  <c r="AV1855" i="1"/>
  <c r="AT1856" i="1"/>
  <c r="AU1856" i="1"/>
  <c r="AV1856" i="1"/>
  <c r="AT1857" i="1"/>
  <c r="AU1857" i="1"/>
  <c r="AV1857" i="1"/>
  <c r="AT1858" i="1"/>
  <c r="AU1858" i="1"/>
  <c r="AV1858" i="1"/>
  <c r="AT1859" i="1"/>
  <c r="AU1859" i="1"/>
  <c r="AV1859" i="1"/>
  <c r="AT1860" i="1"/>
  <c r="AU1860" i="1"/>
  <c r="AV1860" i="1"/>
  <c r="AT1861" i="1"/>
  <c r="AU1861" i="1"/>
  <c r="AV1861" i="1"/>
  <c r="AT1862" i="1"/>
  <c r="AU1862" i="1"/>
  <c r="AV1862" i="1"/>
  <c r="AT1863" i="1"/>
  <c r="AU1863" i="1"/>
  <c r="AV1863" i="1"/>
  <c r="AT1864" i="1"/>
  <c r="AU1864" i="1"/>
  <c r="AV1864" i="1"/>
  <c r="AT1865" i="1"/>
  <c r="AU1865" i="1"/>
  <c r="AV1865" i="1"/>
  <c r="AT1866" i="1"/>
  <c r="AU1866" i="1"/>
  <c r="AV1866" i="1"/>
  <c r="AT1867" i="1"/>
  <c r="AU1867" i="1"/>
  <c r="AV1867" i="1"/>
  <c r="AT1868" i="1"/>
  <c r="AU1868" i="1"/>
  <c r="AV1868" i="1"/>
  <c r="AT1869" i="1"/>
  <c r="AU1869" i="1"/>
  <c r="AV1869" i="1"/>
  <c r="AT1870" i="1"/>
  <c r="AU1870" i="1"/>
  <c r="AV1870" i="1"/>
  <c r="AT1871" i="1"/>
  <c r="AU1871" i="1"/>
  <c r="AV1871" i="1"/>
  <c r="AT1872" i="1"/>
  <c r="AU1872" i="1"/>
  <c r="AV1872" i="1"/>
  <c r="AT1873" i="1"/>
  <c r="AU1873" i="1"/>
  <c r="AV1873" i="1"/>
  <c r="AT1874" i="1"/>
  <c r="AU1874" i="1"/>
  <c r="AV1874" i="1"/>
  <c r="AT1875" i="1"/>
  <c r="AU1875" i="1"/>
  <c r="AV1875" i="1"/>
  <c r="AT1876" i="1"/>
  <c r="AU1876" i="1"/>
  <c r="AV1876" i="1"/>
  <c r="AT1877" i="1"/>
  <c r="AU1877" i="1"/>
  <c r="AV1877" i="1"/>
  <c r="AT1878" i="1"/>
  <c r="AU1878" i="1"/>
  <c r="AV1878" i="1"/>
  <c r="AT1879" i="1"/>
  <c r="AU1879" i="1"/>
  <c r="AV1879" i="1"/>
  <c r="AT1880" i="1"/>
  <c r="AU1880" i="1"/>
  <c r="AV1880" i="1"/>
  <c r="AT1881" i="1"/>
  <c r="AU1881" i="1"/>
  <c r="AV1881" i="1"/>
  <c r="AT1882" i="1"/>
  <c r="AU1882" i="1"/>
  <c r="AV1882" i="1"/>
  <c r="AT1883" i="1"/>
  <c r="AU1883" i="1"/>
  <c r="AV1883" i="1"/>
  <c r="AT1884" i="1"/>
  <c r="AU1884" i="1"/>
  <c r="AV1884" i="1"/>
  <c r="AT1885" i="1"/>
  <c r="AU1885" i="1"/>
  <c r="AV1885" i="1"/>
  <c r="AT1886" i="1"/>
  <c r="AU1886" i="1"/>
  <c r="AV1886" i="1"/>
  <c r="AT1887" i="1"/>
  <c r="AU1887" i="1"/>
  <c r="AV1887" i="1"/>
  <c r="AT1888" i="1"/>
  <c r="AU1888" i="1"/>
  <c r="AV1888" i="1"/>
  <c r="AT1889" i="1"/>
  <c r="AU1889" i="1"/>
  <c r="AV1889" i="1"/>
  <c r="AT1890" i="1"/>
  <c r="AU1890" i="1"/>
  <c r="AV1890" i="1"/>
  <c r="AT1891" i="1"/>
  <c r="AU1891" i="1"/>
  <c r="AV1891" i="1"/>
  <c r="AT1892" i="1"/>
  <c r="AU1892" i="1"/>
  <c r="AV1892" i="1"/>
  <c r="AT1893" i="1"/>
  <c r="AU1893" i="1"/>
  <c r="AV1893" i="1"/>
  <c r="AT1894" i="1"/>
  <c r="AU1894" i="1"/>
  <c r="AV1894" i="1"/>
  <c r="AT1895" i="1"/>
  <c r="AU1895" i="1"/>
  <c r="AV1895" i="1"/>
  <c r="AT1896" i="1"/>
  <c r="AU1896" i="1"/>
  <c r="AV1896" i="1"/>
  <c r="AT1897" i="1"/>
  <c r="AU1897" i="1"/>
  <c r="AV1897" i="1"/>
  <c r="AT1898" i="1"/>
  <c r="AU1898" i="1"/>
  <c r="AV1898" i="1"/>
  <c r="AT1899" i="1"/>
  <c r="AU1899" i="1"/>
  <c r="AV1899" i="1"/>
  <c r="AT1900" i="1"/>
  <c r="AU1900" i="1"/>
  <c r="AV1900" i="1"/>
  <c r="AT1901" i="1"/>
  <c r="AU1901" i="1"/>
  <c r="AV1901" i="1"/>
  <c r="AT1902" i="1"/>
  <c r="AU1902" i="1"/>
  <c r="AV1902" i="1"/>
  <c r="AT1903" i="1"/>
  <c r="AU1903" i="1"/>
  <c r="AV1903" i="1"/>
  <c r="AT1904" i="1"/>
  <c r="AU1904" i="1"/>
  <c r="AV1904" i="1"/>
  <c r="AT1905" i="1"/>
  <c r="AU1905" i="1"/>
  <c r="AV1905" i="1"/>
  <c r="AT1906" i="1"/>
  <c r="AU1906" i="1"/>
  <c r="AV1906" i="1"/>
  <c r="AT1907" i="1"/>
  <c r="AU1907" i="1"/>
  <c r="AV1907" i="1"/>
  <c r="AT1908" i="1"/>
  <c r="AU1908" i="1"/>
  <c r="AV1908" i="1"/>
  <c r="AT1909" i="1"/>
  <c r="AU1909" i="1"/>
  <c r="AV1909" i="1"/>
  <c r="AT1910" i="1"/>
  <c r="AU1910" i="1"/>
  <c r="AV1910" i="1"/>
  <c r="AT1911" i="1"/>
  <c r="AU1911" i="1"/>
  <c r="AV1911" i="1"/>
  <c r="AT1912" i="1"/>
  <c r="AU1912" i="1"/>
  <c r="AV1912" i="1"/>
  <c r="AT1913" i="1"/>
  <c r="AU1913" i="1"/>
  <c r="AV1913" i="1"/>
  <c r="AT1914" i="1"/>
  <c r="AU1914" i="1"/>
  <c r="AV1914" i="1"/>
  <c r="AT1915" i="1"/>
  <c r="AU1915" i="1"/>
  <c r="AV1915" i="1"/>
  <c r="AT1916" i="1"/>
  <c r="AU1916" i="1"/>
  <c r="AV1916" i="1"/>
  <c r="AT1917" i="1"/>
  <c r="AU1917" i="1"/>
  <c r="AV1917" i="1"/>
  <c r="AT1918" i="1"/>
  <c r="AU1918" i="1"/>
  <c r="AV1918" i="1"/>
  <c r="AT1919" i="1"/>
  <c r="AU1919" i="1"/>
  <c r="AV1919" i="1"/>
  <c r="AT1920" i="1"/>
  <c r="AU1920" i="1"/>
  <c r="AV1920" i="1"/>
  <c r="AT1921" i="1"/>
  <c r="AU1921" i="1"/>
  <c r="AV1921" i="1"/>
  <c r="AT1922" i="1"/>
  <c r="AU1922" i="1"/>
  <c r="AV1922" i="1"/>
  <c r="AT1923" i="1"/>
  <c r="AU1923" i="1"/>
  <c r="AV1923" i="1"/>
  <c r="AT1924" i="1"/>
  <c r="AU1924" i="1"/>
  <c r="AV1924" i="1"/>
  <c r="AT1925" i="1"/>
  <c r="AU1925" i="1"/>
  <c r="AV1925" i="1"/>
  <c r="AT1926" i="1"/>
  <c r="AU1926" i="1"/>
  <c r="AV1926" i="1"/>
  <c r="AT1927" i="1"/>
  <c r="AU1927" i="1"/>
  <c r="AV1927" i="1"/>
  <c r="AT1928" i="1"/>
  <c r="AU1928" i="1"/>
  <c r="AV1928" i="1"/>
  <c r="AT1929" i="1"/>
  <c r="AU1929" i="1"/>
  <c r="AV1929" i="1"/>
  <c r="AT1930" i="1"/>
  <c r="AU1930" i="1"/>
  <c r="AV1930" i="1"/>
  <c r="AT1931" i="1"/>
  <c r="AU1931" i="1"/>
  <c r="AV1931" i="1"/>
  <c r="AT1932" i="1"/>
  <c r="AU1932" i="1"/>
  <c r="AV1932" i="1"/>
  <c r="AT1933" i="1"/>
  <c r="AU1933" i="1"/>
  <c r="AV1933" i="1"/>
  <c r="AT1934" i="1"/>
  <c r="AU1934" i="1"/>
  <c r="AV1934" i="1"/>
  <c r="AT1935" i="1"/>
  <c r="AU1935" i="1"/>
  <c r="AV1935" i="1"/>
  <c r="AT1936" i="1"/>
  <c r="AU1936" i="1"/>
  <c r="AV1936" i="1"/>
  <c r="AT1937" i="1"/>
  <c r="AU1937" i="1"/>
  <c r="AV1937" i="1"/>
  <c r="AT1938" i="1"/>
  <c r="AU1938" i="1"/>
  <c r="AV1938" i="1"/>
  <c r="AT1939" i="1"/>
  <c r="AU1939" i="1"/>
  <c r="AV1939" i="1"/>
  <c r="AT1940" i="1"/>
  <c r="AU1940" i="1"/>
  <c r="AV1940" i="1"/>
  <c r="AT1941" i="1"/>
  <c r="AU1941" i="1"/>
  <c r="AV1941" i="1"/>
  <c r="AT1942" i="1"/>
  <c r="AU1942" i="1"/>
  <c r="AV1942" i="1"/>
  <c r="AT1943" i="1"/>
  <c r="AU1943" i="1"/>
  <c r="AV1943" i="1"/>
  <c r="AT1944" i="1"/>
  <c r="AU1944" i="1"/>
  <c r="AV1944" i="1"/>
  <c r="AT1945" i="1"/>
  <c r="AU1945" i="1"/>
  <c r="AV1945" i="1"/>
  <c r="AT1946" i="1"/>
  <c r="AU1946" i="1"/>
  <c r="AV1946" i="1"/>
  <c r="AT1947" i="1"/>
  <c r="AU1947" i="1"/>
  <c r="AV1947" i="1"/>
  <c r="AT1948" i="1"/>
  <c r="AU1948" i="1"/>
  <c r="AV1948" i="1"/>
  <c r="AT1949" i="1"/>
  <c r="AU1949" i="1"/>
  <c r="AV1949" i="1"/>
  <c r="AT1950" i="1"/>
  <c r="AU1950" i="1"/>
  <c r="AV1950" i="1"/>
  <c r="AT1951" i="1"/>
  <c r="AU1951" i="1"/>
  <c r="AV1951" i="1"/>
  <c r="AT1952" i="1"/>
  <c r="AU1952" i="1"/>
  <c r="AV1952" i="1"/>
  <c r="AT1953" i="1"/>
  <c r="AU1953" i="1"/>
  <c r="AV1953" i="1"/>
  <c r="AT1954" i="1"/>
  <c r="AU1954" i="1"/>
  <c r="AV1954" i="1"/>
  <c r="AT1955" i="1"/>
  <c r="AU1955" i="1"/>
  <c r="AV1955" i="1"/>
  <c r="AT1956" i="1"/>
  <c r="AU1956" i="1"/>
  <c r="AV1956" i="1"/>
  <c r="AT1957" i="1"/>
  <c r="AU1957" i="1"/>
  <c r="AV1957" i="1"/>
  <c r="AT1958" i="1"/>
  <c r="AU1958" i="1"/>
  <c r="AV1958" i="1"/>
  <c r="AT1959" i="1"/>
  <c r="AU1959" i="1"/>
  <c r="AV1959" i="1"/>
  <c r="AT1960" i="1"/>
  <c r="AU1960" i="1"/>
  <c r="AV1960" i="1"/>
  <c r="AT1961" i="1"/>
  <c r="AU1961" i="1"/>
  <c r="AV1961" i="1"/>
  <c r="AT1962" i="1"/>
  <c r="AU1962" i="1"/>
  <c r="AV1962" i="1"/>
  <c r="AT1963" i="1"/>
  <c r="AU1963" i="1"/>
  <c r="AV1963" i="1"/>
  <c r="AT1964" i="1"/>
  <c r="AU1964" i="1"/>
  <c r="AV1964" i="1"/>
  <c r="AT1965" i="1"/>
  <c r="AU1965" i="1"/>
  <c r="AV1965" i="1"/>
  <c r="AT1966" i="1"/>
  <c r="AU1966" i="1"/>
  <c r="AV1966" i="1"/>
  <c r="AT1967" i="1"/>
  <c r="AU1967" i="1"/>
  <c r="AV1967" i="1"/>
  <c r="AT1968" i="1"/>
  <c r="AU1968" i="1"/>
  <c r="AV1968" i="1"/>
  <c r="AT1969" i="1"/>
  <c r="AU1969" i="1"/>
  <c r="AV1969" i="1"/>
  <c r="AT1970" i="1"/>
  <c r="AU1970" i="1"/>
  <c r="AV1970" i="1"/>
  <c r="AT1971" i="1"/>
  <c r="AU1971" i="1"/>
  <c r="AV1971" i="1"/>
  <c r="AT1972" i="1"/>
  <c r="AU1972" i="1"/>
  <c r="AV1972" i="1"/>
  <c r="AT1973" i="1"/>
  <c r="AU1973" i="1"/>
  <c r="AV1973" i="1"/>
  <c r="AT1974" i="1"/>
  <c r="AU1974" i="1"/>
  <c r="AV1974" i="1"/>
  <c r="AT1975" i="1"/>
  <c r="AU1975" i="1"/>
  <c r="AV1975" i="1"/>
  <c r="AT1976" i="1"/>
  <c r="AU1976" i="1"/>
  <c r="AV1976" i="1"/>
  <c r="AT1977" i="1"/>
  <c r="AU1977" i="1"/>
  <c r="AV1977" i="1"/>
  <c r="AT1978" i="1"/>
  <c r="AU1978" i="1"/>
  <c r="AV1978" i="1"/>
  <c r="AT1979" i="1"/>
  <c r="AU1979" i="1"/>
  <c r="AV1979" i="1"/>
  <c r="AT1980" i="1"/>
  <c r="AU1980" i="1"/>
  <c r="AV1980" i="1"/>
  <c r="AT1981" i="1"/>
  <c r="AU1981" i="1"/>
  <c r="AV1981" i="1"/>
  <c r="AT1982" i="1"/>
  <c r="AU1982" i="1"/>
  <c r="AV1982" i="1"/>
  <c r="AT1983" i="1"/>
  <c r="AU1983" i="1"/>
  <c r="AV1983" i="1"/>
  <c r="AT1984" i="1"/>
  <c r="AU1984" i="1"/>
  <c r="AV1984" i="1"/>
  <c r="AT1985" i="1"/>
  <c r="AU1985" i="1"/>
  <c r="AV1985" i="1"/>
  <c r="AT1986" i="1"/>
  <c r="AU1986" i="1"/>
  <c r="AV1986" i="1"/>
  <c r="AT1987" i="1"/>
  <c r="AU1987" i="1"/>
  <c r="AV1987" i="1"/>
  <c r="AT1988" i="1"/>
  <c r="AU1988" i="1"/>
  <c r="AV1988" i="1"/>
  <c r="AT1989" i="1"/>
  <c r="AU1989" i="1"/>
  <c r="AV1989" i="1"/>
  <c r="AT1990" i="1"/>
  <c r="AU1990" i="1"/>
  <c r="AV1990" i="1"/>
  <c r="AT1991" i="1"/>
  <c r="AU1991" i="1"/>
  <c r="AV1991" i="1"/>
  <c r="AT1992" i="1"/>
  <c r="AU1992" i="1"/>
  <c r="AV1992" i="1"/>
  <c r="AT1993" i="1"/>
  <c r="AU1993" i="1"/>
  <c r="AV1993" i="1"/>
  <c r="AT1994" i="1"/>
  <c r="AU1994" i="1"/>
  <c r="AV1994" i="1"/>
  <c r="AT1995" i="1"/>
  <c r="AU1995" i="1"/>
  <c r="AV1995" i="1"/>
  <c r="AT1996" i="1"/>
  <c r="AU1996" i="1"/>
  <c r="AV1996" i="1"/>
  <c r="AT1997" i="1"/>
  <c r="AU1997" i="1"/>
  <c r="AV1997" i="1"/>
  <c r="AT1998" i="1"/>
  <c r="AU1998" i="1"/>
  <c r="AV1998" i="1"/>
  <c r="AT1999" i="1"/>
  <c r="AU1999" i="1"/>
  <c r="AV1999" i="1"/>
  <c r="AT2000" i="1"/>
  <c r="AU2000" i="1"/>
  <c r="AV2000" i="1"/>
  <c r="AT2001" i="1"/>
  <c r="AU2001" i="1"/>
  <c r="AV2001" i="1"/>
  <c r="AT2002" i="1"/>
  <c r="AU2002" i="1"/>
  <c r="AV2002" i="1"/>
  <c r="AT2003" i="1"/>
  <c r="AU2003" i="1"/>
  <c r="AV2003" i="1"/>
  <c r="AT2004" i="1"/>
  <c r="AU2004" i="1"/>
  <c r="AV2004" i="1"/>
  <c r="AT2005" i="1"/>
  <c r="AU2005" i="1"/>
  <c r="AV2005" i="1"/>
  <c r="AT2006" i="1"/>
  <c r="AU2006" i="1"/>
  <c r="AV2006" i="1"/>
  <c r="AT2007" i="1"/>
  <c r="AU2007" i="1"/>
  <c r="AV2007" i="1"/>
  <c r="AT2008" i="1"/>
  <c r="AU2008" i="1"/>
  <c r="AV2008" i="1"/>
  <c r="AT2009" i="1"/>
  <c r="AU2009" i="1"/>
  <c r="AV2009" i="1"/>
  <c r="AT2010" i="1"/>
  <c r="AU2010" i="1"/>
  <c r="AV2010" i="1"/>
  <c r="AT2011" i="1"/>
  <c r="AU2011" i="1"/>
  <c r="AV2011" i="1"/>
  <c r="AT2012" i="1"/>
  <c r="AU2012" i="1"/>
  <c r="AV2012" i="1"/>
  <c r="AT2013" i="1"/>
  <c r="AU2013" i="1"/>
  <c r="AV2013" i="1"/>
  <c r="AT2014" i="1"/>
  <c r="AU2014" i="1"/>
  <c r="AV2014" i="1"/>
  <c r="AT2015" i="1"/>
  <c r="AU2015" i="1"/>
  <c r="AV2015" i="1"/>
  <c r="AT2016" i="1"/>
  <c r="AU2016" i="1"/>
  <c r="AV2016" i="1"/>
  <c r="AT2017" i="1"/>
  <c r="AU2017" i="1"/>
  <c r="AV2017" i="1"/>
  <c r="AT2018" i="1"/>
  <c r="AU2018" i="1"/>
  <c r="AV2018" i="1"/>
  <c r="AT2019" i="1"/>
  <c r="AU2019" i="1"/>
  <c r="AV2019" i="1"/>
  <c r="AT2020" i="1"/>
  <c r="AU2020" i="1"/>
  <c r="AV2020" i="1"/>
  <c r="AT2021" i="1"/>
  <c r="AU2021" i="1"/>
  <c r="AV2021" i="1"/>
  <c r="AT2022" i="1"/>
  <c r="AU2022" i="1"/>
  <c r="AV2022" i="1"/>
  <c r="AT2023" i="1"/>
  <c r="AU2023" i="1"/>
  <c r="AV2023" i="1"/>
  <c r="AT2024" i="1"/>
  <c r="AU2024" i="1"/>
  <c r="AV2024" i="1"/>
  <c r="AT2025" i="1"/>
  <c r="AU2025" i="1"/>
  <c r="AV2025" i="1"/>
  <c r="AT2026" i="1"/>
  <c r="AU2026" i="1"/>
  <c r="AV2026" i="1"/>
  <c r="AT2027" i="1"/>
  <c r="AU2027" i="1"/>
  <c r="AV2027" i="1"/>
  <c r="AT2028" i="1"/>
  <c r="AU2028" i="1"/>
  <c r="AV2028" i="1"/>
  <c r="AT2029" i="1"/>
  <c r="AU2029" i="1"/>
  <c r="AV2029" i="1"/>
  <c r="AT2030" i="1"/>
  <c r="AU2030" i="1"/>
  <c r="AV2030" i="1"/>
  <c r="AT2031" i="1"/>
  <c r="AU2031" i="1"/>
  <c r="AV2031" i="1"/>
  <c r="AT2032" i="1"/>
  <c r="AU2032" i="1"/>
  <c r="AV2032" i="1"/>
  <c r="AT2033" i="1"/>
  <c r="AU2033" i="1"/>
  <c r="AV2033" i="1"/>
  <c r="AT2034" i="1"/>
  <c r="AU2034" i="1"/>
  <c r="AV2034" i="1"/>
  <c r="AT2035" i="1"/>
  <c r="AU2035" i="1"/>
  <c r="AV2035" i="1"/>
  <c r="AT2036" i="1"/>
  <c r="AU2036" i="1"/>
  <c r="AV2036" i="1"/>
  <c r="AT2037" i="1"/>
  <c r="AU2037" i="1"/>
  <c r="AV2037" i="1"/>
  <c r="AT2038" i="1"/>
  <c r="AU2038" i="1"/>
  <c r="AV2038" i="1"/>
  <c r="AT2039" i="1"/>
  <c r="AU2039" i="1"/>
  <c r="AV2039" i="1"/>
  <c r="AT2040" i="1"/>
  <c r="AU2040" i="1"/>
  <c r="AV2040" i="1"/>
  <c r="AT2041" i="1"/>
  <c r="AU2041" i="1"/>
  <c r="AV2041" i="1"/>
  <c r="AT2042" i="1"/>
  <c r="AU2042" i="1"/>
  <c r="AV2042" i="1"/>
  <c r="AT2043" i="1"/>
  <c r="AU2043" i="1"/>
  <c r="AV2043" i="1"/>
  <c r="AT2044" i="1"/>
  <c r="AU2044" i="1"/>
  <c r="AV2044" i="1"/>
  <c r="AT2045" i="1"/>
  <c r="AU2045" i="1"/>
  <c r="AV2045" i="1"/>
  <c r="AT2046" i="1"/>
  <c r="AU2046" i="1"/>
  <c r="AV2046" i="1"/>
  <c r="AT2047" i="1"/>
  <c r="AU2047" i="1"/>
  <c r="AV2047" i="1"/>
  <c r="AT2048" i="1"/>
  <c r="AU2048" i="1"/>
  <c r="AV2048" i="1"/>
  <c r="AT2049" i="1"/>
  <c r="AU2049" i="1"/>
  <c r="AV2049" i="1"/>
  <c r="AT2050" i="1"/>
  <c r="AU2050" i="1"/>
  <c r="AV2050" i="1"/>
  <c r="AT2051" i="1"/>
  <c r="AU2051" i="1"/>
  <c r="AV2051" i="1"/>
  <c r="AT2052" i="1"/>
  <c r="AU2052" i="1"/>
  <c r="AV2052" i="1"/>
  <c r="AT2053" i="1"/>
  <c r="AU2053" i="1"/>
  <c r="AV2053" i="1"/>
  <c r="AT2054" i="1"/>
  <c r="AU2054" i="1"/>
  <c r="AV2054" i="1"/>
  <c r="AT2055" i="1"/>
  <c r="AU2055" i="1"/>
  <c r="AV2055" i="1"/>
  <c r="AT2056" i="1"/>
  <c r="AU2056" i="1"/>
  <c r="AV2056" i="1"/>
  <c r="AT2057" i="1"/>
  <c r="AU2057" i="1"/>
  <c r="AV2057" i="1"/>
  <c r="AT2058" i="1"/>
  <c r="AU2058" i="1"/>
  <c r="AV2058" i="1"/>
  <c r="AT2059" i="1"/>
  <c r="AU2059" i="1"/>
  <c r="AV2059" i="1"/>
  <c r="AT2060" i="1"/>
  <c r="AU2060" i="1"/>
  <c r="AV2060" i="1"/>
  <c r="AT2061" i="1"/>
  <c r="AU2061" i="1"/>
  <c r="AV2061" i="1"/>
  <c r="AT2062" i="1"/>
  <c r="AU2062" i="1"/>
  <c r="AV2062" i="1"/>
  <c r="AT2063" i="1"/>
  <c r="AU2063" i="1"/>
  <c r="AV2063" i="1"/>
  <c r="AT2064" i="1"/>
  <c r="AU2064" i="1"/>
  <c r="AV2064" i="1"/>
  <c r="AT2065" i="1"/>
  <c r="AU2065" i="1"/>
  <c r="AV2065" i="1"/>
  <c r="AT2066" i="1"/>
  <c r="AU2066" i="1"/>
  <c r="AV2066" i="1"/>
  <c r="AT2067" i="1"/>
  <c r="AU2067" i="1"/>
  <c r="AV2067" i="1"/>
  <c r="AT2068" i="1"/>
  <c r="AU2068" i="1"/>
  <c r="AV2068" i="1"/>
  <c r="AT2069" i="1"/>
  <c r="AU2069" i="1"/>
  <c r="AV2069" i="1"/>
  <c r="AT2070" i="1"/>
  <c r="AU2070" i="1"/>
  <c r="AV2070" i="1"/>
  <c r="AT2071" i="1"/>
  <c r="AU2071" i="1"/>
  <c r="AV2071" i="1"/>
  <c r="AT2072" i="1"/>
  <c r="AU2072" i="1"/>
  <c r="AV2072" i="1"/>
  <c r="AT2073" i="1"/>
  <c r="AU2073" i="1"/>
  <c r="AV2073" i="1"/>
  <c r="AT2074" i="1"/>
  <c r="AU2074" i="1"/>
  <c r="AV2074" i="1"/>
  <c r="AT2075" i="1"/>
  <c r="AU2075" i="1"/>
  <c r="AV2075" i="1"/>
  <c r="AT2076" i="1"/>
  <c r="AU2076" i="1"/>
  <c r="AV2076" i="1"/>
  <c r="AT2077" i="1"/>
  <c r="AU2077" i="1"/>
  <c r="AV2077" i="1"/>
  <c r="AT2078" i="1"/>
  <c r="AU2078" i="1"/>
  <c r="AV2078" i="1"/>
  <c r="AT2079" i="1"/>
  <c r="AU2079" i="1"/>
  <c r="AV2079" i="1"/>
  <c r="AT2080" i="1"/>
  <c r="AU2080" i="1"/>
  <c r="AV2080" i="1"/>
  <c r="AT2081" i="1"/>
  <c r="AU2081" i="1"/>
  <c r="AV2081" i="1"/>
  <c r="AT2082" i="1"/>
  <c r="AU2082" i="1"/>
  <c r="AV2082" i="1"/>
  <c r="AT2083" i="1"/>
  <c r="AU2083" i="1"/>
  <c r="AV2083" i="1"/>
  <c r="AT2084" i="1"/>
  <c r="AU2084" i="1"/>
  <c r="AV2084" i="1"/>
  <c r="AT2085" i="1"/>
  <c r="AU2085" i="1"/>
  <c r="AV2085" i="1"/>
  <c r="AT2086" i="1"/>
  <c r="AU2086" i="1"/>
  <c r="AV2086" i="1"/>
  <c r="AT2087" i="1"/>
  <c r="AU2087" i="1"/>
  <c r="AV2087" i="1"/>
  <c r="AT2088" i="1"/>
  <c r="AU2088" i="1"/>
  <c r="AV2088" i="1"/>
  <c r="AT2089" i="1"/>
  <c r="AU2089" i="1"/>
  <c r="AV2089" i="1"/>
  <c r="AT2090" i="1"/>
  <c r="AU2090" i="1"/>
  <c r="AV2090" i="1"/>
  <c r="AT2091" i="1"/>
  <c r="AU2091" i="1"/>
  <c r="AV2091" i="1"/>
  <c r="AT2092" i="1"/>
  <c r="AU2092" i="1"/>
  <c r="AV2092" i="1"/>
  <c r="AT2093" i="1"/>
  <c r="AU2093" i="1"/>
  <c r="AV2093" i="1"/>
  <c r="AT2094" i="1"/>
  <c r="AU2094" i="1"/>
  <c r="AV2094" i="1"/>
  <c r="AT2095" i="1"/>
  <c r="AU2095" i="1"/>
  <c r="AV2095" i="1"/>
  <c r="AT2096" i="1"/>
  <c r="AU2096" i="1"/>
  <c r="AV2096" i="1"/>
  <c r="AT2097" i="1"/>
  <c r="AU2097" i="1"/>
  <c r="AV2097" i="1"/>
  <c r="AT2098" i="1"/>
  <c r="AU2098" i="1"/>
  <c r="AV2098" i="1"/>
  <c r="AT2099" i="1"/>
  <c r="AU2099" i="1"/>
  <c r="AV2099" i="1"/>
  <c r="AT2100" i="1"/>
  <c r="AU2100" i="1"/>
  <c r="AV2100" i="1"/>
  <c r="AT2101" i="1"/>
  <c r="AU2101" i="1"/>
  <c r="AV2101" i="1"/>
  <c r="AT2102" i="1"/>
  <c r="AU2102" i="1"/>
  <c r="AV2102" i="1"/>
  <c r="AT2103" i="1"/>
  <c r="AU2103" i="1"/>
  <c r="AV2103" i="1"/>
  <c r="AT2104" i="1"/>
  <c r="AU2104" i="1"/>
  <c r="AV2104" i="1"/>
  <c r="AT2105" i="1"/>
  <c r="AU2105" i="1"/>
  <c r="AV2105" i="1"/>
  <c r="AT2106" i="1"/>
  <c r="AU2106" i="1"/>
  <c r="AV2106" i="1"/>
  <c r="AT2107" i="1"/>
  <c r="AU2107" i="1"/>
  <c r="AV2107" i="1"/>
  <c r="AT2108" i="1"/>
  <c r="AU2108" i="1"/>
  <c r="AV2108" i="1"/>
  <c r="AT2109" i="1"/>
  <c r="AU2109" i="1"/>
  <c r="AV2109" i="1"/>
  <c r="AT2110" i="1"/>
  <c r="AU2110" i="1"/>
  <c r="AV2110" i="1"/>
  <c r="AT2111" i="1"/>
  <c r="AU2111" i="1"/>
  <c r="AV2111" i="1"/>
  <c r="AT2112" i="1"/>
  <c r="AU2112" i="1"/>
  <c r="AV2112" i="1"/>
  <c r="AT2113" i="1"/>
  <c r="AU2113" i="1"/>
  <c r="AV2113" i="1"/>
  <c r="AT2114" i="1"/>
  <c r="AU2114" i="1"/>
  <c r="AV2114" i="1"/>
  <c r="AT2115" i="1"/>
  <c r="AU2115" i="1"/>
  <c r="AV2115" i="1"/>
  <c r="AT2116" i="1"/>
  <c r="AU2116" i="1"/>
  <c r="AV2116" i="1"/>
  <c r="AT2117" i="1"/>
  <c r="AU2117" i="1"/>
  <c r="AV2117" i="1"/>
  <c r="AT2118" i="1"/>
  <c r="AU2118" i="1"/>
  <c r="AV2118" i="1"/>
  <c r="AT2119" i="1"/>
  <c r="AU2119" i="1"/>
  <c r="AV2119" i="1"/>
  <c r="AT2120" i="1"/>
  <c r="AU2120" i="1"/>
  <c r="AV2120" i="1"/>
  <c r="AT2121" i="1"/>
  <c r="AU2121" i="1"/>
  <c r="AV2121" i="1"/>
  <c r="AT2122" i="1"/>
  <c r="AU2122" i="1"/>
  <c r="AV2122" i="1"/>
  <c r="AT2123" i="1"/>
  <c r="AU2123" i="1"/>
  <c r="AV2123" i="1"/>
  <c r="AT2124" i="1"/>
  <c r="AU2124" i="1"/>
  <c r="AV2124" i="1"/>
  <c r="AT2125" i="1"/>
  <c r="AU2125" i="1"/>
  <c r="AV2125" i="1"/>
  <c r="AT2126" i="1"/>
  <c r="AU2126" i="1"/>
  <c r="AV2126" i="1"/>
  <c r="AT2127" i="1"/>
  <c r="AU2127" i="1"/>
  <c r="AV2127" i="1"/>
  <c r="AT2128" i="1"/>
  <c r="AU2128" i="1"/>
  <c r="AV2128" i="1"/>
  <c r="AT2129" i="1"/>
  <c r="AU2129" i="1"/>
  <c r="AV2129" i="1"/>
  <c r="AT2130" i="1"/>
  <c r="AU2130" i="1"/>
  <c r="AV2130" i="1"/>
  <c r="AT2131" i="1"/>
  <c r="AU2131" i="1"/>
  <c r="AV2131" i="1"/>
  <c r="AT2132" i="1"/>
  <c r="AU2132" i="1"/>
  <c r="AV2132" i="1"/>
  <c r="AT2133" i="1"/>
  <c r="AU2133" i="1"/>
  <c r="AV2133" i="1"/>
  <c r="AT2134" i="1"/>
  <c r="AU2134" i="1"/>
  <c r="AV2134" i="1"/>
  <c r="AT2135" i="1"/>
  <c r="AU2135" i="1"/>
  <c r="AV2135" i="1"/>
  <c r="AT2136" i="1"/>
  <c r="AU2136" i="1"/>
  <c r="AV2136" i="1"/>
  <c r="AT2137" i="1"/>
  <c r="AU2137" i="1"/>
  <c r="AV2137" i="1"/>
  <c r="AT2138" i="1"/>
  <c r="AU2138" i="1"/>
  <c r="AV2138" i="1"/>
  <c r="AT2139" i="1"/>
  <c r="AU2139" i="1"/>
  <c r="AV2139" i="1"/>
  <c r="AT2140" i="1"/>
  <c r="AU2140" i="1"/>
  <c r="AV2140" i="1"/>
  <c r="AT2141" i="1"/>
  <c r="AU2141" i="1"/>
  <c r="AV2141" i="1"/>
  <c r="AT2142" i="1"/>
  <c r="AU2142" i="1"/>
  <c r="AV2142" i="1"/>
  <c r="AT2143" i="1"/>
  <c r="AU2143" i="1"/>
  <c r="AV2143" i="1"/>
  <c r="AT2144" i="1"/>
  <c r="AU2144" i="1"/>
  <c r="AV2144" i="1"/>
  <c r="AT2145" i="1"/>
  <c r="AU2145" i="1"/>
  <c r="AV2145" i="1"/>
  <c r="AT2146" i="1"/>
  <c r="AU2146" i="1"/>
  <c r="AV2146" i="1"/>
  <c r="AT2147" i="1"/>
  <c r="AU2147" i="1"/>
  <c r="AV2147" i="1"/>
  <c r="AT2148" i="1"/>
  <c r="AU2148" i="1"/>
  <c r="AV2148" i="1"/>
  <c r="AT2149" i="1"/>
  <c r="AU2149" i="1"/>
  <c r="AV2149" i="1"/>
  <c r="AT2150" i="1"/>
  <c r="AU2150" i="1"/>
  <c r="AV2150" i="1"/>
  <c r="AT2151" i="1"/>
  <c r="AU2151" i="1"/>
  <c r="AV2151" i="1"/>
  <c r="AT2152" i="1"/>
  <c r="AU2152" i="1"/>
  <c r="AV2152" i="1"/>
  <c r="AT2153" i="1"/>
  <c r="AU2153" i="1"/>
  <c r="AV2153" i="1"/>
  <c r="AT2154" i="1"/>
  <c r="AU2154" i="1"/>
  <c r="AV2154" i="1"/>
  <c r="AT2155" i="1"/>
  <c r="AU2155" i="1"/>
  <c r="AV2155" i="1"/>
  <c r="AT2156" i="1"/>
  <c r="AU2156" i="1"/>
  <c r="AV2156" i="1"/>
  <c r="AT2157" i="1"/>
  <c r="AU2157" i="1"/>
  <c r="AV2157" i="1"/>
  <c r="AT2158" i="1"/>
  <c r="AU2158" i="1"/>
  <c r="AV2158" i="1"/>
  <c r="AT2160" i="1"/>
  <c r="AU2160" i="1"/>
  <c r="AV2160" i="1"/>
  <c r="AT2161" i="1"/>
  <c r="AU2161" i="1"/>
  <c r="AV2161" i="1"/>
  <c r="AT2162" i="1"/>
  <c r="AU2162" i="1"/>
  <c r="AV2162" i="1"/>
  <c r="AT2163" i="1"/>
  <c r="AU2163" i="1"/>
  <c r="AV2163" i="1"/>
  <c r="AT2164" i="1"/>
  <c r="AU2164" i="1"/>
  <c r="AV2164" i="1"/>
  <c r="AT2165" i="1"/>
  <c r="AU2165" i="1"/>
  <c r="AV2165" i="1"/>
  <c r="AT2166" i="1"/>
  <c r="AU2166" i="1"/>
  <c r="AV2166" i="1"/>
  <c r="AT2167" i="1"/>
  <c r="AU2167" i="1"/>
  <c r="AV2167" i="1"/>
  <c r="AT2168" i="1"/>
  <c r="AU2168" i="1"/>
  <c r="AV2168" i="1"/>
  <c r="AT2169" i="1"/>
  <c r="AU2169" i="1"/>
  <c r="AV2169" i="1"/>
  <c r="AT2170" i="1"/>
  <c r="AU2170" i="1"/>
  <c r="AV2170" i="1"/>
  <c r="AT2171" i="1"/>
  <c r="AU2171" i="1"/>
  <c r="AV2171" i="1"/>
  <c r="AT2172" i="1"/>
  <c r="AU2172" i="1"/>
  <c r="AV2172" i="1"/>
  <c r="AT2173" i="1"/>
  <c r="AU2173" i="1"/>
  <c r="AV2173" i="1"/>
  <c r="AT2174" i="1"/>
  <c r="AU2174" i="1"/>
  <c r="AV2174" i="1"/>
  <c r="AT2175" i="1"/>
  <c r="AU2175" i="1"/>
  <c r="AV2175" i="1"/>
  <c r="AT2176" i="1"/>
  <c r="AU2176" i="1"/>
  <c r="AV2176" i="1"/>
  <c r="AT2177" i="1"/>
  <c r="AU2177" i="1"/>
  <c r="AV2177" i="1"/>
  <c r="AT2178" i="1"/>
  <c r="AU2178" i="1"/>
  <c r="AV2178" i="1"/>
  <c r="AT2179" i="1"/>
  <c r="AU2179" i="1"/>
  <c r="AV2179" i="1"/>
  <c r="AT2180" i="1"/>
  <c r="AU2180" i="1"/>
  <c r="AV2180" i="1"/>
  <c r="AT2181" i="1"/>
  <c r="AU2181" i="1"/>
  <c r="AV2181" i="1"/>
  <c r="AT2182" i="1"/>
  <c r="AU2182" i="1"/>
  <c r="AV2182" i="1"/>
  <c r="AT2183" i="1"/>
  <c r="AU2183" i="1"/>
  <c r="AV2183" i="1"/>
  <c r="AT2184" i="1"/>
  <c r="AU2184" i="1"/>
  <c r="AV2184" i="1"/>
  <c r="AT2185" i="1"/>
  <c r="AU2185" i="1"/>
  <c r="AV2185" i="1"/>
  <c r="AT2186" i="1"/>
  <c r="AU2186" i="1"/>
  <c r="AV2186" i="1"/>
  <c r="AT2187" i="1"/>
  <c r="AU2187" i="1"/>
  <c r="AV2187" i="1"/>
  <c r="AT2188" i="1"/>
  <c r="AU2188" i="1"/>
  <c r="AV2188" i="1"/>
  <c r="AT2189" i="1"/>
  <c r="AU2189" i="1"/>
  <c r="AV2189" i="1"/>
  <c r="AT2190" i="1"/>
  <c r="AU2190" i="1"/>
  <c r="AV2190" i="1"/>
  <c r="AT2191" i="1"/>
  <c r="AU2191" i="1"/>
  <c r="AV2191" i="1"/>
  <c r="AT2192" i="1"/>
  <c r="AU2192" i="1"/>
  <c r="AV2192" i="1"/>
  <c r="AT2193" i="1"/>
  <c r="AU2193" i="1"/>
  <c r="AV2193" i="1"/>
  <c r="AT2194" i="1"/>
  <c r="AU2194" i="1"/>
  <c r="AV2194" i="1"/>
  <c r="AT2195" i="1"/>
  <c r="AU2195" i="1"/>
  <c r="AV2195" i="1"/>
  <c r="AT2196" i="1"/>
  <c r="AU2196" i="1"/>
  <c r="AV2196" i="1"/>
  <c r="AT2197" i="1"/>
  <c r="AU2197" i="1"/>
  <c r="AV2197" i="1"/>
  <c r="AT2198" i="1"/>
  <c r="AU2198" i="1"/>
  <c r="AV2198" i="1"/>
  <c r="AT2199" i="1"/>
  <c r="AU2199" i="1"/>
  <c r="AV2199" i="1"/>
  <c r="AT2200" i="1"/>
  <c r="AU2200" i="1"/>
  <c r="AV2200" i="1"/>
  <c r="AT2201" i="1"/>
  <c r="AU2201" i="1"/>
  <c r="AV2201" i="1"/>
  <c r="AT2202" i="1"/>
  <c r="AU2202" i="1"/>
  <c r="AV2202" i="1"/>
  <c r="AT2203" i="1"/>
  <c r="AU2203" i="1"/>
  <c r="AV2203" i="1"/>
  <c r="AT2204" i="1"/>
  <c r="AU2204" i="1"/>
  <c r="AV2204" i="1"/>
  <c r="AT2205" i="1"/>
  <c r="AU2205" i="1"/>
  <c r="AV2205" i="1"/>
  <c r="AT2206" i="1"/>
  <c r="AU2206" i="1"/>
  <c r="AV2206" i="1"/>
  <c r="AT2207" i="1"/>
  <c r="AU2207" i="1"/>
  <c r="AV2207" i="1"/>
  <c r="AT2208" i="1"/>
  <c r="AU2208" i="1"/>
  <c r="AV2208" i="1"/>
  <c r="AT2209" i="1"/>
  <c r="AU2209" i="1"/>
  <c r="AV2209" i="1"/>
  <c r="AT2210" i="1"/>
  <c r="AU2210" i="1"/>
  <c r="AV2210" i="1"/>
  <c r="AT2211" i="1"/>
  <c r="AU2211" i="1"/>
  <c r="AV2211" i="1"/>
  <c r="AT2212" i="1"/>
  <c r="AU2212" i="1"/>
  <c r="AV2212" i="1"/>
  <c r="AT2213" i="1"/>
  <c r="AU2213" i="1"/>
  <c r="AV2213" i="1"/>
  <c r="AT2214" i="1"/>
  <c r="AU2214" i="1"/>
  <c r="AV2214" i="1"/>
  <c r="AT2215" i="1"/>
  <c r="AU2215" i="1"/>
  <c r="AV2215" i="1"/>
  <c r="AT2216" i="1"/>
  <c r="AU2216" i="1"/>
  <c r="AV2216" i="1"/>
  <c r="AT2217" i="1"/>
  <c r="AU2217" i="1"/>
  <c r="AV2217" i="1"/>
  <c r="AT2218" i="1"/>
  <c r="AU2218" i="1"/>
  <c r="AV2218" i="1"/>
  <c r="AT2219" i="1"/>
  <c r="AU2219" i="1"/>
  <c r="AV2219" i="1"/>
  <c r="AT2220" i="1"/>
  <c r="AU2220" i="1"/>
  <c r="AV2220" i="1"/>
  <c r="AT2221" i="1"/>
  <c r="AU2221" i="1"/>
  <c r="AV2221" i="1"/>
  <c r="AT2222" i="1"/>
  <c r="AU2222" i="1"/>
  <c r="AV2222" i="1"/>
  <c r="AT2223" i="1"/>
  <c r="AU2223" i="1"/>
  <c r="AV2223" i="1"/>
  <c r="AT2224" i="1"/>
  <c r="AU2224" i="1"/>
  <c r="AV2224" i="1"/>
  <c r="AT2225" i="1"/>
  <c r="AU2225" i="1"/>
  <c r="AV2225" i="1"/>
  <c r="AT2226" i="1"/>
  <c r="AU2226" i="1"/>
  <c r="AV2226" i="1"/>
  <c r="AT2227" i="1"/>
  <c r="AU2227" i="1"/>
  <c r="AV2227" i="1"/>
  <c r="AT2228" i="1"/>
  <c r="AU2228" i="1"/>
  <c r="AV2228" i="1"/>
  <c r="AT2229" i="1"/>
  <c r="AU2229" i="1"/>
  <c r="AV2229" i="1"/>
  <c r="AT2230" i="1"/>
  <c r="AU2230" i="1"/>
  <c r="AV2230" i="1"/>
  <c r="AT2231" i="1"/>
  <c r="AU2231" i="1"/>
  <c r="AV2231" i="1"/>
  <c r="AT2232" i="1"/>
  <c r="AU2232" i="1"/>
  <c r="AV2232" i="1"/>
  <c r="AT2233" i="1"/>
  <c r="AU2233" i="1"/>
  <c r="AV2233" i="1"/>
  <c r="AT2234" i="1"/>
  <c r="AU2234" i="1"/>
  <c r="AV2234" i="1"/>
  <c r="AT2235" i="1"/>
  <c r="AU2235" i="1"/>
  <c r="AV2235" i="1"/>
  <c r="AT2236" i="1"/>
  <c r="AU2236" i="1"/>
  <c r="AV2236" i="1"/>
  <c r="AT2237" i="1"/>
  <c r="AU2237" i="1"/>
  <c r="AV2237" i="1"/>
  <c r="AT2238" i="1"/>
  <c r="AU2238" i="1"/>
  <c r="AV2238" i="1"/>
  <c r="AT2239" i="1"/>
  <c r="AU2239" i="1"/>
  <c r="AV2239" i="1"/>
  <c r="AT2240" i="1"/>
  <c r="AU2240" i="1"/>
  <c r="AV2240" i="1"/>
  <c r="AT2241" i="1"/>
  <c r="AU2241" i="1"/>
  <c r="AV2241" i="1"/>
  <c r="AT2242" i="1"/>
  <c r="AU2242" i="1"/>
  <c r="AV2242" i="1"/>
  <c r="AT2243" i="1"/>
  <c r="AU2243" i="1"/>
  <c r="AV2243" i="1"/>
  <c r="AT2244" i="1"/>
  <c r="AU2244" i="1"/>
  <c r="AV2244" i="1"/>
  <c r="AT2245" i="1"/>
  <c r="AU2245" i="1"/>
  <c r="AV2245" i="1"/>
  <c r="AT2246" i="1"/>
  <c r="AU2246" i="1"/>
  <c r="AV2246" i="1"/>
  <c r="AT2247" i="1"/>
  <c r="AU2247" i="1"/>
  <c r="AV2247" i="1"/>
  <c r="AT2248" i="1"/>
  <c r="AU2248" i="1"/>
  <c r="AV2248" i="1"/>
  <c r="AT2249" i="1"/>
  <c r="AU2249" i="1"/>
  <c r="AV2249" i="1"/>
  <c r="AT2250" i="1"/>
  <c r="AU2250" i="1"/>
  <c r="AV2250" i="1"/>
  <c r="AT2251" i="1"/>
  <c r="AU2251" i="1"/>
  <c r="AV2251" i="1"/>
  <c r="AT2252" i="1"/>
  <c r="AU2252" i="1"/>
  <c r="AV2252" i="1"/>
  <c r="AT2253" i="1"/>
  <c r="AU2253" i="1"/>
  <c r="AV2253" i="1"/>
  <c r="AT2254" i="1"/>
  <c r="AU2254" i="1"/>
  <c r="AV2254" i="1"/>
  <c r="AT2255" i="1"/>
  <c r="AU2255" i="1"/>
  <c r="AV2255" i="1"/>
  <c r="AT2256" i="1"/>
  <c r="AU2256" i="1"/>
  <c r="AV2256" i="1"/>
  <c r="AT2257" i="1"/>
  <c r="AU2257" i="1"/>
  <c r="AV2257" i="1"/>
  <c r="AT2258" i="1"/>
  <c r="AU2258" i="1"/>
  <c r="AV2258" i="1"/>
  <c r="AT2259" i="1"/>
  <c r="AU2259" i="1"/>
  <c r="AV2259" i="1"/>
  <c r="AT2260" i="1"/>
  <c r="AU2260" i="1"/>
  <c r="AV2260" i="1"/>
  <c r="AT2261" i="1"/>
  <c r="AU2261" i="1"/>
  <c r="AV2261" i="1"/>
  <c r="AT2262" i="1"/>
  <c r="AU2262" i="1"/>
  <c r="AV2262" i="1"/>
  <c r="AT2263" i="1"/>
  <c r="AU2263" i="1"/>
  <c r="AV2263" i="1"/>
  <c r="AT2264" i="1"/>
  <c r="AU2264" i="1"/>
  <c r="AV2264" i="1"/>
  <c r="AT2265" i="1"/>
  <c r="AU2265" i="1"/>
  <c r="AV2265" i="1"/>
  <c r="AT2266" i="1"/>
  <c r="AU2266" i="1"/>
  <c r="AV2266" i="1"/>
  <c r="AT2267" i="1"/>
  <c r="AU2267" i="1"/>
  <c r="AV2267" i="1"/>
  <c r="AT2268" i="1"/>
  <c r="AU2268" i="1"/>
  <c r="AV2268" i="1"/>
  <c r="AT2269" i="1"/>
  <c r="AU2269" i="1"/>
  <c r="AV2269" i="1"/>
  <c r="AT2270" i="1"/>
  <c r="AU2270" i="1"/>
  <c r="AV2270" i="1"/>
  <c r="AT2271" i="1"/>
  <c r="AU2271" i="1"/>
  <c r="AV2271" i="1"/>
  <c r="AT2272" i="1"/>
  <c r="AU2272" i="1"/>
  <c r="AV2272" i="1"/>
  <c r="AT2273" i="1"/>
  <c r="AU2273" i="1"/>
  <c r="AV2273" i="1"/>
  <c r="AT2274" i="1"/>
  <c r="AU2274" i="1"/>
  <c r="AV2274" i="1"/>
  <c r="AT2275" i="1"/>
  <c r="AU2275" i="1"/>
  <c r="AV2275" i="1"/>
  <c r="AT2276" i="1"/>
  <c r="AU2276" i="1"/>
  <c r="AV2276" i="1"/>
  <c r="AT2277" i="1"/>
  <c r="AU2277" i="1"/>
  <c r="AV2277" i="1"/>
  <c r="AT2278" i="1"/>
  <c r="AU2278" i="1"/>
  <c r="AV2278" i="1"/>
  <c r="AT2279" i="1"/>
  <c r="AU2279" i="1"/>
  <c r="AV2279" i="1"/>
  <c r="AT2280" i="1"/>
  <c r="AU2280" i="1"/>
  <c r="AV2280" i="1"/>
  <c r="AT2281" i="1"/>
  <c r="AU2281" i="1"/>
  <c r="AV2281" i="1"/>
  <c r="AT2282" i="1"/>
  <c r="AU2282" i="1"/>
  <c r="AV2282" i="1"/>
  <c r="AT2283" i="1"/>
  <c r="AU2283" i="1"/>
  <c r="AV2283" i="1"/>
  <c r="AT2284" i="1"/>
  <c r="AU2284" i="1"/>
  <c r="AV2284" i="1"/>
  <c r="AT2285" i="1"/>
  <c r="AU2285" i="1"/>
  <c r="AV2285" i="1"/>
  <c r="AT2286" i="1"/>
  <c r="AU2286" i="1"/>
  <c r="AV2286" i="1"/>
  <c r="AT2287" i="1"/>
  <c r="AU2287" i="1"/>
  <c r="AV2287" i="1"/>
  <c r="AT2288" i="1"/>
  <c r="AU2288" i="1"/>
  <c r="AV2288" i="1"/>
  <c r="AT2289" i="1"/>
  <c r="AU2289" i="1"/>
  <c r="AV2289" i="1"/>
  <c r="AT2290" i="1"/>
  <c r="AU2290" i="1"/>
  <c r="AV2290" i="1"/>
  <c r="AT2291" i="1"/>
  <c r="AU2291" i="1"/>
  <c r="AV2291" i="1"/>
  <c r="AT2292" i="1"/>
  <c r="AU2292" i="1"/>
  <c r="AV2292" i="1"/>
  <c r="AT2293" i="1"/>
  <c r="AU2293" i="1"/>
  <c r="AV2293" i="1"/>
  <c r="AT2294" i="1"/>
  <c r="AU2294" i="1"/>
  <c r="AV2294" i="1"/>
  <c r="AT2295" i="1"/>
  <c r="AU2295" i="1"/>
  <c r="AV2295" i="1"/>
  <c r="AT2296" i="1"/>
  <c r="AU2296" i="1"/>
  <c r="AV2296" i="1"/>
  <c r="AT2297" i="1"/>
  <c r="AU2297" i="1"/>
  <c r="AV2297" i="1"/>
  <c r="AT2298" i="1"/>
  <c r="AU2298" i="1"/>
  <c r="AV2298" i="1"/>
  <c r="AT2299" i="1"/>
  <c r="AU2299" i="1"/>
  <c r="AV2299" i="1"/>
  <c r="AT2300" i="1"/>
  <c r="AU2300" i="1"/>
  <c r="AV2300" i="1"/>
  <c r="AT2301" i="1"/>
  <c r="AU2301" i="1"/>
  <c r="AV2301" i="1"/>
  <c r="AT2302" i="1"/>
  <c r="AU2302" i="1"/>
  <c r="AV2302" i="1"/>
  <c r="AT2303" i="1"/>
  <c r="AU2303" i="1"/>
  <c r="AV2303" i="1"/>
  <c r="AT2304" i="1"/>
  <c r="AU2304" i="1"/>
  <c r="AV2304" i="1"/>
  <c r="AT2305" i="1"/>
  <c r="AU2305" i="1"/>
  <c r="AV2305" i="1"/>
  <c r="AT2306" i="1"/>
  <c r="AU2306" i="1"/>
  <c r="AV2306" i="1"/>
  <c r="AT2307" i="1"/>
  <c r="AU2307" i="1"/>
  <c r="AV2307" i="1"/>
  <c r="AT2308" i="1"/>
  <c r="AU2308" i="1"/>
  <c r="AV2308" i="1"/>
  <c r="AT2309" i="1"/>
  <c r="AU2309" i="1"/>
  <c r="AV2309" i="1"/>
  <c r="AT2310" i="1"/>
  <c r="AU2310" i="1"/>
  <c r="AV2310" i="1"/>
  <c r="AT2311" i="1"/>
  <c r="AU2311" i="1"/>
  <c r="AV2311" i="1"/>
  <c r="AT2312" i="1"/>
  <c r="AU2312" i="1"/>
  <c r="AV2312" i="1"/>
  <c r="AT2313" i="1"/>
  <c r="AU2313" i="1"/>
  <c r="AV2313" i="1"/>
  <c r="AT2314" i="1"/>
  <c r="AU2314" i="1"/>
  <c r="AV2314" i="1"/>
  <c r="AT2315" i="1"/>
  <c r="AU2315" i="1"/>
  <c r="AV2315" i="1"/>
  <c r="AT2316" i="1"/>
  <c r="AU2316" i="1"/>
  <c r="AV2316" i="1"/>
  <c r="AT2317" i="1"/>
  <c r="AU2317" i="1"/>
  <c r="AV2317" i="1"/>
  <c r="AT2318" i="1"/>
  <c r="AU2318" i="1"/>
  <c r="AV2318" i="1"/>
  <c r="AT2319" i="1"/>
  <c r="AU2319" i="1"/>
  <c r="AV2319" i="1"/>
  <c r="AT2320" i="1"/>
  <c r="AU2320" i="1"/>
  <c r="AV2320" i="1"/>
  <c r="AT2321" i="1"/>
  <c r="AU2321" i="1"/>
  <c r="AV2321" i="1"/>
  <c r="AT2322" i="1"/>
  <c r="AU2322" i="1"/>
  <c r="AV2322" i="1"/>
  <c r="AT2323" i="1"/>
  <c r="AU2323" i="1"/>
  <c r="AV2323" i="1"/>
  <c r="AT2324" i="1"/>
  <c r="AU2324" i="1"/>
  <c r="AV2324" i="1"/>
  <c r="AT2325" i="1"/>
  <c r="AU2325" i="1"/>
  <c r="AV2325" i="1"/>
  <c r="AT2326" i="1"/>
  <c r="AU2326" i="1"/>
  <c r="AV2326" i="1"/>
  <c r="AT2327" i="1"/>
  <c r="AU2327" i="1"/>
  <c r="AV2327" i="1"/>
  <c r="AT2328" i="1"/>
  <c r="AU2328" i="1"/>
  <c r="AV2328" i="1"/>
  <c r="AT2329" i="1"/>
  <c r="AU2329" i="1"/>
  <c r="AV2329" i="1"/>
  <c r="AT2330" i="1"/>
  <c r="AU2330" i="1"/>
  <c r="AV2330" i="1"/>
  <c r="AT2331" i="1"/>
  <c r="AU2331" i="1"/>
  <c r="AV2331" i="1"/>
  <c r="AT2332" i="1"/>
  <c r="AU2332" i="1"/>
  <c r="AV2332" i="1"/>
  <c r="AT2333" i="1"/>
  <c r="AU2333" i="1"/>
  <c r="AV2333" i="1"/>
  <c r="AT2334" i="1"/>
  <c r="AU2334" i="1"/>
  <c r="AV2334" i="1"/>
  <c r="AT2335" i="1"/>
  <c r="AU2335" i="1"/>
  <c r="AV2335" i="1"/>
  <c r="AT2336" i="1"/>
  <c r="AU2336" i="1"/>
  <c r="AV2336" i="1"/>
  <c r="AT2337" i="1"/>
  <c r="AU2337" i="1"/>
  <c r="AV2337" i="1"/>
  <c r="AT2338" i="1"/>
  <c r="AU2338" i="1"/>
  <c r="AV2338" i="1"/>
  <c r="AT2339" i="1"/>
  <c r="AU2339" i="1"/>
  <c r="AV2339" i="1"/>
  <c r="AT2340" i="1"/>
  <c r="AU2340" i="1"/>
  <c r="AV2340" i="1"/>
  <c r="AT2341" i="1"/>
  <c r="AU2341" i="1"/>
  <c r="AV2341" i="1"/>
  <c r="AT2342" i="1"/>
  <c r="AU2342" i="1"/>
  <c r="AV2342" i="1"/>
  <c r="AT2343" i="1"/>
  <c r="AU2343" i="1"/>
  <c r="AV2343" i="1"/>
  <c r="AT2344" i="1"/>
  <c r="AU2344" i="1"/>
  <c r="AV2344" i="1"/>
  <c r="AT2345" i="1"/>
  <c r="AU2345" i="1"/>
  <c r="AV2345" i="1"/>
  <c r="AT2346" i="1"/>
  <c r="AU2346" i="1"/>
  <c r="AV2346" i="1"/>
  <c r="AT2347" i="1"/>
  <c r="AU2347" i="1"/>
  <c r="AV2347" i="1"/>
  <c r="AT2348" i="1"/>
  <c r="AU2348" i="1"/>
  <c r="AV2348" i="1"/>
  <c r="AT2349" i="1"/>
  <c r="AU2349" i="1"/>
  <c r="AV2349" i="1"/>
  <c r="AT2350" i="1"/>
  <c r="AU2350" i="1"/>
  <c r="AV2350" i="1"/>
  <c r="AT2351" i="1"/>
  <c r="AU2351" i="1"/>
  <c r="AV2351" i="1"/>
  <c r="AT2352" i="1"/>
  <c r="AU2352" i="1"/>
  <c r="AV2352" i="1"/>
  <c r="AT2353" i="1"/>
  <c r="AU2353" i="1"/>
  <c r="AV2353" i="1"/>
  <c r="AT2354" i="1"/>
  <c r="AU2354" i="1"/>
  <c r="AV2354" i="1"/>
  <c r="AT2355" i="1"/>
  <c r="AU2355" i="1"/>
  <c r="AV2355" i="1"/>
  <c r="AT2356" i="1"/>
  <c r="AU2356" i="1"/>
  <c r="AV2356" i="1"/>
  <c r="AT2357" i="1"/>
  <c r="AU2357" i="1"/>
  <c r="AV2357" i="1"/>
  <c r="AT2358" i="1"/>
  <c r="AU2358" i="1"/>
  <c r="AV2358" i="1"/>
  <c r="AT2359" i="1"/>
  <c r="AU2359" i="1"/>
  <c r="AV2359" i="1"/>
  <c r="AT2360" i="1"/>
  <c r="AU2360" i="1"/>
  <c r="AV2360" i="1"/>
  <c r="AT2361" i="1"/>
  <c r="AU2361" i="1"/>
  <c r="AV2361" i="1"/>
  <c r="AT2362" i="1"/>
  <c r="AU2362" i="1"/>
  <c r="AV2362" i="1"/>
  <c r="AT2363" i="1"/>
  <c r="AU2363" i="1"/>
  <c r="AV2363" i="1"/>
  <c r="AT2364" i="1"/>
  <c r="AU2364" i="1"/>
  <c r="AV2364" i="1"/>
  <c r="AT2365" i="1"/>
  <c r="AU2365" i="1"/>
  <c r="AV2365" i="1"/>
  <c r="AT2366" i="1"/>
  <c r="AU2366" i="1"/>
  <c r="AV2366" i="1"/>
  <c r="AT2367" i="1"/>
  <c r="AU2367" i="1"/>
  <c r="AV2367" i="1"/>
  <c r="AT2368" i="1"/>
  <c r="AU2368" i="1"/>
  <c r="AV2368" i="1"/>
  <c r="AT2369" i="1"/>
  <c r="AU2369" i="1"/>
  <c r="AV2369" i="1"/>
  <c r="AT2370" i="1"/>
  <c r="AU2370" i="1"/>
  <c r="AV2370" i="1"/>
  <c r="AT2371" i="1"/>
  <c r="AU2371" i="1"/>
  <c r="AV2371" i="1"/>
  <c r="AT2372" i="1"/>
  <c r="AU2372" i="1"/>
  <c r="AV2372" i="1"/>
  <c r="AT2373" i="1"/>
  <c r="AU2373" i="1"/>
  <c r="AV2373" i="1"/>
  <c r="AT2374" i="1"/>
  <c r="AU2374" i="1"/>
  <c r="AV2374" i="1"/>
  <c r="AT2375" i="1"/>
  <c r="AU2375" i="1"/>
  <c r="AV2375" i="1"/>
  <c r="AT2376" i="1"/>
  <c r="AU2376" i="1"/>
  <c r="AV2376" i="1"/>
  <c r="AT2377" i="1"/>
  <c r="AU2377" i="1"/>
  <c r="AV2377" i="1"/>
  <c r="AT2378" i="1"/>
  <c r="AU2378" i="1"/>
  <c r="AV2378" i="1"/>
  <c r="AT2379" i="1"/>
  <c r="AU2379" i="1"/>
  <c r="AV2379" i="1"/>
  <c r="AT2380" i="1"/>
  <c r="AU2380" i="1"/>
  <c r="AV2380" i="1"/>
  <c r="AT2381" i="1"/>
  <c r="AU2381" i="1"/>
  <c r="AV2381" i="1"/>
  <c r="AT2382" i="1"/>
  <c r="AU2382" i="1"/>
  <c r="AV2382" i="1"/>
  <c r="AT2383" i="1"/>
  <c r="AU2383" i="1"/>
  <c r="AV2383" i="1"/>
  <c r="AT2384" i="1"/>
  <c r="AU2384" i="1"/>
  <c r="AV2384" i="1"/>
  <c r="AT2385" i="1"/>
  <c r="AU2385" i="1"/>
  <c r="AV2385" i="1"/>
  <c r="AT2386" i="1"/>
  <c r="AU2386" i="1"/>
  <c r="AV2386" i="1"/>
  <c r="AT2387" i="1"/>
  <c r="AU2387" i="1"/>
  <c r="AV2387" i="1"/>
  <c r="AT2388" i="1"/>
  <c r="AU2388" i="1"/>
  <c r="AV2388" i="1"/>
  <c r="AT2389" i="1"/>
  <c r="AU2389" i="1"/>
  <c r="AV2389" i="1"/>
  <c r="AT2390" i="1"/>
  <c r="AU2390" i="1"/>
  <c r="AV2390" i="1"/>
  <c r="AT2391" i="1"/>
  <c r="AU2391" i="1"/>
  <c r="AV2391" i="1"/>
  <c r="AT2392" i="1"/>
  <c r="AU2392" i="1"/>
  <c r="AV2392" i="1"/>
  <c r="AT2393" i="1"/>
  <c r="AU2393" i="1"/>
  <c r="AV2393" i="1"/>
  <c r="AT2394" i="1"/>
  <c r="AU2394" i="1"/>
  <c r="AV2394" i="1"/>
  <c r="AT2395" i="1"/>
  <c r="AU2395" i="1"/>
  <c r="AV2395" i="1"/>
  <c r="AT2396" i="1"/>
  <c r="AU2396" i="1"/>
  <c r="AV2396" i="1"/>
  <c r="AT2397" i="1"/>
  <c r="AU2397" i="1"/>
  <c r="AV2397" i="1"/>
  <c r="AT2398" i="1"/>
  <c r="AU2398" i="1"/>
  <c r="AV2398" i="1"/>
  <c r="AT2399" i="1"/>
  <c r="AU2399" i="1"/>
  <c r="AV2399" i="1"/>
  <c r="AT2400" i="1"/>
  <c r="AU2400" i="1"/>
  <c r="AV2400" i="1"/>
  <c r="AT2401" i="1"/>
  <c r="AU2401" i="1"/>
  <c r="AV2401" i="1"/>
  <c r="AT2402" i="1"/>
  <c r="AU2402" i="1"/>
  <c r="AV2402" i="1"/>
  <c r="AT2403" i="1"/>
  <c r="AU2403" i="1"/>
  <c r="AV2403" i="1"/>
  <c r="AT2404" i="1"/>
  <c r="AU2404" i="1"/>
  <c r="AV2404" i="1"/>
  <c r="AT2405" i="1"/>
  <c r="AU2405" i="1"/>
  <c r="AV2405" i="1"/>
  <c r="AT2406" i="1"/>
  <c r="AU2406" i="1"/>
  <c r="AV2406" i="1"/>
  <c r="AT2407" i="1"/>
  <c r="AU2407" i="1"/>
  <c r="AV2407" i="1"/>
  <c r="AT2408" i="1"/>
  <c r="AU2408" i="1"/>
  <c r="AV2408" i="1"/>
  <c r="AT2409" i="1"/>
  <c r="AU2409" i="1"/>
  <c r="AV2409" i="1"/>
  <c r="AT2410" i="1"/>
  <c r="AU2410" i="1"/>
  <c r="AV2410" i="1"/>
  <c r="AT2411" i="1"/>
  <c r="AU2411" i="1"/>
  <c r="AV2411" i="1"/>
  <c r="AT2412" i="1"/>
  <c r="AU2412" i="1"/>
  <c r="AV2412" i="1"/>
  <c r="AT2413" i="1"/>
  <c r="AU2413" i="1"/>
  <c r="AV2413" i="1"/>
  <c r="AT2414" i="1"/>
  <c r="AU2414" i="1"/>
  <c r="AV2414" i="1"/>
  <c r="AT2415" i="1"/>
  <c r="AU2415" i="1"/>
  <c r="AV2415" i="1"/>
  <c r="AT2416" i="1"/>
  <c r="AU2416" i="1"/>
  <c r="AV2416" i="1"/>
  <c r="AT2417" i="1"/>
  <c r="AU2417" i="1"/>
  <c r="AV2417" i="1"/>
  <c r="AT2418" i="1"/>
  <c r="AU2418" i="1"/>
  <c r="AV2418" i="1"/>
  <c r="AT2419" i="1"/>
  <c r="AU2419" i="1"/>
  <c r="AV2419" i="1"/>
  <c r="AT2420" i="1"/>
  <c r="AU2420" i="1"/>
  <c r="AV2420" i="1"/>
  <c r="AT2421" i="1"/>
  <c r="AU2421" i="1"/>
  <c r="AV2421" i="1"/>
  <c r="AT2422" i="1"/>
  <c r="AU2422" i="1"/>
  <c r="AV2422" i="1"/>
  <c r="AT2423" i="1"/>
  <c r="AU2423" i="1"/>
  <c r="AV2423" i="1"/>
  <c r="AT2424" i="1"/>
  <c r="AU2424" i="1"/>
  <c r="AV2424" i="1"/>
  <c r="AT2425" i="1"/>
  <c r="AU2425" i="1"/>
  <c r="AV2425" i="1"/>
  <c r="AT2426" i="1"/>
  <c r="AU2426" i="1"/>
  <c r="AV2426" i="1"/>
  <c r="AT2427" i="1"/>
  <c r="AU2427" i="1"/>
  <c r="AV2427" i="1"/>
  <c r="AT2428" i="1"/>
  <c r="AU2428" i="1"/>
  <c r="AV2428" i="1"/>
  <c r="AT2429" i="1"/>
  <c r="AU2429" i="1"/>
  <c r="AV2429" i="1"/>
  <c r="AT2430" i="1"/>
  <c r="AU2430" i="1"/>
  <c r="AV2430" i="1"/>
  <c r="AT2431" i="1"/>
  <c r="AU2431" i="1"/>
  <c r="AV2431" i="1"/>
  <c r="AT2432" i="1"/>
  <c r="AU2432" i="1"/>
  <c r="AV2432" i="1"/>
  <c r="AT2433" i="1"/>
  <c r="AU2433" i="1"/>
  <c r="AV2433" i="1"/>
  <c r="AT2434" i="1"/>
  <c r="AU2434" i="1"/>
  <c r="AV2434" i="1"/>
  <c r="AT2435" i="1"/>
  <c r="AU2435" i="1"/>
  <c r="AV2435" i="1"/>
  <c r="AT2436" i="1"/>
  <c r="AU2436" i="1"/>
  <c r="AV2436" i="1"/>
  <c r="AT2437" i="1"/>
  <c r="AU2437" i="1"/>
  <c r="AV2437" i="1"/>
  <c r="AT2438" i="1"/>
  <c r="AU2438" i="1"/>
  <c r="AV2438" i="1"/>
  <c r="AT2439" i="1"/>
  <c r="AU2439" i="1"/>
  <c r="AV2439" i="1"/>
  <c r="AT2440" i="1"/>
  <c r="AU2440" i="1"/>
  <c r="AV2440" i="1"/>
  <c r="AT2441" i="1"/>
  <c r="AU2441" i="1"/>
  <c r="AV2441" i="1"/>
  <c r="AT2442" i="1"/>
  <c r="AU2442" i="1"/>
  <c r="AV2442" i="1"/>
  <c r="AT2443" i="1"/>
  <c r="AU2443" i="1"/>
  <c r="AV2443" i="1"/>
  <c r="AT2444" i="1"/>
  <c r="AU2444" i="1"/>
  <c r="AV2444" i="1"/>
  <c r="AT2445" i="1"/>
  <c r="AU2445" i="1"/>
  <c r="AV2445" i="1"/>
  <c r="AT2446" i="1"/>
  <c r="AU2446" i="1"/>
  <c r="AV2446" i="1"/>
  <c r="AT2447" i="1"/>
  <c r="AU2447" i="1"/>
  <c r="AV2447" i="1"/>
  <c r="AT2448" i="1"/>
  <c r="AU2448" i="1"/>
  <c r="AV2448" i="1"/>
  <c r="AT2449" i="1"/>
  <c r="AU2449" i="1"/>
  <c r="AV2449" i="1"/>
  <c r="AT2450" i="1"/>
  <c r="AU2450" i="1"/>
  <c r="AV2450" i="1"/>
  <c r="AT2451" i="1"/>
  <c r="AU2451" i="1"/>
  <c r="AV2451" i="1"/>
  <c r="AT2452" i="1"/>
  <c r="AU2452" i="1"/>
  <c r="AV2452" i="1"/>
  <c r="AT2453" i="1"/>
  <c r="AU2453" i="1"/>
  <c r="AV2453" i="1"/>
  <c r="AT2454" i="1"/>
  <c r="AU2454" i="1"/>
  <c r="AV2454" i="1"/>
  <c r="AT2455" i="1"/>
  <c r="AU2455" i="1"/>
  <c r="AV2455" i="1"/>
  <c r="AT2456" i="1"/>
  <c r="AU2456" i="1"/>
  <c r="AV2456" i="1"/>
  <c r="AT2457" i="1"/>
  <c r="AU2457" i="1"/>
  <c r="AV2457" i="1"/>
  <c r="AT2458" i="1"/>
  <c r="AU2458" i="1"/>
  <c r="AV2458" i="1"/>
  <c r="AT2459" i="1"/>
  <c r="AU2459" i="1"/>
  <c r="AV2459" i="1"/>
  <c r="AT2460" i="1"/>
  <c r="AU2460" i="1"/>
  <c r="AV2460" i="1"/>
  <c r="AT2461" i="1"/>
  <c r="AU2461" i="1"/>
  <c r="AV2461" i="1"/>
  <c r="AT2462" i="1"/>
  <c r="AU2462" i="1"/>
  <c r="AV2462" i="1"/>
  <c r="AT2463" i="1"/>
  <c r="AU2463" i="1"/>
  <c r="AV2463" i="1"/>
  <c r="AT2464" i="1"/>
  <c r="AU2464" i="1"/>
  <c r="AV2464" i="1"/>
  <c r="AT2465" i="1"/>
  <c r="AU2465" i="1"/>
  <c r="AV2465" i="1"/>
  <c r="AT2466" i="1"/>
  <c r="AU2466" i="1"/>
  <c r="AV2466" i="1"/>
  <c r="AT2467" i="1"/>
  <c r="AU2467" i="1"/>
  <c r="AV2467" i="1"/>
  <c r="AT2468" i="1"/>
  <c r="AU2468" i="1"/>
  <c r="AV2468" i="1"/>
  <c r="AT2469" i="1"/>
  <c r="AU2469" i="1"/>
  <c r="AV2469" i="1"/>
  <c r="AT2470" i="1"/>
  <c r="AU2470" i="1"/>
  <c r="AV2470" i="1"/>
  <c r="AT2471" i="1"/>
  <c r="AU2471" i="1"/>
  <c r="AV2471" i="1"/>
  <c r="AT2472" i="1"/>
  <c r="AU2472" i="1"/>
  <c r="AV2472" i="1"/>
  <c r="AT2473" i="1"/>
  <c r="AU2473" i="1"/>
  <c r="AV2473" i="1"/>
  <c r="AT2474" i="1"/>
  <c r="AU2474" i="1"/>
  <c r="AV2474" i="1"/>
  <c r="AT2475" i="1"/>
  <c r="AU2475" i="1"/>
  <c r="AV2475" i="1"/>
  <c r="AT2476" i="1"/>
  <c r="AU2476" i="1"/>
  <c r="AV2476" i="1"/>
  <c r="AT2477" i="1"/>
  <c r="AU2477" i="1"/>
  <c r="AV2477" i="1"/>
  <c r="AT2478" i="1"/>
  <c r="AU2478" i="1"/>
  <c r="AV2478" i="1"/>
  <c r="AT2479" i="1"/>
  <c r="AU2479" i="1"/>
  <c r="AV2479" i="1"/>
  <c r="AT2480" i="1"/>
  <c r="AU2480" i="1"/>
  <c r="AV2480" i="1"/>
  <c r="AT2481" i="1"/>
  <c r="AU2481" i="1"/>
  <c r="AV2481" i="1"/>
  <c r="AT2482" i="1"/>
  <c r="AU2482" i="1"/>
  <c r="AV2482" i="1"/>
  <c r="AT2483" i="1"/>
  <c r="AU2483" i="1"/>
  <c r="AV2483" i="1"/>
  <c r="AT2484" i="1"/>
  <c r="AU2484" i="1"/>
  <c r="AV2484" i="1"/>
  <c r="AT2485" i="1"/>
  <c r="AU2485" i="1"/>
  <c r="AV2485" i="1"/>
  <c r="AT2486" i="1"/>
  <c r="AU2486" i="1"/>
  <c r="AV2486" i="1"/>
  <c r="AT2487" i="1"/>
  <c r="AU2487" i="1"/>
  <c r="AV2487" i="1"/>
  <c r="AT2488" i="1"/>
  <c r="AU2488" i="1"/>
  <c r="AV2488" i="1"/>
  <c r="AT2489" i="1"/>
  <c r="AU2489" i="1"/>
  <c r="AV2489" i="1"/>
  <c r="AT2490" i="1"/>
  <c r="AU2490" i="1"/>
  <c r="AV2490" i="1"/>
  <c r="AT2491" i="1"/>
  <c r="AU2491" i="1"/>
  <c r="AV2491" i="1"/>
  <c r="AT2492" i="1"/>
  <c r="AU2492" i="1"/>
  <c r="AV2492" i="1"/>
  <c r="AT2493" i="1"/>
  <c r="AU2493" i="1"/>
  <c r="AV2493" i="1"/>
  <c r="AT2494" i="1"/>
  <c r="AU2494" i="1"/>
  <c r="AV2494" i="1"/>
  <c r="AT2495" i="1"/>
  <c r="AU2495" i="1"/>
  <c r="AV2495" i="1"/>
  <c r="AT2496" i="1"/>
  <c r="AU2496" i="1"/>
  <c r="AV2496" i="1"/>
  <c r="AT2497" i="1"/>
  <c r="AU2497" i="1"/>
  <c r="AV2497" i="1"/>
  <c r="AT2498" i="1"/>
  <c r="AU2498" i="1"/>
  <c r="AV2498" i="1"/>
  <c r="AT2499" i="1"/>
  <c r="AU2499" i="1"/>
  <c r="AV2499" i="1"/>
  <c r="AT2500" i="1"/>
  <c r="AU2500" i="1"/>
  <c r="AV2500" i="1"/>
  <c r="AT2501" i="1"/>
  <c r="AU2501" i="1"/>
  <c r="AV2501" i="1"/>
  <c r="AT2502" i="1"/>
  <c r="AU2502" i="1"/>
  <c r="AV2502" i="1"/>
  <c r="AT2503" i="1"/>
  <c r="AU2503" i="1"/>
  <c r="AV2503" i="1"/>
  <c r="AT2504" i="1"/>
  <c r="AU2504" i="1"/>
  <c r="AV2504" i="1"/>
  <c r="AT2505" i="1"/>
  <c r="AU2505" i="1"/>
  <c r="AV2505" i="1"/>
  <c r="AT2506" i="1"/>
  <c r="AU2506" i="1"/>
  <c r="AV2506" i="1"/>
  <c r="AT2507" i="1"/>
  <c r="AU2507" i="1"/>
  <c r="AV2507" i="1"/>
  <c r="AT2508" i="1"/>
  <c r="AU2508" i="1"/>
  <c r="AV2508" i="1"/>
  <c r="AT2509" i="1"/>
  <c r="AU2509" i="1"/>
  <c r="AV2509" i="1"/>
  <c r="AT2510" i="1"/>
  <c r="AU2510" i="1"/>
  <c r="AV2510" i="1"/>
  <c r="AT2511" i="1"/>
  <c r="AU2511" i="1"/>
  <c r="AV2511" i="1"/>
  <c r="AT2512" i="1"/>
  <c r="AU2512" i="1"/>
  <c r="AV2512" i="1"/>
  <c r="AT2513" i="1"/>
  <c r="AU2513" i="1"/>
  <c r="AV2513" i="1"/>
  <c r="AT2514" i="1"/>
  <c r="AU2514" i="1"/>
  <c r="AV2514" i="1"/>
  <c r="AT2515" i="1"/>
  <c r="AU2515" i="1"/>
  <c r="AV2515" i="1"/>
  <c r="AT2516" i="1"/>
  <c r="AU2516" i="1"/>
  <c r="AV2516" i="1"/>
  <c r="AT2517" i="1"/>
  <c r="AU2517" i="1"/>
  <c r="AV2517" i="1"/>
  <c r="AT2518" i="1"/>
  <c r="AU2518" i="1"/>
  <c r="AV2518" i="1"/>
  <c r="AT2519" i="1"/>
  <c r="AU2519" i="1"/>
  <c r="AV2519" i="1"/>
  <c r="AT2520" i="1"/>
  <c r="AU2520" i="1"/>
  <c r="AV2520" i="1"/>
  <c r="AT2521" i="1"/>
  <c r="AU2521" i="1"/>
  <c r="AV2521" i="1"/>
  <c r="AT2522" i="1"/>
  <c r="AU2522" i="1"/>
  <c r="AV2522" i="1"/>
  <c r="AT2523" i="1"/>
  <c r="AU2523" i="1"/>
  <c r="AV2523" i="1"/>
  <c r="AT2524" i="1"/>
  <c r="AU2524" i="1"/>
  <c r="AV2524" i="1"/>
  <c r="AT2525" i="1"/>
  <c r="AU2525" i="1"/>
  <c r="AV2525" i="1"/>
  <c r="AT2526" i="1"/>
  <c r="AU2526" i="1"/>
  <c r="AV2526" i="1"/>
  <c r="AT2527" i="1"/>
  <c r="AU2527" i="1"/>
  <c r="AV2527" i="1"/>
  <c r="AT2528" i="1"/>
  <c r="AU2528" i="1"/>
  <c r="AV2528" i="1"/>
  <c r="AT2529" i="1"/>
  <c r="AU2529" i="1"/>
  <c r="AV2529" i="1"/>
  <c r="AT2530" i="1"/>
  <c r="AU2530" i="1"/>
  <c r="AV2530" i="1"/>
  <c r="AT2531" i="1"/>
  <c r="AU2531" i="1"/>
  <c r="AV2531" i="1"/>
  <c r="AT2532" i="1"/>
  <c r="AU2532" i="1"/>
  <c r="AV2532" i="1"/>
  <c r="AT2533" i="1"/>
  <c r="AU2533" i="1"/>
  <c r="AV2533" i="1"/>
  <c r="AT2534" i="1"/>
  <c r="AU2534" i="1"/>
  <c r="AV2534" i="1"/>
  <c r="AT2535" i="1"/>
  <c r="AU2535" i="1"/>
  <c r="AV2535" i="1"/>
  <c r="AT2536" i="1"/>
  <c r="AU2536" i="1"/>
  <c r="AV2536" i="1"/>
  <c r="AT2537" i="1"/>
  <c r="AU2537" i="1"/>
  <c r="AV2537" i="1"/>
  <c r="AT2538" i="1"/>
  <c r="AU2538" i="1"/>
  <c r="AV2538" i="1"/>
  <c r="AT2539" i="1"/>
  <c r="AU2539" i="1"/>
  <c r="AV2539" i="1"/>
  <c r="AT2540" i="1"/>
  <c r="AU2540" i="1"/>
  <c r="AV2540" i="1"/>
  <c r="AT2541" i="1"/>
  <c r="AU2541" i="1"/>
  <c r="AV2541" i="1"/>
  <c r="AT2542" i="1"/>
  <c r="AU2542" i="1"/>
  <c r="AV2542" i="1"/>
  <c r="AT2543" i="1"/>
  <c r="AU2543" i="1"/>
  <c r="AV2543" i="1"/>
  <c r="AT2544" i="1"/>
  <c r="AU2544" i="1"/>
  <c r="AV2544" i="1"/>
  <c r="AT2545" i="1"/>
  <c r="AU2545" i="1"/>
  <c r="AV2545" i="1"/>
  <c r="AT2546" i="1"/>
  <c r="AU2546" i="1"/>
  <c r="AV2546" i="1"/>
  <c r="AT2547" i="1"/>
  <c r="AU2547" i="1"/>
  <c r="AV2547" i="1"/>
  <c r="AT2548" i="1"/>
  <c r="AU2548" i="1"/>
  <c r="AV2548" i="1"/>
  <c r="AT2549" i="1"/>
  <c r="AU2549" i="1"/>
  <c r="AV2549" i="1"/>
  <c r="AT2550" i="1"/>
  <c r="AU2550" i="1"/>
  <c r="AV2550" i="1"/>
  <c r="AT2551" i="1"/>
  <c r="AU2551" i="1"/>
  <c r="AV2551" i="1"/>
  <c r="AT2552" i="1"/>
  <c r="AU2552" i="1"/>
  <c r="AV2552" i="1"/>
  <c r="AT2553" i="1"/>
  <c r="AU2553" i="1"/>
  <c r="AV2553" i="1"/>
  <c r="AT2554" i="1"/>
  <c r="AU2554" i="1"/>
  <c r="AV2554" i="1"/>
  <c r="AT2555" i="1"/>
  <c r="AU2555" i="1"/>
  <c r="AV2555" i="1"/>
  <c r="AT2556" i="1"/>
  <c r="AU2556" i="1"/>
  <c r="AV2556" i="1"/>
  <c r="AT2557" i="1"/>
  <c r="AU2557" i="1"/>
  <c r="AV2557" i="1"/>
  <c r="AT2558" i="1"/>
  <c r="AU2558" i="1"/>
  <c r="AV2558" i="1"/>
  <c r="AT2559" i="1"/>
  <c r="AU2559" i="1"/>
  <c r="AV2559" i="1"/>
  <c r="AT2560" i="1"/>
  <c r="AU2560" i="1"/>
  <c r="AV2560" i="1"/>
  <c r="AT2561" i="1"/>
  <c r="AU2561" i="1"/>
  <c r="AV2561" i="1"/>
  <c r="AT2562" i="1"/>
  <c r="AU2562" i="1"/>
  <c r="AV2562" i="1"/>
  <c r="AT2563" i="1"/>
  <c r="AU2563" i="1"/>
  <c r="AV2563" i="1"/>
  <c r="AT2564" i="1"/>
  <c r="AU2564" i="1"/>
  <c r="AV2564" i="1"/>
  <c r="AT2565" i="1"/>
  <c r="AU2565" i="1"/>
  <c r="AV2565" i="1"/>
  <c r="AT2566" i="1"/>
  <c r="AU2566" i="1"/>
  <c r="AV2566" i="1"/>
  <c r="AT2567" i="1"/>
  <c r="AU2567" i="1"/>
  <c r="AV2567" i="1"/>
  <c r="AT2568" i="1"/>
  <c r="AU2568" i="1"/>
  <c r="AV2568" i="1"/>
  <c r="AT2569" i="1"/>
  <c r="AU2569" i="1"/>
  <c r="AV2569" i="1"/>
  <c r="AT2570" i="1"/>
  <c r="AU2570" i="1"/>
  <c r="AV2570" i="1"/>
  <c r="AT2571" i="1"/>
  <c r="AU2571" i="1"/>
  <c r="AV2571" i="1"/>
  <c r="AT2572" i="1"/>
  <c r="AU2572" i="1"/>
  <c r="AV2572" i="1"/>
  <c r="AT2573" i="1"/>
  <c r="AU2573" i="1"/>
  <c r="AV2573" i="1"/>
  <c r="AT2574" i="1"/>
  <c r="AU2574" i="1"/>
  <c r="AV2574" i="1"/>
  <c r="AT2575" i="1"/>
  <c r="AU2575" i="1"/>
  <c r="AV2575" i="1"/>
  <c r="AT2576" i="1"/>
  <c r="AU2576" i="1"/>
  <c r="AV2576" i="1"/>
  <c r="AT2577" i="1"/>
  <c r="AU2577" i="1"/>
  <c r="AV2577" i="1"/>
  <c r="AT2578" i="1"/>
  <c r="AU2578" i="1"/>
  <c r="AV2578" i="1"/>
  <c r="AT2579" i="1"/>
  <c r="AU2579" i="1"/>
  <c r="AV2579" i="1"/>
  <c r="AT2580" i="1"/>
  <c r="AU2580" i="1"/>
  <c r="AV2580" i="1"/>
  <c r="AT2581" i="1"/>
  <c r="AU2581" i="1"/>
  <c r="AV2581" i="1"/>
  <c r="AT2582" i="1"/>
  <c r="AU2582" i="1"/>
  <c r="AV2582" i="1"/>
  <c r="AT2583" i="1"/>
  <c r="AU2583" i="1"/>
  <c r="AV2583" i="1"/>
  <c r="AT2584" i="1"/>
  <c r="AU2584" i="1"/>
  <c r="AV2584" i="1"/>
  <c r="AT2585" i="1"/>
  <c r="AU2585" i="1"/>
  <c r="AV2585" i="1"/>
  <c r="AT2586" i="1"/>
  <c r="AU2586" i="1"/>
  <c r="AV2586" i="1"/>
  <c r="AT2587" i="1"/>
  <c r="AU2587" i="1"/>
  <c r="AV2587" i="1"/>
  <c r="AT2588" i="1"/>
  <c r="AU2588" i="1"/>
  <c r="AV2588" i="1"/>
  <c r="AT2589" i="1"/>
  <c r="AU2589" i="1"/>
  <c r="AV2589" i="1"/>
  <c r="AT2590" i="1"/>
  <c r="AU2590" i="1"/>
  <c r="AV2590" i="1"/>
  <c r="AT2591" i="1"/>
  <c r="AU2591" i="1"/>
  <c r="AV2591" i="1"/>
  <c r="AT2592" i="1"/>
  <c r="AU2592" i="1"/>
  <c r="AV2592" i="1"/>
  <c r="AT2593" i="1"/>
  <c r="AU2593" i="1"/>
  <c r="AV2593" i="1"/>
  <c r="AT2594" i="1"/>
  <c r="AU2594" i="1"/>
  <c r="AV2594" i="1"/>
  <c r="AT2595" i="1"/>
  <c r="AU2595" i="1"/>
  <c r="AV2595" i="1"/>
  <c r="AT2596" i="1"/>
  <c r="AU2596" i="1"/>
  <c r="AV2596" i="1"/>
  <c r="AT2597" i="1"/>
  <c r="AU2597" i="1"/>
  <c r="AV2597" i="1"/>
  <c r="AT2598" i="1"/>
  <c r="AU2598" i="1"/>
  <c r="AV2598" i="1"/>
  <c r="AT2599" i="1"/>
  <c r="AU2599" i="1"/>
  <c r="AV2599" i="1"/>
  <c r="AT2600" i="1"/>
  <c r="AU2600" i="1"/>
  <c r="AV2600" i="1"/>
  <c r="AT2601" i="1"/>
  <c r="AU2601" i="1"/>
  <c r="AV2601" i="1"/>
  <c r="AT2602" i="1"/>
  <c r="AU2602" i="1"/>
  <c r="AV2602" i="1"/>
  <c r="AT2603" i="1"/>
  <c r="AU2603" i="1"/>
  <c r="AV2603" i="1"/>
  <c r="AT2604" i="1"/>
  <c r="AU2604" i="1"/>
  <c r="AV2604" i="1"/>
  <c r="AT2605" i="1"/>
  <c r="AU2605" i="1"/>
  <c r="AV2605" i="1"/>
  <c r="AT2606" i="1"/>
  <c r="AU2606" i="1"/>
  <c r="AV2606" i="1"/>
  <c r="AT2607" i="1"/>
  <c r="AU2607" i="1"/>
  <c r="AV2607" i="1"/>
  <c r="AT2608" i="1"/>
  <c r="AU2608" i="1"/>
  <c r="AV2608" i="1"/>
  <c r="AT2609" i="1"/>
  <c r="AU2609" i="1"/>
  <c r="AV2609" i="1"/>
  <c r="AT2610" i="1"/>
  <c r="AU2610" i="1"/>
  <c r="AV2610" i="1"/>
  <c r="AT2611" i="1"/>
  <c r="AU2611" i="1"/>
  <c r="AV2611" i="1"/>
  <c r="AT2612" i="1"/>
  <c r="AU2612" i="1"/>
  <c r="AV2612" i="1"/>
  <c r="AT2613" i="1"/>
  <c r="AU2613" i="1"/>
  <c r="AV2613" i="1"/>
  <c r="AT2614" i="1"/>
  <c r="AU2614" i="1"/>
  <c r="AV2614" i="1"/>
  <c r="AT2615" i="1"/>
  <c r="AU2615" i="1"/>
  <c r="AV2615" i="1"/>
  <c r="AT2616" i="1"/>
  <c r="AU2616" i="1"/>
  <c r="AV2616" i="1"/>
  <c r="AT2617" i="1"/>
  <c r="AU2617" i="1"/>
  <c r="AV2617" i="1"/>
  <c r="AT2618" i="1"/>
  <c r="AU2618" i="1"/>
  <c r="AV2618" i="1"/>
  <c r="AT2619" i="1"/>
  <c r="AU2619" i="1"/>
  <c r="AV2619" i="1"/>
  <c r="AT2620" i="1"/>
  <c r="AU2620" i="1"/>
  <c r="AV2620" i="1"/>
  <c r="AT2621" i="1"/>
  <c r="AU2621" i="1"/>
  <c r="AV2621" i="1"/>
  <c r="AT2622" i="1"/>
  <c r="AU2622" i="1"/>
  <c r="AV2622" i="1"/>
  <c r="AT2623" i="1"/>
  <c r="AU2623" i="1"/>
  <c r="AV2623" i="1"/>
  <c r="AT2624" i="1"/>
  <c r="AU2624" i="1"/>
  <c r="AV2624" i="1"/>
  <c r="AT2625" i="1"/>
  <c r="AU2625" i="1"/>
  <c r="AV2625" i="1"/>
  <c r="AT2626" i="1"/>
  <c r="AU2626" i="1"/>
  <c r="AV2626" i="1"/>
  <c r="AT2627" i="1"/>
  <c r="AU2627" i="1"/>
  <c r="AV2627" i="1"/>
  <c r="AT2628" i="1"/>
  <c r="AU2628" i="1"/>
  <c r="AV2628" i="1"/>
  <c r="AT2629" i="1"/>
  <c r="AU2629" i="1"/>
  <c r="AV2629" i="1"/>
  <c r="AT2630" i="1"/>
  <c r="AU2630" i="1"/>
  <c r="AV2630" i="1"/>
  <c r="AT2631" i="1"/>
  <c r="AU2631" i="1"/>
  <c r="AV2631" i="1"/>
  <c r="AT2632" i="1"/>
  <c r="AU2632" i="1"/>
  <c r="AV2632" i="1"/>
  <c r="AT2633" i="1"/>
  <c r="AU2633" i="1"/>
  <c r="AV2633" i="1"/>
  <c r="AT2634" i="1"/>
  <c r="AU2634" i="1"/>
  <c r="AV2634" i="1"/>
  <c r="AT2635" i="1"/>
  <c r="AU2635" i="1"/>
  <c r="AV2635" i="1"/>
  <c r="AT2636" i="1"/>
  <c r="AU2636" i="1"/>
  <c r="AV2636" i="1"/>
  <c r="AT2637" i="1"/>
  <c r="AU2637" i="1"/>
  <c r="AV2637" i="1"/>
  <c r="AT2638" i="1"/>
  <c r="AU2638" i="1"/>
  <c r="AV2638" i="1"/>
  <c r="AT2639" i="1"/>
  <c r="AU2639" i="1"/>
  <c r="AV2639" i="1"/>
  <c r="AT2640" i="1"/>
  <c r="AU2640" i="1"/>
  <c r="AV2640" i="1"/>
  <c r="AT2641" i="1"/>
  <c r="AU2641" i="1"/>
  <c r="AV2641" i="1"/>
  <c r="AT2642" i="1"/>
  <c r="AU2642" i="1"/>
  <c r="AV2642" i="1"/>
  <c r="AT2643" i="1"/>
  <c r="AU2643" i="1"/>
  <c r="AV2643" i="1"/>
  <c r="AT2644" i="1"/>
  <c r="AU2644" i="1"/>
  <c r="AV2644" i="1"/>
  <c r="AT2645" i="1"/>
  <c r="AU2645" i="1"/>
  <c r="AV2645" i="1"/>
  <c r="AT2646" i="1"/>
  <c r="AU2646" i="1"/>
  <c r="AV2646" i="1"/>
  <c r="AT2647" i="1"/>
  <c r="AU2647" i="1"/>
  <c r="AV2647" i="1"/>
  <c r="AT2648" i="1"/>
  <c r="AU2648" i="1"/>
  <c r="AV2648" i="1"/>
  <c r="AT2649" i="1"/>
  <c r="AU2649" i="1"/>
  <c r="AV2649" i="1"/>
  <c r="AT2650" i="1"/>
  <c r="AU2650" i="1"/>
  <c r="AV2650" i="1"/>
  <c r="AT2651" i="1"/>
  <c r="AU2651" i="1"/>
  <c r="AV2651" i="1"/>
  <c r="AT2652" i="1"/>
  <c r="AU2652" i="1"/>
  <c r="AV2652" i="1"/>
  <c r="AT2653" i="1"/>
  <c r="AU2653" i="1"/>
  <c r="AV2653" i="1"/>
  <c r="AT2654" i="1"/>
  <c r="AU2654" i="1"/>
  <c r="AV2654" i="1"/>
  <c r="AT2655" i="1"/>
  <c r="AU2655" i="1"/>
  <c r="AV2655" i="1"/>
  <c r="AT2656" i="1"/>
  <c r="AU2656" i="1"/>
  <c r="AV2656" i="1"/>
  <c r="AT2657" i="1"/>
  <c r="AU2657" i="1"/>
  <c r="AV2657" i="1"/>
  <c r="AT2658" i="1"/>
  <c r="AU2658" i="1"/>
  <c r="AV2658" i="1"/>
  <c r="AT2659" i="1"/>
  <c r="AU2659" i="1"/>
  <c r="AV2659" i="1"/>
  <c r="AT2660" i="1"/>
  <c r="AU2660" i="1"/>
  <c r="AV2660" i="1"/>
  <c r="AT2661" i="1"/>
  <c r="AU2661" i="1"/>
  <c r="AV2661" i="1"/>
  <c r="AT2662" i="1"/>
  <c r="AU2662" i="1"/>
  <c r="AV2662" i="1"/>
  <c r="AT2663" i="1"/>
  <c r="AU2663" i="1"/>
  <c r="AV2663" i="1"/>
  <c r="AT2664" i="1"/>
  <c r="AU2664" i="1"/>
  <c r="AV2664" i="1"/>
  <c r="AT2665" i="1"/>
  <c r="AU2665" i="1"/>
  <c r="AV2665" i="1"/>
  <c r="AT2666" i="1"/>
  <c r="AU2666" i="1"/>
  <c r="AV2666" i="1"/>
  <c r="AT2667" i="1"/>
  <c r="AU2667" i="1"/>
  <c r="AV2667" i="1"/>
  <c r="AT2668" i="1"/>
  <c r="AU2668" i="1"/>
  <c r="AV2668" i="1"/>
  <c r="AT2669" i="1"/>
  <c r="AU2669" i="1"/>
  <c r="AV2669" i="1"/>
  <c r="AT2670" i="1"/>
  <c r="AU2670" i="1"/>
  <c r="AV2670" i="1"/>
  <c r="AT2671" i="1"/>
  <c r="AU2671" i="1"/>
  <c r="AV2671" i="1"/>
  <c r="AT2672" i="1"/>
  <c r="AU2672" i="1"/>
  <c r="AV2672" i="1"/>
  <c r="AT2673" i="1"/>
  <c r="AU2673" i="1"/>
  <c r="AV2673" i="1"/>
  <c r="AT2674" i="1"/>
  <c r="AU2674" i="1"/>
  <c r="AV2674" i="1"/>
  <c r="AT2675" i="1"/>
  <c r="AU2675" i="1"/>
  <c r="AV2675" i="1"/>
  <c r="AT2676" i="1"/>
  <c r="AU2676" i="1"/>
  <c r="AV2676" i="1"/>
  <c r="AT2677" i="1"/>
  <c r="AU2677" i="1"/>
  <c r="AV2677" i="1"/>
  <c r="AT2678" i="1"/>
  <c r="AU2678" i="1"/>
  <c r="AV2678" i="1"/>
  <c r="AT2679" i="1"/>
  <c r="AU2679" i="1"/>
  <c r="AV2679" i="1"/>
  <c r="AT2680" i="1"/>
  <c r="AU2680" i="1"/>
  <c r="AV2680" i="1"/>
  <c r="AT2681" i="1"/>
  <c r="AU2681" i="1"/>
  <c r="AV2681" i="1"/>
  <c r="AT2682" i="1"/>
  <c r="AU2682" i="1"/>
  <c r="AV2682" i="1"/>
  <c r="AT2683" i="1"/>
  <c r="AU2683" i="1"/>
  <c r="AV2683" i="1"/>
  <c r="AT2684" i="1"/>
  <c r="AU2684" i="1"/>
  <c r="AV2684" i="1"/>
  <c r="AT2685" i="1"/>
  <c r="AU2685" i="1"/>
  <c r="AV2685" i="1"/>
  <c r="AT2686" i="1"/>
  <c r="AU2686" i="1"/>
  <c r="AV2686" i="1"/>
  <c r="AT2687" i="1"/>
  <c r="AU2687" i="1"/>
  <c r="AV2687" i="1"/>
  <c r="AT2688" i="1"/>
  <c r="AU2688" i="1"/>
  <c r="AV2688" i="1"/>
  <c r="AT2689" i="1"/>
  <c r="AU2689" i="1"/>
  <c r="AV2689" i="1"/>
  <c r="AT2690" i="1"/>
  <c r="AU2690" i="1"/>
  <c r="AV2690" i="1"/>
  <c r="AT2691" i="1"/>
  <c r="AU2691" i="1"/>
  <c r="AV2691" i="1"/>
  <c r="AT2692" i="1"/>
  <c r="AU2692" i="1"/>
  <c r="AV2692" i="1"/>
  <c r="AT2693" i="1"/>
  <c r="AU2693" i="1"/>
  <c r="AV2693" i="1"/>
  <c r="AT2694" i="1"/>
  <c r="AU2694" i="1"/>
  <c r="AV2694" i="1"/>
  <c r="AT2695" i="1"/>
  <c r="AU2695" i="1"/>
  <c r="AV2695" i="1"/>
  <c r="AT2696" i="1"/>
  <c r="AU2696" i="1"/>
  <c r="AV2696" i="1"/>
  <c r="AT2697" i="1"/>
  <c r="AU2697" i="1"/>
  <c r="AV2697" i="1"/>
  <c r="AT2698" i="1"/>
  <c r="AU2698" i="1"/>
  <c r="AV2698" i="1"/>
  <c r="AT2699" i="1"/>
  <c r="AU2699" i="1"/>
  <c r="AV2699" i="1"/>
  <c r="AT2700" i="1"/>
  <c r="AU2700" i="1"/>
  <c r="AV2700" i="1"/>
  <c r="AT2701" i="1"/>
  <c r="AU2701" i="1"/>
  <c r="AV2701" i="1"/>
  <c r="AT2702" i="1"/>
  <c r="AU2702" i="1"/>
  <c r="AV2702" i="1"/>
  <c r="AT2703" i="1"/>
  <c r="AU2703" i="1"/>
  <c r="AV2703" i="1"/>
  <c r="AT2704" i="1"/>
  <c r="AU2704" i="1"/>
  <c r="AV2704" i="1"/>
  <c r="AT2705" i="1"/>
  <c r="AU2705" i="1"/>
  <c r="AV2705" i="1"/>
  <c r="AT2706" i="1"/>
  <c r="AU2706" i="1"/>
  <c r="AV2706" i="1"/>
  <c r="AT2707" i="1"/>
  <c r="AU2707" i="1"/>
  <c r="AV2707" i="1"/>
  <c r="AT2708" i="1"/>
  <c r="AU2708" i="1"/>
  <c r="AV2708" i="1"/>
  <c r="AT2709" i="1"/>
  <c r="AU2709" i="1"/>
  <c r="AV2709" i="1"/>
  <c r="AT2710" i="1"/>
  <c r="AU2710" i="1"/>
  <c r="AV2710" i="1"/>
  <c r="AT2711" i="1"/>
  <c r="AU2711" i="1"/>
  <c r="AV2711" i="1"/>
  <c r="AT2712" i="1"/>
  <c r="AU2712" i="1"/>
  <c r="AV2712" i="1"/>
  <c r="AT2713" i="1"/>
  <c r="AU2713" i="1"/>
  <c r="AV2713" i="1"/>
  <c r="AT2714" i="1"/>
  <c r="AU2714" i="1"/>
  <c r="AV2714" i="1"/>
  <c r="AT2715" i="1"/>
  <c r="AU2715" i="1"/>
  <c r="AV2715" i="1"/>
  <c r="AT2716" i="1"/>
  <c r="AU2716" i="1"/>
  <c r="AV2716" i="1"/>
  <c r="AT2717" i="1"/>
  <c r="AU2717" i="1"/>
  <c r="AV2717" i="1"/>
  <c r="AT2718" i="1"/>
  <c r="AU2718" i="1"/>
  <c r="AV2718" i="1"/>
  <c r="AT2719" i="1"/>
  <c r="AU2719" i="1"/>
  <c r="AV2719" i="1"/>
  <c r="AT2720" i="1"/>
  <c r="AU2720" i="1"/>
  <c r="AV2720" i="1"/>
  <c r="AT2721" i="1"/>
  <c r="AU2721" i="1"/>
  <c r="AV2721" i="1"/>
  <c r="AT2722" i="1"/>
  <c r="AU2722" i="1"/>
  <c r="AV2722" i="1"/>
  <c r="AT2723" i="1"/>
  <c r="AU2723" i="1"/>
  <c r="AV2723" i="1"/>
  <c r="AT2724" i="1"/>
  <c r="AU2724" i="1"/>
  <c r="AV2724" i="1"/>
  <c r="AT2725" i="1"/>
  <c r="AU2725" i="1"/>
  <c r="AV2725" i="1"/>
  <c r="AT2726" i="1"/>
  <c r="AU2726" i="1"/>
  <c r="AV2726" i="1"/>
  <c r="AT2727" i="1"/>
  <c r="AU2727" i="1"/>
  <c r="AV2727" i="1"/>
  <c r="AT2728" i="1"/>
  <c r="AU2728" i="1"/>
  <c r="AV2728" i="1"/>
  <c r="AT2729" i="1"/>
  <c r="AU2729" i="1"/>
  <c r="AV2729" i="1"/>
  <c r="AT2730" i="1"/>
  <c r="AU2730" i="1"/>
  <c r="AV2730" i="1"/>
  <c r="AT2731" i="1"/>
  <c r="AU2731" i="1"/>
  <c r="AV2731" i="1"/>
  <c r="AT2732" i="1"/>
  <c r="AU2732" i="1"/>
  <c r="AV2732" i="1"/>
  <c r="AT2733" i="1"/>
  <c r="AU2733" i="1"/>
  <c r="AV2733" i="1"/>
  <c r="AT2734" i="1"/>
  <c r="AU2734" i="1"/>
  <c r="AV2734" i="1"/>
  <c r="AT2735" i="1"/>
  <c r="AU2735" i="1"/>
  <c r="AV2735" i="1"/>
  <c r="AT2736" i="1"/>
  <c r="AU2736" i="1"/>
  <c r="AV2736" i="1"/>
  <c r="AT2737" i="1"/>
  <c r="AU2737" i="1"/>
  <c r="AV2737" i="1"/>
  <c r="AT2738" i="1"/>
  <c r="AU2738" i="1"/>
  <c r="AV2738" i="1"/>
  <c r="AT2739" i="1"/>
  <c r="AU2739" i="1"/>
  <c r="AV2739" i="1"/>
  <c r="AT2740" i="1"/>
  <c r="AU2740" i="1"/>
  <c r="AV2740" i="1"/>
  <c r="AT2741" i="1"/>
  <c r="AU2741" i="1"/>
  <c r="AV2741" i="1"/>
  <c r="AT2742" i="1"/>
  <c r="AU2742" i="1"/>
  <c r="AV2742" i="1"/>
  <c r="AT2743" i="1"/>
  <c r="AU2743" i="1"/>
  <c r="AV2743" i="1"/>
  <c r="AT2744" i="1"/>
  <c r="AU2744" i="1"/>
  <c r="AV2744" i="1"/>
  <c r="AT2745" i="1"/>
  <c r="AU2745" i="1"/>
  <c r="AV2745" i="1"/>
  <c r="AT2746" i="1"/>
  <c r="AU2746" i="1"/>
  <c r="AV2746" i="1"/>
  <c r="AT2747" i="1"/>
  <c r="AU2747" i="1"/>
  <c r="AV2747" i="1"/>
  <c r="AT2748" i="1"/>
  <c r="AU2748" i="1"/>
  <c r="AV2748" i="1"/>
  <c r="AT2749" i="1"/>
  <c r="AU2749" i="1"/>
  <c r="AV2749" i="1"/>
  <c r="AT2750" i="1"/>
  <c r="AU2750" i="1"/>
  <c r="AV2750" i="1"/>
  <c r="AT2751" i="1"/>
  <c r="AU2751" i="1"/>
  <c r="AV2751" i="1"/>
  <c r="AT2752" i="1"/>
  <c r="AU2752" i="1"/>
  <c r="AV2752" i="1"/>
  <c r="AT2753" i="1"/>
  <c r="AU2753" i="1"/>
  <c r="AV2753" i="1"/>
  <c r="AT2754" i="1"/>
  <c r="AU2754" i="1"/>
  <c r="AV2754" i="1"/>
  <c r="AT2755" i="1"/>
  <c r="AU2755" i="1"/>
  <c r="AV2755" i="1"/>
  <c r="AT2756" i="1"/>
  <c r="AU2756" i="1"/>
  <c r="AV2756" i="1"/>
  <c r="AT2757" i="1"/>
  <c r="AU2757" i="1"/>
  <c r="AV2757" i="1"/>
  <c r="AT2758" i="1"/>
  <c r="AU2758" i="1"/>
  <c r="AV2758" i="1"/>
  <c r="AT2759" i="1"/>
  <c r="AU2759" i="1"/>
  <c r="AV2759" i="1"/>
  <c r="AT2760" i="1"/>
  <c r="AU2760" i="1"/>
  <c r="AV2760" i="1"/>
  <c r="AT2761" i="1"/>
  <c r="AU2761" i="1"/>
  <c r="AV2761" i="1"/>
  <c r="AT2762" i="1"/>
  <c r="AU2762" i="1"/>
  <c r="AV2762" i="1"/>
  <c r="AT2763" i="1"/>
  <c r="AU2763" i="1"/>
  <c r="AV2763" i="1"/>
  <c r="AT2764" i="1"/>
  <c r="AU2764" i="1"/>
  <c r="AV2764" i="1"/>
  <c r="AT2765" i="1"/>
  <c r="AU2765" i="1"/>
  <c r="AV2765" i="1"/>
  <c r="AT2766" i="1"/>
  <c r="AU2766" i="1"/>
  <c r="AV2766" i="1"/>
  <c r="AT2767" i="1"/>
  <c r="AU2767" i="1"/>
  <c r="AV2767" i="1"/>
  <c r="AT2768" i="1"/>
  <c r="AU2768" i="1"/>
  <c r="AV2768" i="1"/>
  <c r="AT2769" i="1"/>
  <c r="AU2769" i="1"/>
  <c r="AV2769" i="1"/>
  <c r="AT2770" i="1"/>
  <c r="AU2770" i="1"/>
  <c r="AV2770" i="1"/>
  <c r="AT2771" i="1"/>
  <c r="AU2771" i="1"/>
  <c r="AV2771" i="1"/>
  <c r="AT2772" i="1"/>
  <c r="AU2772" i="1"/>
  <c r="AV2772" i="1"/>
  <c r="AT2773" i="1"/>
  <c r="AU2773" i="1"/>
  <c r="AV2773" i="1"/>
  <c r="AT2774" i="1"/>
  <c r="AU2774" i="1"/>
  <c r="AV2774" i="1"/>
  <c r="AT2775" i="1"/>
  <c r="AU2775" i="1"/>
  <c r="AV2775" i="1"/>
  <c r="AT2776" i="1"/>
  <c r="AU2776" i="1"/>
  <c r="AV2776" i="1"/>
  <c r="AT2777" i="1"/>
  <c r="AU2777" i="1"/>
  <c r="AV2777" i="1"/>
  <c r="AT2778" i="1"/>
  <c r="AU2778" i="1"/>
  <c r="AV2778" i="1"/>
  <c r="AT2779" i="1"/>
  <c r="AU2779" i="1"/>
  <c r="AV2779" i="1"/>
  <c r="AT2780" i="1"/>
  <c r="AU2780" i="1"/>
  <c r="AV2780" i="1"/>
  <c r="AT2781" i="1"/>
  <c r="AU2781" i="1"/>
  <c r="AV2781" i="1"/>
  <c r="AT2782" i="1"/>
  <c r="AU2782" i="1"/>
  <c r="AV2782" i="1"/>
  <c r="AT2783" i="1"/>
  <c r="AU2783" i="1"/>
  <c r="AV2783" i="1"/>
  <c r="AT2784" i="1"/>
  <c r="AU2784" i="1"/>
  <c r="AV2784" i="1"/>
  <c r="AT2785" i="1"/>
  <c r="AU2785" i="1"/>
  <c r="AV2785" i="1"/>
  <c r="AT2786" i="1"/>
  <c r="AU2786" i="1"/>
  <c r="AV2786" i="1"/>
  <c r="AT2787" i="1"/>
  <c r="AU2787" i="1"/>
  <c r="AV2787" i="1"/>
  <c r="AT2788" i="1"/>
  <c r="AU2788" i="1"/>
  <c r="AV2788" i="1"/>
  <c r="AT2789" i="1"/>
  <c r="AU2789" i="1"/>
  <c r="AV2789" i="1"/>
  <c r="AT2790" i="1"/>
  <c r="AU2790" i="1"/>
  <c r="AV2790" i="1"/>
  <c r="AT2791" i="1"/>
  <c r="AU2791" i="1"/>
  <c r="AV2791" i="1"/>
  <c r="AT2792" i="1"/>
  <c r="AU2792" i="1"/>
  <c r="AV2792" i="1"/>
  <c r="AT2793" i="1"/>
  <c r="AU2793" i="1"/>
  <c r="AV2793" i="1"/>
  <c r="AT2794" i="1"/>
  <c r="AU2794" i="1"/>
  <c r="AV2794" i="1"/>
  <c r="AT2795" i="1"/>
  <c r="AU2795" i="1"/>
  <c r="AV2795" i="1"/>
  <c r="AT2796" i="1"/>
  <c r="AU2796" i="1"/>
  <c r="AV2796" i="1"/>
  <c r="AT2797" i="1"/>
  <c r="AU2797" i="1"/>
  <c r="AV2797" i="1"/>
  <c r="AT2798" i="1"/>
  <c r="AU2798" i="1"/>
  <c r="AV2798" i="1"/>
  <c r="AT2799" i="1"/>
  <c r="AU2799" i="1"/>
  <c r="AV2799" i="1"/>
  <c r="AT2800" i="1"/>
  <c r="AU2800" i="1"/>
  <c r="AV2800" i="1"/>
  <c r="AT2801" i="1"/>
  <c r="AU2801" i="1"/>
  <c r="AV2801" i="1"/>
  <c r="AT2802" i="1"/>
  <c r="AU2802" i="1"/>
  <c r="AV2802" i="1"/>
  <c r="AT2803" i="1"/>
  <c r="AU2803" i="1"/>
  <c r="AV2803" i="1"/>
  <c r="AT2804" i="1"/>
  <c r="AU2804" i="1"/>
  <c r="AV2804" i="1"/>
  <c r="AT2805" i="1"/>
  <c r="AU2805" i="1"/>
  <c r="AV2805" i="1"/>
  <c r="AT2806" i="1"/>
  <c r="AU2806" i="1"/>
  <c r="AV2806" i="1"/>
  <c r="AT2807" i="1"/>
  <c r="AU2807" i="1"/>
  <c r="AV2807" i="1"/>
  <c r="AT2808" i="1"/>
  <c r="AU2808" i="1"/>
  <c r="AV2808" i="1"/>
  <c r="AT2809" i="1"/>
  <c r="AU2809" i="1"/>
  <c r="AV2809" i="1"/>
  <c r="AT2810" i="1"/>
  <c r="AU2810" i="1"/>
  <c r="AV2810" i="1"/>
  <c r="AT2811" i="1"/>
  <c r="AU2811" i="1"/>
  <c r="AV2811" i="1"/>
  <c r="AT2812" i="1"/>
  <c r="AU2812" i="1"/>
  <c r="AV2812" i="1"/>
  <c r="AT2813" i="1"/>
  <c r="AU2813" i="1"/>
  <c r="AV2813" i="1"/>
  <c r="AT2814" i="1"/>
  <c r="AU2814" i="1"/>
  <c r="AV2814" i="1"/>
  <c r="AT2815" i="1"/>
  <c r="AU2815" i="1"/>
  <c r="AV2815" i="1"/>
  <c r="AT2816" i="1"/>
  <c r="AU2816" i="1"/>
  <c r="AV2816" i="1"/>
  <c r="AT2817" i="1"/>
  <c r="AU2817" i="1"/>
  <c r="AV2817" i="1"/>
  <c r="AT2818" i="1"/>
  <c r="AU2818" i="1"/>
  <c r="AV2818" i="1"/>
  <c r="AT2819" i="1"/>
  <c r="AU2819" i="1"/>
  <c r="AV2819" i="1"/>
  <c r="AT2820" i="1"/>
  <c r="AU2820" i="1"/>
  <c r="AV2820" i="1"/>
  <c r="AT2821" i="1"/>
  <c r="AU2821" i="1"/>
  <c r="AV2821" i="1"/>
  <c r="AT2822" i="1"/>
  <c r="AU2822" i="1"/>
  <c r="AV2822" i="1"/>
  <c r="AT2823" i="1"/>
  <c r="AU2823" i="1"/>
  <c r="AV2823" i="1"/>
  <c r="AT2824" i="1"/>
  <c r="AU2824" i="1"/>
  <c r="AV2824" i="1"/>
  <c r="AT2825" i="1"/>
  <c r="AU2825" i="1"/>
  <c r="AV2825" i="1"/>
  <c r="AT2826" i="1"/>
  <c r="AU2826" i="1"/>
  <c r="AV2826" i="1"/>
  <c r="AT2827" i="1"/>
  <c r="AU2827" i="1"/>
  <c r="AV2827" i="1"/>
  <c r="AT2828" i="1"/>
  <c r="AU2828" i="1"/>
  <c r="AV2828" i="1"/>
  <c r="AT2829" i="1"/>
  <c r="AU2829" i="1"/>
  <c r="AV2829" i="1"/>
  <c r="AT2830" i="1"/>
  <c r="AU2830" i="1"/>
  <c r="AV2830" i="1"/>
  <c r="AT2831" i="1"/>
  <c r="AU2831" i="1"/>
  <c r="AV2831" i="1"/>
  <c r="AT2832" i="1"/>
  <c r="AU2832" i="1"/>
  <c r="AV2832" i="1"/>
  <c r="AT2833" i="1"/>
  <c r="AU2833" i="1"/>
  <c r="AV2833" i="1"/>
  <c r="AT2834" i="1"/>
  <c r="AU2834" i="1"/>
  <c r="AV2834" i="1"/>
  <c r="AT2835" i="1"/>
  <c r="AU2835" i="1"/>
  <c r="AV2835" i="1"/>
  <c r="AT2836" i="1"/>
  <c r="AU2836" i="1"/>
  <c r="AV2836" i="1"/>
  <c r="AT2837" i="1"/>
  <c r="AU2837" i="1"/>
  <c r="AV2837" i="1"/>
  <c r="AT2838" i="1"/>
  <c r="AU2838" i="1"/>
  <c r="AV2838" i="1"/>
  <c r="AT2839" i="1"/>
  <c r="AU2839" i="1"/>
  <c r="AV2839" i="1"/>
  <c r="AT2840" i="1"/>
  <c r="AU2840" i="1"/>
  <c r="AV2840" i="1"/>
  <c r="AT2841" i="1"/>
  <c r="AU2841" i="1"/>
  <c r="AV2841" i="1"/>
  <c r="AT2842" i="1"/>
  <c r="AU2842" i="1"/>
  <c r="AV2842" i="1"/>
  <c r="AT2843" i="1"/>
  <c r="AU2843" i="1"/>
  <c r="AV2843" i="1"/>
  <c r="AT2844" i="1"/>
  <c r="AU2844" i="1"/>
  <c r="AV2844" i="1"/>
  <c r="AT2845" i="1"/>
  <c r="AU2845" i="1"/>
  <c r="AV2845" i="1"/>
  <c r="AT2846" i="1"/>
  <c r="AU2846" i="1"/>
  <c r="AV2846" i="1"/>
  <c r="AT2847" i="1"/>
  <c r="AU2847" i="1"/>
  <c r="AV2847" i="1"/>
  <c r="AT2848" i="1"/>
  <c r="AU2848" i="1"/>
  <c r="AV2848" i="1"/>
  <c r="AT2849" i="1"/>
  <c r="AU2849" i="1"/>
  <c r="AV2849" i="1"/>
  <c r="AT2850" i="1"/>
  <c r="AU2850" i="1"/>
  <c r="AV2850" i="1"/>
  <c r="AT2851" i="1"/>
  <c r="AU2851" i="1"/>
  <c r="AV2851" i="1"/>
  <c r="AT2852" i="1"/>
  <c r="AU2852" i="1"/>
  <c r="AV2852" i="1"/>
  <c r="AT2853" i="1"/>
  <c r="AU2853" i="1"/>
  <c r="AV2853" i="1"/>
  <c r="AT2854" i="1"/>
  <c r="AU2854" i="1"/>
  <c r="AV2854" i="1"/>
  <c r="AT2855" i="1"/>
  <c r="AU2855" i="1"/>
  <c r="AV2855" i="1"/>
  <c r="AT2856" i="1"/>
  <c r="AU2856" i="1"/>
  <c r="AV2856" i="1"/>
  <c r="AT2857" i="1"/>
  <c r="AU2857" i="1"/>
  <c r="AV2857" i="1"/>
  <c r="AT2858" i="1"/>
  <c r="AU2858" i="1"/>
  <c r="AV2858" i="1"/>
  <c r="AT2859" i="1"/>
  <c r="AU2859" i="1"/>
  <c r="AV2859" i="1"/>
  <c r="AT2860" i="1"/>
  <c r="AU2860" i="1"/>
  <c r="AV2860" i="1"/>
  <c r="AT2861" i="1"/>
  <c r="AU2861" i="1"/>
  <c r="AV2861" i="1"/>
  <c r="AT2862" i="1"/>
  <c r="AU2862" i="1"/>
  <c r="AV2862" i="1"/>
  <c r="AT2863" i="1"/>
  <c r="AU2863" i="1"/>
  <c r="AV2863" i="1"/>
  <c r="AT2864" i="1"/>
  <c r="AU2864" i="1"/>
  <c r="AV2864" i="1"/>
  <c r="AT2865" i="1"/>
  <c r="AU2865" i="1"/>
  <c r="AV2865" i="1"/>
  <c r="AT2866" i="1"/>
  <c r="AU2866" i="1"/>
  <c r="AV2866" i="1"/>
  <c r="AT2867" i="1"/>
  <c r="AU2867" i="1"/>
  <c r="AV2867" i="1"/>
  <c r="AT2868" i="1"/>
  <c r="AU2868" i="1"/>
  <c r="AV2868" i="1"/>
  <c r="AT2869" i="1"/>
  <c r="AU2869" i="1"/>
  <c r="AV2869" i="1"/>
  <c r="AT2870" i="1"/>
  <c r="AU2870" i="1"/>
  <c r="AV2870" i="1"/>
  <c r="AT2871" i="1"/>
  <c r="AU2871" i="1"/>
  <c r="AV2871" i="1"/>
  <c r="AT2872" i="1"/>
  <c r="AU2872" i="1"/>
  <c r="AV2872" i="1"/>
  <c r="AT2873" i="1"/>
  <c r="AU2873" i="1"/>
  <c r="AV2873" i="1"/>
  <c r="AT2874" i="1"/>
  <c r="AU2874" i="1"/>
  <c r="AV2874" i="1"/>
  <c r="AT2875" i="1"/>
  <c r="AU2875" i="1"/>
  <c r="AV2875" i="1"/>
  <c r="AT2876" i="1"/>
  <c r="AU2876" i="1"/>
  <c r="AV2876" i="1"/>
  <c r="AT2877" i="1"/>
  <c r="AU2877" i="1"/>
  <c r="AV2877" i="1"/>
  <c r="AT2878" i="1"/>
  <c r="AU2878" i="1"/>
  <c r="AV2878" i="1"/>
  <c r="AT2879" i="1"/>
  <c r="AU2879" i="1"/>
  <c r="AV2879" i="1"/>
  <c r="AT2880" i="1"/>
  <c r="AU2880" i="1"/>
  <c r="AV2880" i="1"/>
  <c r="AT2881" i="1"/>
  <c r="AU2881" i="1"/>
  <c r="AV2881" i="1"/>
  <c r="AT2882" i="1"/>
  <c r="AU2882" i="1"/>
  <c r="AV2882" i="1"/>
  <c r="AT2883" i="1"/>
  <c r="AU2883" i="1"/>
  <c r="AV2883" i="1"/>
  <c r="AT2884" i="1"/>
  <c r="AU2884" i="1"/>
  <c r="AV2884" i="1"/>
  <c r="AT2885" i="1"/>
  <c r="AU2885" i="1"/>
  <c r="AV2885" i="1"/>
  <c r="AT2886" i="1"/>
  <c r="AU2886" i="1"/>
  <c r="AV2886" i="1"/>
  <c r="AT2887" i="1"/>
  <c r="AU2887" i="1"/>
  <c r="AV2887" i="1"/>
  <c r="AT2888" i="1"/>
  <c r="AU2888" i="1"/>
  <c r="AV2888" i="1"/>
  <c r="AT2889" i="1"/>
  <c r="AU2889" i="1"/>
  <c r="AV2889" i="1"/>
  <c r="AT2890" i="1"/>
  <c r="AU2890" i="1"/>
  <c r="AV2890" i="1"/>
  <c r="AT2891" i="1"/>
  <c r="AU2891" i="1"/>
  <c r="AV2891" i="1"/>
  <c r="AT2892" i="1"/>
  <c r="AU2892" i="1"/>
  <c r="AV2892" i="1"/>
  <c r="AT2893" i="1"/>
  <c r="AU2893" i="1"/>
  <c r="AV2893" i="1"/>
  <c r="AT2894" i="1"/>
  <c r="AU2894" i="1"/>
  <c r="AV2894" i="1"/>
  <c r="AT2895" i="1"/>
  <c r="AU2895" i="1"/>
  <c r="AV2895" i="1"/>
  <c r="AT2896" i="1"/>
  <c r="AU2896" i="1"/>
  <c r="AV2896" i="1"/>
  <c r="AT2897" i="1"/>
  <c r="AU2897" i="1"/>
  <c r="AV2897" i="1"/>
  <c r="AT2898" i="1"/>
  <c r="AU2898" i="1"/>
  <c r="AV2898" i="1"/>
  <c r="AT2899" i="1"/>
  <c r="AU2899" i="1"/>
  <c r="AV2899" i="1"/>
  <c r="AT2900" i="1"/>
  <c r="AU2900" i="1"/>
  <c r="AV2900" i="1"/>
  <c r="AT2901" i="1"/>
  <c r="AU2901" i="1"/>
  <c r="AV2901" i="1"/>
  <c r="AT2902" i="1"/>
  <c r="AU2902" i="1"/>
  <c r="AV2902" i="1"/>
  <c r="AT2903" i="1"/>
  <c r="AU2903" i="1"/>
  <c r="AV2903" i="1"/>
  <c r="AT2904" i="1"/>
  <c r="AU2904" i="1"/>
  <c r="AV2904" i="1"/>
  <c r="AT2905" i="1"/>
  <c r="AU2905" i="1"/>
  <c r="AV2905" i="1"/>
  <c r="AT2906" i="1"/>
  <c r="AU2906" i="1"/>
  <c r="AV2906" i="1"/>
  <c r="AT2907" i="1"/>
  <c r="AU2907" i="1"/>
  <c r="AV2907" i="1"/>
  <c r="AT2908" i="1"/>
  <c r="AU2908" i="1"/>
  <c r="AV2908" i="1"/>
  <c r="AT2909" i="1"/>
  <c r="AU2909" i="1"/>
  <c r="AV2909" i="1"/>
  <c r="AT2910" i="1"/>
  <c r="AU2910" i="1"/>
  <c r="AV2910" i="1"/>
  <c r="AT2911" i="1"/>
  <c r="AU2911" i="1"/>
  <c r="AV2911" i="1"/>
  <c r="AT2912" i="1"/>
  <c r="AU2912" i="1"/>
  <c r="AV2912" i="1"/>
  <c r="AT2913" i="1"/>
  <c r="AU2913" i="1"/>
  <c r="AV2913" i="1"/>
  <c r="AT2914" i="1"/>
  <c r="AU2914" i="1"/>
  <c r="AV2914" i="1"/>
  <c r="AT2915" i="1"/>
  <c r="AU2915" i="1"/>
  <c r="AV2915" i="1"/>
  <c r="AT2916" i="1"/>
  <c r="AU2916" i="1"/>
  <c r="AV2916" i="1"/>
  <c r="AT2917" i="1"/>
  <c r="AU2917" i="1"/>
  <c r="AV2917" i="1"/>
  <c r="AT2918" i="1"/>
  <c r="AU2918" i="1"/>
  <c r="AV2918" i="1"/>
  <c r="AT2919" i="1"/>
  <c r="AU2919" i="1"/>
  <c r="AV2919" i="1"/>
  <c r="AT2920" i="1"/>
  <c r="AU2920" i="1"/>
  <c r="AV2920" i="1"/>
  <c r="AT2921" i="1"/>
  <c r="AU2921" i="1"/>
  <c r="AV2921" i="1"/>
  <c r="AT2922" i="1"/>
  <c r="AU2922" i="1"/>
  <c r="AV2922" i="1"/>
  <c r="AT2923" i="1"/>
  <c r="AU2923" i="1"/>
  <c r="AV2923" i="1"/>
  <c r="AT2924" i="1"/>
  <c r="AU2924" i="1"/>
  <c r="AV2924" i="1"/>
  <c r="AT2925" i="1"/>
  <c r="AU2925" i="1"/>
  <c r="AV2925" i="1"/>
  <c r="AT2926" i="1"/>
  <c r="AU2926" i="1"/>
  <c r="AV2926" i="1"/>
  <c r="AT2927" i="1"/>
  <c r="AU2927" i="1"/>
  <c r="AV2927" i="1"/>
  <c r="AT2928" i="1"/>
  <c r="AU2928" i="1"/>
  <c r="AV2928" i="1"/>
  <c r="AT2929" i="1"/>
  <c r="AU2929" i="1"/>
  <c r="AV2929" i="1"/>
  <c r="AT2930" i="1"/>
  <c r="AU2930" i="1"/>
  <c r="AV2930" i="1"/>
  <c r="AT2931" i="1"/>
  <c r="AU2931" i="1"/>
  <c r="AV2931" i="1"/>
  <c r="AT2932" i="1"/>
  <c r="AU2932" i="1"/>
  <c r="AV2932" i="1"/>
  <c r="AT2933" i="1"/>
  <c r="AU2933" i="1"/>
  <c r="AV2933" i="1"/>
  <c r="AT2934" i="1"/>
  <c r="AU2934" i="1"/>
  <c r="AV2934" i="1"/>
  <c r="AT2935" i="1"/>
  <c r="AU2935" i="1"/>
  <c r="AV2935" i="1"/>
  <c r="AT2936" i="1"/>
  <c r="AU2936" i="1"/>
  <c r="AV2936" i="1"/>
  <c r="AT2937" i="1"/>
  <c r="AU2937" i="1"/>
  <c r="AV2937" i="1"/>
  <c r="AT2938" i="1"/>
  <c r="AU2938" i="1"/>
  <c r="AV2938" i="1"/>
  <c r="AT2939" i="1"/>
  <c r="AU2939" i="1"/>
  <c r="AV2939" i="1"/>
  <c r="AT2940" i="1"/>
  <c r="AU2940" i="1"/>
  <c r="AV2940" i="1"/>
  <c r="AT2941" i="1"/>
  <c r="AU2941" i="1"/>
  <c r="AV2941" i="1"/>
  <c r="AT2942" i="1"/>
  <c r="AU2942" i="1"/>
  <c r="AV2942" i="1"/>
  <c r="AT2943" i="1"/>
  <c r="AU2943" i="1"/>
  <c r="AV2943" i="1"/>
  <c r="AT2944" i="1"/>
  <c r="AU2944" i="1"/>
  <c r="AV2944" i="1"/>
  <c r="AT2945" i="1"/>
  <c r="AU2945" i="1"/>
  <c r="AV2945" i="1"/>
  <c r="AT2946" i="1"/>
  <c r="AU2946" i="1"/>
  <c r="AV2946" i="1"/>
  <c r="AT2947" i="1"/>
  <c r="AU2947" i="1"/>
  <c r="AV2947" i="1"/>
  <c r="AT2948" i="1"/>
  <c r="AU2948" i="1"/>
  <c r="AV2948" i="1"/>
  <c r="AT2949" i="1"/>
  <c r="AU2949" i="1"/>
  <c r="AV2949" i="1"/>
  <c r="AT2950" i="1"/>
  <c r="AU2950" i="1"/>
  <c r="AV2950" i="1"/>
  <c r="AT2951" i="1"/>
  <c r="AU2951" i="1"/>
  <c r="AV2951" i="1"/>
  <c r="AT2952" i="1"/>
  <c r="AU2952" i="1"/>
  <c r="AV2952" i="1"/>
  <c r="AT2953" i="1"/>
  <c r="AU2953" i="1"/>
  <c r="AV2953" i="1"/>
  <c r="AT2954" i="1"/>
  <c r="AU2954" i="1"/>
  <c r="AV2954" i="1"/>
  <c r="AT2955" i="1"/>
  <c r="AU2955" i="1"/>
  <c r="AV2955" i="1"/>
  <c r="AT2956" i="1"/>
  <c r="AU2956" i="1"/>
  <c r="AV2956" i="1"/>
  <c r="AT2957" i="1"/>
  <c r="AU2957" i="1"/>
  <c r="AV2957" i="1"/>
  <c r="AT2958" i="1"/>
  <c r="AU2958" i="1"/>
  <c r="AV2958" i="1"/>
  <c r="AT2959" i="1"/>
  <c r="AU2959" i="1"/>
  <c r="AV2959" i="1"/>
  <c r="AT2960" i="1"/>
  <c r="AU2960" i="1"/>
  <c r="AV2960" i="1"/>
  <c r="AT2961" i="1"/>
  <c r="AU2961" i="1"/>
  <c r="AV2961" i="1"/>
  <c r="AT2962" i="1"/>
  <c r="AU2962" i="1"/>
  <c r="AV2962" i="1"/>
  <c r="AT2963" i="1"/>
  <c r="AU2963" i="1"/>
  <c r="AV2963" i="1"/>
  <c r="AT2964" i="1"/>
  <c r="AU2964" i="1"/>
  <c r="AV2964" i="1"/>
  <c r="AT2965" i="1"/>
  <c r="AU2965" i="1"/>
  <c r="AV2965" i="1"/>
  <c r="AT2966" i="1"/>
  <c r="AU2966" i="1"/>
  <c r="AV2966" i="1"/>
  <c r="AT2967" i="1"/>
  <c r="AU2967" i="1"/>
  <c r="AV2967" i="1"/>
  <c r="AT2968" i="1"/>
  <c r="AU2968" i="1"/>
  <c r="AV2968" i="1"/>
  <c r="AT2969" i="1"/>
  <c r="AU2969" i="1"/>
  <c r="AV2969" i="1"/>
  <c r="AT2970" i="1"/>
  <c r="AU2970" i="1"/>
  <c r="AV2970" i="1"/>
  <c r="AT2971" i="1"/>
  <c r="AU2971" i="1"/>
  <c r="AV2971" i="1"/>
  <c r="AT2972" i="1"/>
  <c r="AU2972" i="1"/>
  <c r="AV2972" i="1"/>
  <c r="AT2973" i="1"/>
  <c r="AU2973" i="1"/>
  <c r="AV2973" i="1"/>
  <c r="AT2974" i="1"/>
  <c r="AU2974" i="1"/>
  <c r="AV2974" i="1"/>
  <c r="AT2975" i="1"/>
  <c r="AU2975" i="1"/>
  <c r="AV2975" i="1"/>
  <c r="AT2976" i="1"/>
  <c r="AU2976" i="1"/>
  <c r="AV2976" i="1"/>
  <c r="AT2977" i="1"/>
  <c r="AU2977" i="1"/>
  <c r="AV2977" i="1"/>
  <c r="AT2978" i="1"/>
  <c r="AU2978" i="1"/>
  <c r="AV2978" i="1"/>
  <c r="AT2979" i="1"/>
  <c r="AU2979" i="1"/>
  <c r="AV2979" i="1"/>
  <c r="AT2980" i="1"/>
  <c r="AU2980" i="1"/>
  <c r="AV2980" i="1"/>
  <c r="AT2981" i="1"/>
  <c r="AU2981" i="1"/>
  <c r="AV2981" i="1"/>
  <c r="AT2982" i="1"/>
  <c r="AU2982" i="1"/>
  <c r="AV2982" i="1"/>
  <c r="AT2983" i="1"/>
  <c r="AU2983" i="1"/>
  <c r="AV2983" i="1"/>
  <c r="AT2984" i="1"/>
  <c r="AU2984" i="1"/>
  <c r="AV2984" i="1"/>
  <c r="AT2985" i="1"/>
  <c r="AU2985" i="1"/>
  <c r="AV2985" i="1"/>
  <c r="AT2986" i="1"/>
  <c r="AU2986" i="1"/>
  <c r="AV2986" i="1"/>
  <c r="AT2987" i="1"/>
  <c r="AU2987" i="1"/>
  <c r="AV2987" i="1"/>
  <c r="AT2988" i="1"/>
  <c r="AU2988" i="1"/>
  <c r="AV2988" i="1"/>
  <c r="AT2989" i="1"/>
  <c r="AU2989" i="1"/>
  <c r="AV2989" i="1"/>
  <c r="AT2990" i="1"/>
  <c r="AU2990" i="1"/>
  <c r="AV2990" i="1"/>
  <c r="AT2991" i="1"/>
  <c r="AU2991" i="1"/>
  <c r="AV2991" i="1"/>
  <c r="AT2992" i="1"/>
  <c r="AU2992" i="1"/>
  <c r="AV2992" i="1"/>
  <c r="AT2993" i="1"/>
  <c r="AU2993" i="1"/>
  <c r="AV2993" i="1"/>
  <c r="AT2994" i="1"/>
  <c r="AU2994" i="1"/>
  <c r="AV2994" i="1"/>
  <c r="AT2995" i="1"/>
  <c r="AU2995" i="1"/>
  <c r="AV2995" i="1"/>
  <c r="AT2996" i="1"/>
  <c r="AU2996" i="1"/>
  <c r="AV2996" i="1"/>
  <c r="AT2997" i="1"/>
  <c r="AU2997" i="1"/>
  <c r="AV2997" i="1"/>
  <c r="AT2998" i="1"/>
  <c r="AU2998" i="1"/>
  <c r="AV2998" i="1"/>
  <c r="AT2999" i="1"/>
  <c r="AU2999" i="1"/>
  <c r="AV2999" i="1"/>
  <c r="AT3000" i="1"/>
  <c r="AU3000" i="1"/>
  <c r="AV3000" i="1"/>
  <c r="AT3001" i="1"/>
  <c r="AU3001" i="1"/>
  <c r="AV3001" i="1"/>
  <c r="AT3002" i="1"/>
  <c r="AU3002" i="1"/>
  <c r="AV3002" i="1"/>
  <c r="AT3003" i="1"/>
  <c r="AU3003" i="1"/>
  <c r="AV3003" i="1"/>
  <c r="AT3004" i="1"/>
  <c r="AU3004" i="1"/>
  <c r="AV3004" i="1"/>
  <c r="AT3005" i="1"/>
  <c r="AU3005" i="1"/>
  <c r="AV3005" i="1"/>
  <c r="AT3006" i="1"/>
  <c r="AU3006" i="1"/>
  <c r="AV3006" i="1"/>
  <c r="AT3007" i="1"/>
  <c r="AU3007" i="1"/>
  <c r="AV3007" i="1"/>
  <c r="AT3008" i="1"/>
  <c r="AU3008" i="1"/>
  <c r="AV3008" i="1"/>
  <c r="AT3009" i="1"/>
  <c r="AU3009" i="1"/>
  <c r="AV3009" i="1"/>
  <c r="AT3010" i="1"/>
  <c r="AU3010" i="1"/>
  <c r="AV3010" i="1"/>
  <c r="AT3011" i="1"/>
  <c r="AU3011" i="1"/>
  <c r="AV3011" i="1"/>
  <c r="AT3012" i="1"/>
  <c r="AU3012" i="1"/>
  <c r="AV3012" i="1"/>
  <c r="AT3013" i="1"/>
  <c r="AU3013" i="1"/>
  <c r="AV3013" i="1"/>
  <c r="AT3014" i="1"/>
  <c r="AU3014" i="1"/>
  <c r="AV3014" i="1"/>
  <c r="AT3015" i="1"/>
  <c r="AU3015" i="1"/>
  <c r="AV3015" i="1"/>
  <c r="AT3016" i="1"/>
  <c r="AU3016" i="1"/>
  <c r="AV3016" i="1"/>
  <c r="AT3017" i="1"/>
  <c r="AU3017" i="1"/>
  <c r="AV3017" i="1"/>
  <c r="AT3018" i="1"/>
  <c r="AU3018" i="1"/>
  <c r="AV3018" i="1"/>
  <c r="AT3019" i="1"/>
  <c r="AU3019" i="1"/>
  <c r="AV3019" i="1"/>
  <c r="AT3020" i="1"/>
  <c r="AU3020" i="1"/>
  <c r="AV3020" i="1"/>
  <c r="AT3021" i="1"/>
  <c r="AU3021" i="1"/>
  <c r="AV3021" i="1"/>
  <c r="AT3022" i="1"/>
  <c r="AU3022" i="1"/>
  <c r="AV3022" i="1"/>
  <c r="AT3023" i="1"/>
  <c r="AU3023" i="1"/>
  <c r="AV3023" i="1"/>
  <c r="AT3024" i="1"/>
  <c r="AU3024" i="1"/>
  <c r="AV3024" i="1"/>
  <c r="AT3025" i="1"/>
  <c r="AU3025" i="1"/>
  <c r="AV3025" i="1"/>
  <c r="AT3026" i="1"/>
  <c r="AU3026" i="1"/>
  <c r="AV3026" i="1"/>
  <c r="AT3027" i="1"/>
  <c r="AU3027" i="1"/>
  <c r="AV3027" i="1"/>
  <c r="AT3028" i="1"/>
  <c r="AU3028" i="1"/>
  <c r="AV3028" i="1"/>
  <c r="AT3029" i="1"/>
  <c r="AU3029" i="1"/>
  <c r="AV3029" i="1"/>
  <c r="AT3030" i="1"/>
  <c r="AU3030" i="1"/>
  <c r="AV3030" i="1"/>
  <c r="AT3031" i="1"/>
  <c r="AU3031" i="1"/>
  <c r="AV3031" i="1"/>
  <c r="AT3032" i="1"/>
  <c r="AU3032" i="1"/>
  <c r="AV3032" i="1"/>
  <c r="AT3033" i="1"/>
  <c r="AU3033" i="1"/>
  <c r="AV3033" i="1"/>
  <c r="AT3034" i="1"/>
  <c r="AU3034" i="1"/>
  <c r="AV3034" i="1"/>
  <c r="AT3035" i="1"/>
  <c r="AU3035" i="1"/>
  <c r="AV3035" i="1"/>
  <c r="AT3036" i="1"/>
  <c r="AU3036" i="1"/>
  <c r="AV3036" i="1"/>
  <c r="AT3037" i="1"/>
  <c r="AU3037" i="1"/>
  <c r="AV3037" i="1"/>
  <c r="AT3038" i="1"/>
  <c r="AU3038" i="1"/>
  <c r="AV3038" i="1"/>
  <c r="AT3039" i="1"/>
  <c r="AU3039" i="1"/>
  <c r="AV3039" i="1"/>
  <c r="AT3040" i="1"/>
  <c r="AU3040" i="1"/>
  <c r="AV3040" i="1"/>
  <c r="AT3041" i="1"/>
  <c r="AU3041" i="1"/>
  <c r="AV3041" i="1"/>
  <c r="AT3042" i="1"/>
  <c r="AU3042" i="1"/>
  <c r="AV3042" i="1"/>
  <c r="AT3043" i="1"/>
  <c r="AU3043" i="1"/>
  <c r="AV3043" i="1"/>
  <c r="AT3044" i="1"/>
  <c r="AU3044" i="1"/>
  <c r="AV3044" i="1"/>
  <c r="AT3045" i="1"/>
  <c r="AU3045" i="1"/>
  <c r="AV3045" i="1"/>
  <c r="AT3046" i="1"/>
  <c r="AU3046" i="1"/>
  <c r="AV3046" i="1"/>
  <c r="AT3047" i="1"/>
  <c r="AU3047" i="1"/>
  <c r="AV3047" i="1"/>
  <c r="AT3048" i="1"/>
  <c r="AU3048" i="1"/>
  <c r="AV3048" i="1"/>
  <c r="AT3049" i="1"/>
  <c r="AU3049" i="1"/>
  <c r="AV3049" i="1"/>
  <c r="AT3050" i="1"/>
  <c r="AU3050" i="1"/>
  <c r="AV3050" i="1"/>
  <c r="AT3051" i="1"/>
  <c r="AU3051" i="1"/>
  <c r="AV3051" i="1"/>
  <c r="AT3052" i="1"/>
  <c r="AU3052" i="1"/>
  <c r="AV3052" i="1"/>
  <c r="AT3053" i="1"/>
  <c r="AU3053" i="1"/>
  <c r="AV3053" i="1"/>
  <c r="AT3054" i="1"/>
  <c r="AU3054" i="1"/>
  <c r="AV3054" i="1"/>
  <c r="AT3055" i="1"/>
  <c r="AU3055" i="1"/>
  <c r="AV3055" i="1"/>
  <c r="AT3056" i="1"/>
  <c r="AU3056" i="1"/>
  <c r="AV3056" i="1"/>
  <c r="AT3057" i="1"/>
  <c r="AU3057" i="1"/>
  <c r="AV3057" i="1"/>
  <c r="AT3058" i="1"/>
  <c r="AU3058" i="1"/>
  <c r="AV3058" i="1"/>
  <c r="AT3059" i="1"/>
  <c r="AU3059" i="1"/>
  <c r="AV3059" i="1"/>
  <c r="AT3060" i="1"/>
  <c r="AU3060" i="1"/>
  <c r="AV3060" i="1"/>
  <c r="AT3061" i="1"/>
  <c r="AU3061" i="1"/>
  <c r="AV3061" i="1"/>
  <c r="AT3062" i="1"/>
  <c r="AU3062" i="1"/>
  <c r="AV3062" i="1"/>
  <c r="AT3063" i="1"/>
  <c r="AU3063" i="1"/>
  <c r="AV3063" i="1"/>
  <c r="AT3064" i="1"/>
  <c r="AU3064" i="1"/>
  <c r="AV3064" i="1"/>
  <c r="AT3065" i="1"/>
  <c r="AU3065" i="1"/>
  <c r="AV3065" i="1"/>
  <c r="AT3066" i="1"/>
  <c r="AU3066" i="1"/>
  <c r="AV3066" i="1"/>
  <c r="AT3067" i="1"/>
  <c r="AU3067" i="1"/>
  <c r="AV3067" i="1"/>
  <c r="AT3068" i="1"/>
  <c r="AU3068" i="1"/>
  <c r="AV3068" i="1"/>
  <c r="AT3069" i="1"/>
  <c r="AU3069" i="1"/>
  <c r="AV3069" i="1"/>
  <c r="AT3070" i="1"/>
  <c r="AU3070" i="1"/>
  <c r="AV3070" i="1"/>
  <c r="AT3071" i="1"/>
  <c r="AU3071" i="1"/>
  <c r="AV3071" i="1"/>
  <c r="AT3072" i="1"/>
  <c r="AU3072" i="1"/>
  <c r="AV3072" i="1"/>
  <c r="AT3073" i="1"/>
  <c r="AU3073" i="1"/>
  <c r="AV3073" i="1"/>
  <c r="AT3074" i="1"/>
  <c r="AU3074" i="1"/>
  <c r="AV3074" i="1"/>
  <c r="AT3075" i="1"/>
  <c r="AU3075" i="1"/>
  <c r="AV3075" i="1"/>
  <c r="AT3076" i="1"/>
  <c r="AU3076" i="1"/>
  <c r="AV3076" i="1"/>
  <c r="AT3077" i="1"/>
  <c r="AU3077" i="1"/>
  <c r="AV3077" i="1"/>
  <c r="AT3078" i="1"/>
  <c r="AU3078" i="1"/>
  <c r="AV3078" i="1"/>
  <c r="AT3079" i="1"/>
  <c r="AU3079" i="1"/>
  <c r="AV3079" i="1"/>
  <c r="AT3080" i="1"/>
  <c r="AU3080" i="1"/>
  <c r="AV3080" i="1"/>
  <c r="AT3081" i="1"/>
  <c r="AU3081" i="1"/>
  <c r="AV3081" i="1"/>
  <c r="AT3082" i="1"/>
  <c r="AU3082" i="1"/>
  <c r="AV3082" i="1"/>
  <c r="AT3083" i="1"/>
  <c r="AU3083" i="1"/>
  <c r="AV3083" i="1"/>
  <c r="AT3084" i="1"/>
  <c r="AU3084" i="1"/>
  <c r="AV3084" i="1"/>
  <c r="AT3085" i="1"/>
  <c r="AU3085" i="1"/>
  <c r="AV3085" i="1"/>
  <c r="AT3086" i="1"/>
  <c r="AU3086" i="1"/>
  <c r="AV3086" i="1"/>
  <c r="AT3087" i="1"/>
  <c r="AU3087" i="1"/>
  <c r="AV3087" i="1"/>
  <c r="AT3088" i="1"/>
  <c r="AU3088" i="1"/>
  <c r="AV3088" i="1"/>
  <c r="AT3089" i="1"/>
  <c r="AU3089" i="1"/>
  <c r="AV3089" i="1"/>
  <c r="AT3090" i="1"/>
  <c r="AU3090" i="1"/>
  <c r="AV3090" i="1"/>
  <c r="AT3091" i="1"/>
  <c r="AU3091" i="1"/>
  <c r="AV3091" i="1"/>
  <c r="AT3092" i="1"/>
  <c r="AU3092" i="1"/>
  <c r="AV3092" i="1"/>
  <c r="AT3093" i="1"/>
  <c r="AU3093" i="1"/>
  <c r="AV3093" i="1"/>
  <c r="AT3094" i="1"/>
  <c r="AU3094" i="1"/>
  <c r="AV3094" i="1"/>
  <c r="AT3095" i="1"/>
  <c r="AU3095" i="1"/>
  <c r="AV3095" i="1"/>
  <c r="AT3096" i="1"/>
  <c r="AU3096" i="1"/>
  <c r="AV3096" i="1"/>
  <c r="AT3097" i="1"/>
  <c r="AU3097" i="1"/>
  <c r="AV3097" i="1"/>
  <c r="AT3098" i="1"/>
  <c r="AU3098" i="1"/>
  <c r="AV3098" i="1"/>
  <c r="AT3099" i="1"/>
  <c r="AU3099" i="1"/>
  <c r="AV3099" i="1"/>
  <c r="AT3100" i="1"/>
  <c r="AU3100" i="1"/>
  <c r="AV3100" i="1"/>
  <c r="AT3101" i="1"/>
  <c r="AU3101" i="1"/>
  <c r="AV3101" i="1"/>
  <c r="AT3102" i="1"/>
  <c r="AU3102" i="1"/>
  <c r="AV3102" i="1"/>
  <c r="AT3103" i="1"/>
  <c r="AU3103" i="1"/>
  <c r="AV3103" i="1"/>
  <c r="AT3104" i="1"/>
  <c r="AU3104" i="1"/>
  <c r="AV3104" i="1"/>
  <c r="AT3105" i="1"/>
  <c r="AU3105" i="1"/>
  <c r="AV3105" i="1"/>
  <c r="AT3106" i="1"/>
  <c r="AU3106" i="1"/>
  <c r="AV3106" i="1"/>
  <c r="AT3107" i="1"/>
  <c r="AU3107" i="1"/>
  <c r="AV3107" i="1"/>
  <c r="AT3108" i="1"/>
  <c r="AU3108" i="1"/>
  <c r="AV3108" i="1"/>
  <c r="AT3109" i="1"/>
  <c r="AU3109" i="1"/>
  <c r="AV3109" i="1"/>
  <c r="AT3110" i="1"/>
  <c r="AU3110" i="1"/>
  <c r="AV3110" i="1"/>
  <c r="AT3111" i="1"/>
  <c r="AU3111" i="1"/>
  <c r="AV3111" i="1"/>
  <c r="AT3112" i="1"/>
  <c r="AU3112" i="1"/>
  <c r="AV3112" i="1"/>
  <c r="AT3113" i="1"/>
  <c r="AU3113" i="1"/>
  <c r="AV3113" i="1"/>
  <c r="AT3114" i="1"/>
  <c r="AU3114" i="1"/>
  <c r="AV3114" i="1"/>
  <c r="AT3115" i="1"/>
  <c r="AU3115" i="1"/>
  <c r="AV3115" i="1"/>
  <c r="AT3116" i="1"/>
  <c r="AU3116" i="1"/>
  <c r="AV3116" i="1"/>
  <c r="AT3117" i="1"/>
  <c r="AU3117" i="1"/>
  <c r="AV3117" i="1"/>
  <c r="AT3118" i="1"/>
  <c r="AU3118" i="1"/>
  <c r="AV3118" i="1"/>
  <c r="AT3119" i="1"/>
  <c r="AU3119" i="1"/>
  <c r="AV3119" i="1"/>
  <c r="AT3120" i="1"/>
  <c r="AU3120" i="1"/>
  <c r="AV3120" i="1"/>
  <c r="AT3121" i="1"/>
  <c r="AU3121" i="1"/>
  <c r="AV3121" i="1"/>
  <c r="AT3122" i="1"/>
  <c r="AU3122" i="1"/>
  <c r="AV3122" i="1"/>
  <c r="AT3123" i="1"/>
  <c r="AU3123" i="1"/>
  <c r="AV3123" i="1"/>
  <c r="AT3124" i="1"/>
  <c r="AU3124" i="1"/>
  <c r="AV3124" i="1"/>
  <c r="AT3125" i="1"/>
  <c r="AU3125" i="1"/>
  <c r="AV3125" i="1"/>
  <c r="AT3126" i="1"/>
  <c r="AU3126" i="1"/>
  <c r="AV3126" i="1"/>
  <c r="AT3127" i="1"/>
  <c r="AU3127" i="1"/>
  <c r="AV3127" i="1"/>
  <c r="AT3128" i="1"/>
  <c r="AU3128" i="1"/>
  <c r="AV3128" i="1"/>
  <c r="AT3129" i="1"/>
  <c r="AU3129" i="1"/>
  <c r="AV3129" i="1"/>
  <c r="AT3130" i="1"/>
  <c r="AU3130" i="1"/>
  <c r="AV3130" i="1"/>
  <c r="AT3131" i="1"/>
  <c r="AU3131" i="1"/>
  <c r="AV3131" i="1"/>
  <c r="AT3132" i="1"/>
  <c r="AU3132" i="1"/>
  <c r="AV3132" i="1"/>
  <c r="AT3133" i="1"/>
  <c r="AU3133" i="1"/>
  <c r="AV3133" i="1"/>
  <c r="AT3134" i="1"/>
  <c r="AU3134" i="1"/>
  <c r="AV3134" i="1"/>
  <c r="AT3135" i="1"/>
  <c r="AU3135" i="1"/>
  <c r="AV3135" i="1"/>
  <c r="AT3136" i="1"/>
  <c r="AU3136" i="1"/>
  <c r="AV3136" i="1"/>
  <c r="AT3137" i="1"/>
  <c r="AU3137" i="1"/>
  <c r="AV3137" i="1"/>
  <c r="AT3138" i="1"/>
  <c r="AU3138" i="1"/>
  <c r="AV3138" i="1"/>
  <c r="AT3139" i="1"/>
  <c r="AU3139" i="1"/>
  <c r="AV3139" i="1"/>
  <c r="AT3140" i="1"/>
  <c r="AU3140" i="1"/>
  <c r="AV3140" i="1"/>
  <c r="AT3141" i="1"/>
  <c r="AU3141" i="1"/>
  <c r="AV3141" i="1"/>
  <c r="AT3142" i="1"/>
  <c r="AU3142" i="1"/>
  <c r="AV3142" i="1"/>
  <c r="AT3143" i="1"/>
  <c r="AU3143" i="1"/>
  <c r="AV3143" i="1"/>
  <c r="AT3144" i="1"/>
  <c r="AU3144" i="1"/>
  <c r="AV3144" i="1"/>
  <c r="AT3145" i="1"/>
  <c r="AU3145" i="1"/>
  <c r="AV3145" i="1"/>
  <c r="AT3146" i="1"/>
  <c r="AU3146" i="1"/>
  <c r="AV3146" i="1"/>
  <c r="AT3147" i="1"/>
  <c r="AU3147" i="1"/>
  <c r="AV3147" i="1"/>
  <c r="AT3148" i="1"/>
  <c r="AU3148" i="1"/>
  <c r="AV3148" i="1"/>
  <c r="AT3149" i="1"/>
  <c r="AU3149" i="1"/>
  <c r="AV3149" i="1"/>
  <c r="AT3150" i="1"/>
  <c r="AU3150" i="1"/>
  <c r="AV3150" i="1"/>
  <c r="AT3151" i="1"/>
  <c r="AU3151" i="1"/>
  <c r="AV3151" i="1"/>
  <c r="AT3152" i="1"/>
  <c r="AU3152" i="1"/>
  <c r="AV3152" i="1"/>
  <c r="AT3153" i="1"/>
  <c r="AU3153" i="1"/>
  <c r="AV3153" i="1"/>
  <c r="AT3154" i="1"/>
  <c r="AU3154" i="1"/>
  <c r="AV3154" i="1"/>
  <c r="AT3155" i="1"/>
  <c r="AU3155" i="1"/>
  <c r="AV3155" i="1"/>
  <c r="AT3156" i="1"/>
  <c r="AU3156" i="1"/>
  <c r="AV3156" i="1"/>
  <c r="AT3157" i="1"/>
  <c r="AU3157" i="1"/>
  <c r="AV3157" i="1"/>
  <c r="AT3158" i="1"/>
  <c r="AU3158" i="1"/>
  <c r="AV3158" i="1"/>
  <c r="AT3159" i="1"/>
  <c r="AU3159" i="1"/>
  <c r="AV3159" i="1"/>
  <c r="AT3160" i="1"/>
  <c r="AU3160" i="1"/>
  <c r="AV3160" i="1"/>
  <c r="AT3161" i="1"/>
  <c r="AU3161" i="1"/>
  <c r="AV3161" i="1"/>
  <c r="AT3162" i="1"/>
  <c r="AU3162" i="1"/>
  <c r="AV3162" i="1"/>
  <c r="AT3163" i="1"/>
  <c r="AU3163" i="1"/>
  <c r="AV3163" i="1"/>
  <c r="AT3164" i="1"/>
  <c r="AU3164" i="1"/>
  <c r="AV3164" i="1"/>
  <c r="AT3165" i="1"/>
  <c r="AU3165" i="1"/>
  <c r="AV3165" i="1"/>
  <c r="AT3166" i="1"/>
  <c r="AU3166" i="1"/>
  <c r="AV3166" i="1"/>
  <c r="AT3167" i="1"/>
  <c r="AU3167" i="1"/>
  <c r="AV3167" i="1"/>
  <c r="AT3168" i="1"/>
  <c r="AU3168" i="1"/>
  <c r="AV3168" i="1"/>
  <c r="AT3169" i="1"/>
  <c r="AU3169" i="1"/>
  <c r="AV3169" i="1"/>
  <c r="AT3170" i="1"/>
  <c r="AU3170" i="1"/>
  <c r="AV3170" i="1"/>
  <c r="AT3171" i="1"/>
  <c r="AU3171" i="1"/>
  <c r="AV3171" i="1"/>
  <c r="AT3172" i="1"/>
  <c r="AU3172" i="1"/>
  <c r="AV3172" i="1"/>
  <c r="AT3173" i="1"/>
  <c r="AU3173" i="1"/>
  <c r="AV3173" i="1"/>
  <c r="AT3174" i="1"/>
  <c r="AU3174" i="1"/>
  <c r="AV3174" i="1"/>
  <c r="AT3175" i="1"/>
  <c r="AU3175" i="1"/>
  <c r="AV3175" i="1"/>
  <c r="AT3176" i="1"/>
  <c r="AU3176" i="1"/>
  <c r="AV3176" i="1"/>
  <c r="AT3177" i="1"/>
  <c r="AU3177" i="1"/>
  <c r="AV3177" i="1"/>
  <c r="AT3178" i="1"/>
  <c r="AU3178" i="1"/>
  <c r="AV3178" i="1"/>
  <c r="AT3179" i="1"/>
  <c r="AU3179" i="1"/>
  <c r="AV3179" i="1"/>
  <c r="AT3180" i="1"/>
  <c r="AU3180" i="1"/>
  <c r="AV3180" i="1"/>
  <c r="AT3181" i="1"/>
  <c r="AU3181" i="1"/>
  <c r="AV3181" i="1"/>
  <c r="AT3182" i="1"/>
  <c r="AU3182" i="1"/>
  <c r="AV3182" i="1"/>
  <c r="AT3183" i="1"/>
  <c r="AU3183" i="1"/>
  <c r="AV3183" i="1"/>
  <c r="AT3184" i="1"/>
  <c r="AU3184" i="1"/>
  <c r="AV3184" i="1"/>
  <c r="AT3185" i="1"/>
  <c r="AU3185" i="1"/>
  <c r="AV3185" i="1"/>
  <c r="AT3186" i="1"/>
  <c r="AU3186" i="1"/>
  <c r="AV3186" i="1"/>
  <c r="AT3187" i="1"/>
  <c r="AU3187" i="1"/>
  <c r="AV3187" i="1"/>
  <c r="AT3188" i="1"/>
  <c r="AU3188" i="1"/>
  <c r="AV3188" i="1"/>
  <c r="AT3189" i="1"/>
  <c r="AU3189" i="1"/>
  <c r="AV3189" i="1"/>
  <c r="AT3190" i="1"/>
  <c r="AU3190" i="1"/>
  <c r="AV3190" i="1"/>
  <c r="AT3191" i="1"/>
  <c r="AU3191" i="1"/>
  <c r="AV3191" i="1"/>
  <c r="AT3192" i="1"/>
  <c r="AU3192" i="1"/>
  <c r="AV3192" i="1"/>
  <c r="AT3193" i="1"/>
  <c r="AU3193" i="1"/>
  <c r="AV3193" i="1"/>
  <c r="AT3194" i="1"/>
  <c r="AU3194" i="1"/>
  <c r="AV3194" i="1"/>
  <c r="AT3195" i="1"/>
  <c r="AU3195" i="1"/>
  <c r="AV3195" i="1"/>
  <c r="AT3196" i="1"/>
  <c r="AU3196" i="1"/>
  <c r="AV3196" i="1"/>
  <c r="AT3197" i="1"/>
  <c r="AU3197" i="1"/>
  <c r="AV3197" i="1"/>
  <c r="AT3198" i="1"/>
  <c r="AU3198" i="1"/>
  <c r="AV3198" i="1"/>
  <c r="AT3199" i="1"/>
  <c r="AU3199" i="1"/>
  <c r="AV3199" i="1"/>
  <c r="AT3200" i="1"/>
  <c r="AU3200" i="1"/>
  <c r="AV3200" i="1"/>
  <c r="AT3201" i="1"/>
  <c r="AU3201" i="1"/>
  <c r="AV3201" i="1"/>
  <c r="AT3202" i="1"/>
  <c r="AU3202" i="1"/>
  <c r="AV3202" i="1"/>
  <c r="AT3203" i="1"/>
  <c r="AU3203" i="1"/>
  <c r="AV3203" i="1"/>
  <c r="AT3204" i="1"/>
  <c r="AU3204" i="1"/>
  <c r="AV3204" i="1"/>
  <c r="AT3205" i="1"/>
  <c r="AU3205" i="1"/>
  <c r="AV3205" i="1"/>
  <c r="AT3206" i="1"/>
  <c r="AU3206" i="1"/>
  <c r="AV3206" i="1"/>
  <c r="AT3207" i="1"/>
  <c r="AU3207" i="1"/>
  <c r="AV3207" i="1"/>
  <c r="AT3208" i="1"/>
  <c r="AU3208" i="1"/>
  <c r="AV3208" i="1"/>
  <c r="AT3209" i="1"/>
  <c r="AU3209" i="1"/>
  <c r="AV3209" i="1"/>
  <c r="AT3210" i="1"/>
  <c r="AU3210" i="1"/>
  <c r="AV3210" i="1"/>
  <c r="AT3211" i="1"/>
  <c r="AU3211" i="1"/>
  <c r="AV3211" i="1"/>
  <c r="AT3212" i="1"/>
  <c r="AU3212" i="1"/>
  <c r="AV3212" i="1"/>
  <c r="AT3213" i="1"/>
  <c r="AU3213" i="1"/>
  <c r="AV3213" i="1"/>
  <c r="AT3214" i="1"/>
  <c r="AU3214" i="1"/>
  <c r="AV3214" i="1"/>
  <c r="AT3215" i="1"/>
  <c r="AU3215" i="1"/>
  <c r="AV3215" i="1"/>
  <c r="AT3216" i="1"/>
  <c r="AU3216" i="1"/>
  <c r="AV3216" i="1"/>
  <c r="AT3217" i="1"/>
  <c r="AU3217" i="1"/>
  <c r="AV3217" i="1"/>
  <c r="AT3218" i="1"/>
  <c r="AU3218" i="1"/>
  <c r="AV3218" i="1"/>
  <c r="AT3219" i="1"/>
  <c r="AU3219" i="1"/>
  <c r="AV3219" i="1"/>
  <c r="AT3220" i="1"/>
  <c r="AU3220" i="1"/>
  <c r="AV3220" i="1"/>
  <c r="AT3221" i="1"/>
  <c r="AU3221" i="1"/>
  <c r="AV3221" i="1"/>
  <c r="AT3222" i="1"/>
  <c r="AU3222" i="1"/>
  <c r="AV3222" i="1"/>
  <c r="I76" i="2" l="1"/>
  <c r="H76" i="2"/>
  <c r="G76" i="2"/>
  <c r="F76" i="2"/>
  <c r="E76" i="2"/>
  <c r="D76" i="2"/>
  <c r="C76" i="2"/>
  <c r="B76" i="2"/>
  <c r="I75" i="2"/>
  <c r="H75" i="2"/>
  <c r="G75" i="2"/>
  <c r="F75" i="2"/>
  <c r="E75" i="2"/>
  <c r="D75" i="2"/>
  <c r="C75" i="2"/>
  <c r="B75" i="2"/>
  <c r="I74" i="2"/>
  <c r="H74" i="2"/>
  <c r="G74" i="2"/>
  <c r="F74" i="2"/>
  <c r="E74" i="2"/>
  <c r="D74" i="2"/>
  <c r="C74" i="2"/>
  <c r="B74" i="2"/>
  <c r="I73" i="2"/>
  <c r="H73" i="2"/>
  <c r="G73" i="2"/>
  <c r="F73" i="2"/>
  <c r="E73" i="2"/>
  <c r="D73" i="2"/>
  <c r="C73" i="2"/>
  <c r="B73" i="2"/>
  <c r="I72" i="2"/>
  <c r="H72" i="2"/>
  <c r="G72" i="2"/>
  <c r="F72" i="2"/>
  <c r="E72" i="2"/>
  <c r="D72" i="2"/>
  <c r="C72" i="2"/>
  <c r="B72" i="2"/>
  <c r="I71" i="2"/>
  <c r="H71" i="2"/>
  <c r="G71" i="2"/>
  <c r="F71" i="2"/>
  <c r="E71" i="2"/>
  <c r="D71" i="2"/>
  <c r="C71" i="2"/>
  <c r="B71" i="2"/>
  <c r="I70" i="2"/>
  <c r="H70" i="2"/>
  <c r="G70" i="2"/>
  <c r="F70" i="2"/>
  <c r="E70" i="2"/>
  <c r="D70" i="2"/>
  <c r="C70" i="2"/>
  <c r="B70" i="2"/>
  <c r="I69" i="2"/>
  <c r="H69" i="2"/>
  <c r="G69" i="2"/>
  <c r="F69" i="2"/>
  <c r="E69" i="2"/>
  <c r="D69" i="2"/>
  <c r="C69" i="2"/>
  <c r="B69" i="2"/>
  <c r="I68" i="2"/>
  <c r="H68" i="2"/>
  <c r="G68" i="2"/>
  <c r="F68" i="2"/>
  <c r="E68" i="2"/>
  <c r="D68" i="2"/>
  <c r="C68" i="2"/>
  <c r="B68" i="2"/>
  <c r="I67" i="2"/>
  <c r="H67" i="2"/>
  <c r="G67" i="2"/>
  <c r="F67" i="2"/>
  <c r="E67" i="2"/>
  <c r="D67" i="2"/>
  <c r="C67" i="2"/>
  <c r="B67" i="2"/>
  <c r="I66" i="2"/>
  <c r="H66" i="2"/>
  <c r="G66" i="2"/>
  <c r="F66" i="2"/>
  <c r="E66" i="2"/>
  <c r="D66" i="2"/>
  <c r="C66" i="2"/>
  <c r="B66" i="2"/>
  <c r="I65" i="2"/>
  <c r="H65" i="2"/>
  <c r="G65" i="2"/>
  <c r="F65" i="2"/>
  <c r="E65" i="2"/>
  <c r="D65" i="2"/>
  <c r="C65" i="2"/>
  <c r="B65" i="2"/>
  <c r="I64" i="2"/>
  <c r="H64" i="2"/>
  <c r="G64" i="2"/>
  <c r="F64" i="2"/>
  <c r="E64" i="2"/>
  <c r="D64" i="2"/>
  <c r="C64" i="2"/>
  <c r="B64" i="2"/>
  <c r="I63" i="2"/>
  <c r="H63" i="2"/>
  <c r="G63" i="2"/>
  <c r="F63" i="2"/>
  <c r="E63" i="2"/>
  <c r="D63" i="2"/>
  <c r="C63" i="2"/>
  <c r="B63" i="2"/>
  <c r="I62" i="2"/>
  <c r="H62" i="2"/>
  <c r="G62" i="2"/>
  <c r="F62" i="2"/>
  <c r="E62" i="2"/>
  <c r="D62" i="2"/>
  <c r="C62" i="2"/>
  <c r="B62" i="2"/>
  <c r="I61" i="2"/>
  <c r="H61" i="2"/>
  <c r="G61" i="2"/>
  <c r="F61" i="2"/>
  <c r="E61" i="2"/>
  <c r="D61" i="2"/>
  <c r="C61" i="2"/>
  <c r="B61" i="2"/>
  <c r="I60" i="2"/>
  <c r="H60" i="2"/>
  <c r="G60" i="2"/>
  <c r="F60" i="2"/>
  <c r="E60" i="2"/>
  <c r="D60" i="2"/>
  <c r="C60" i="2"/>
  <c r="B60" i="2"/>
  <c r="I59" i="2"/>
  <c r="I77" i="2" s="1"/>
  <c r="H59" i="2"/>
  <c r="H77" i="2" s="1"/>
  <c r="G59" i="2"/>
  <c r="G77" i="2" s="1"/>
  <c r="F59" i="2"/>
  <c r="F77" i="2" s="1"/>
  <c r="E59" i="2"/>
  <c r="E77" i="2" s="1"/>
  <c r="D59" i="2"/>
  <c r="D77" i="2" s="1"/>
  <c r="C59" i="2"/>
  <c r="C77" i="2" s="1"/>
  <c r="B59" i="2"/>
  <c r="J54" i="2"/>
  <c r="I54" i="2"/>
  <c r="H54" i="2"/>
  <c r="G54" i="2"/>
  <c r="F54" i="2"/>
  <c r="E54" i="2"/>
  <c r="D54" i="2"/>
  <c r="C54" i="2"/>
  <c r="B54" i="2"/>
  <c r="J53" i="2"/>
  <c r="I53" i="2"/>
  <c r="H53" i="2"/>
  <c r="G53" i="2"/>
  <c r="F53" i="2"/>
  <c r="E53" i="2"/>
  <c r="D53" i="2"/>
  <c r="C53" i="2"/>
  <c r="B53" i="2"/>
  <c r="J52" i="2"/>
  <c r="I52" i="2"/>
  <c r="H52" i="2"/>
  <c r="G52" i="2"/>
  <c r="F52" i="2"/>
  <c r="E52" i="2"/>
  <c r="D52" i="2"/>
  <c r="C52" i="2"/>
  <c r="B52" i="2"/>
  <c r="J51" i="2"/>
  <c r="I51" i="2"/>
  <c r="H51" i="2"/>
  <c r="G51" i="2"/>
  <c r="F51" i="2"/>
  <c r="E51" i="2"/>
  <c r="D51" i="2"/>
  <c r="C51" i="2"/>
  <c r="B51" i="2"/>
  <c r="J50" i="2"/>
  <c r="I50" i="2"/>
  <c r="H50" i="2"/>
  <c r="G50" i="2"/>
  <c r="F50" i="2"/>
  <c r="E50" i="2"/>
  <c r="D50" i="2"/>
  <c r="C50" i="2"/>
  <c r="B50" i="2"/>
  <c r="J49" i="2"/>
  <c r="I49" i="2"/>
  <c r="H49" i="2"/>
  <c r="G49" i="2"/>
  <c r="F49" i="2"/>
  <c r="E49" i="2"/>
  <c r="D49" i="2"/>
  <c r="C49" i="2"/>
  <c r="B49" i="2"/>
  <c r="J48" i="2"/>
  <c r="I48" i="2"/>
  <c r="H48" i="2"/>
  <c r="G48" i="2"/>
  <c r="F48" i="2"/>
  <c r="E48" i="2"/>
  <c r="D48" i="2"/>
  <c r="C48" i="2"/>
  <c r="B48" i="2"/>
  <c r="J47" i="2"/>
  <c r="I47" i="2"/>
  <c r="H47" i="2"/>
  <c r="G47" i="2"/>
  <c r="F47" i="2"/>
  <c r="E47" i="2"/>
  <c r="D47" i="2"/>
  <c r="C47" i="2"/>
  <c r="B47" i="2"/>
  <c r="J46" i="2"/>
  <c r="I46" i="2"/>
  <c r="H46" i="2"/>
  <c r="G46" i="2"/>
  <c r="F46" i="2"/>
  <c r="E46" i="2"/>
  <c r="D46" i="2"/>
  <c r="C46" i="2"/>
  <c r="B46" i="2"/>
  <c r="J45" i="2"/>
  <c r="I45" i="2"/>
  <c r="H45" i="2"/>
  <c r="G45" i="2"/>
  <c r="F45" i="2"/>
  <c r="E45" i="2"/>
  <c r="D45" i="2"/>
  <c r="C45" i="2"/>
  <c r="B45" i="2"/>
  <c r="J44" i="2"/>
  <c r="I44" i="2"/>
  <c r="H44" i="2"/>
  <c r="G44" i="2"/>
  <c r="F44" i="2"/>
  <c r="E44" i="2"/>
  <c r="D44" i="2"/>
  <c r="C44" i="2"/>
  <c r="B44" i="2"/>
  <c r="J43" i="2"/>
  <c r="I43" i="2"/>
  <c r="H43" i="2"/>
  <c r="G43" i="2"/>
  <c r="F43" i="2"/>
  <c r="E43" i="2"/>
  <c r="D43" i="2"/>
  <c r="C43" i="2"/>
  <c r="B43" i="2"/>
  <c r="J42" i="2"/>
  <c r="I42" i="2"/>
  <c r="H42" i="2"/>
  <c r="G42" i="2"/>
  <c r="F42" i="2"/>
  <c r="E42" i="2"/>
  <c r="D42" i="2"/>
  <c r="C42" i="2"/>
  <c r="B42" i="2"/>
  <c r="J41" i="2"/>
  <c r="I41" i="2"/>
  <c r="H41" i="2"/>
  <c r="G41" i="2"/>
  <c r="F41" i="2"/>
  <c r="E41" i="2"/>
  <c r="D41" i="2"/>
  <c r="C41" i="2"/>
  <c r="B41" i="2"/>
  <c r="J40" i="2"/>
  <c r="I40" i="2"/>
  <c r="H40" i="2"/>
  <c r="G40" i="2"/>
  <c r="F40" i="2"/>
  <c r="E40" i="2"/>
  <c r="D40" i="2"/>
  <c r="C40" i="2"/>
  <c r="B40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7" i="2"/>
  <c r="I37" i="2"/>
  <c r="H37" i="2"/>
  <c r="G37" i="2"/>
  <c r="F37" i="2"/>
  <c r="E37" i="2"/>
  <c r="D37" i="2"/>
  <c r="C37" i="2"/>
  <c r="B37" i="2"/>
  <c r="K31" i="2"/>
  <c r="J31" i="2"/>
  <c r="I31" i="2"/>
  <c r="H31" i="2"/>
  <c r="G31" i="2"/>
  <c r="F31" i="2"/>
  <c r="E31" i="2"/>
  <c r="D31" i="2"/>
  <c r="C31" i="2"/>
  <c r="B31" i="2"/>
  <c r="K30" i="2"/>
  <c r="J30" i="2"/>
  <c r="I30" i="2"/>
  <c r="H30" i="2"/>
  <c r="G30" i="2"/>
  <c r="F30" i="2"/>
  <c r="E30" i="2"/>
  <c r="D30" i="2"/>
  <c r="C30" i="2"/>
  <c r="B30" i="2"/>
  <c r="K29" i="2"/>
  <c r="J29" i="2"/>
  <c r="I29" i="2"/>
  <c r="H29" i="2"/>
  <c r="G29" i="2"/>
  <c r="F29" i="2"/>
  <c r="E29" i="2"/>
  <c r="D29" i="2"/>
  <c r="C29" i="2"/>
  <c r="B29" i="2"/>
  <c r="K28" i="2"/>
  <c r="J28" i="2"/>
  <c r="I28" i="2"/>
  <c r="H28" i="2"/>
  <c r="G28" i="2"/>
  <c r="F28" i="2"/>
  <c r="E28" i="2"/>
  <c r="D28" i="2"/>
  <c r="C28" i="2"/>
  <c r="B28" i="2"/>
  <c r="K27" i="2"/>
  <c r="J27" i="2"/>
  <c r="I27" i="2"/>
  <c r="H27" i="2"/>
  <c r="G27" i="2"/>
  <c r="F27" i="2"/>
  <c r="E27" i="2"/>
  <c r="D27" i="2"/>
  <c r="C27" i="2"/>
  <c r="B27" i="2"/>
  <c r="K26" i="2"/>
  <c r="J26" i="2"/>
  <c r="I26" i="2"/>
  <c r="H26" i="2"/>
  <c r="G26" i="2"/>
  <c r="F26" i="2"/>
  <c r="E26" i="2"/>
  <c r="D26" i="2"/>
  <c r="C26" i="2"/>
  <c r="B26" i="2"/>
  <c r="K25" i="2"/>
  <c r="J25" i="2"/>
  <c r="I25" i="2"/>
  <c r="H25" i="2"/>
  <c r="G25" i="2"/>
  <c r="F25" i="2"/>
  <c r="E25" i="2"/>
  <c r="D25" i="2"/>
  <c r="C25" i="2"/>
  <c r="B25" i="2"/>
  <c r="K24" i="2"/>
  <c r="J24" i="2"/>
  <c r="I24" i="2"/>
  <c r="H24" i="2"/>
  <c r="G24" i="2"/>
  <c r="F24" i="2"/>
  <c r="E24" i="2"/>
  <c r="D24" i="2"/>
  <c r="C24" i="2"/>
  <c r="B24" i="2"/>
  <c r="K23" i="2"/>
  <c r="J23" i="2"/>
  <c r="I23" i="2"/>
  <c r="H23" i="2"/>
  <c r="G23" i="2"/>
  <c r="F23" i="2"/>
  <c r="E23" i="2"/>
  <c r="D23" i="2"/>
  <c r="C23" i="2"/>
  <c r="B23" i="2"/>
  <c r="K22" i="2"/>
  <c r="J22" i="2"/>
  <c r="I22" i="2"/>
  <c r="H22" i="2"/>
  <c r="G22" i="2"/>
  <c r="F22" i="2"/>
  <c r="E22" i="2"/>
  <c r="D22" i="2"/>
  <c r="C22" i="2"/>
  <c r="B22" i="2"/>
  <c r="K21" i="2"/>
  <c r="J21" i="2"/>
  <c r="I21" i="2"/>
  <c r="H21" i="2"/>
  <c r="G21" i="2"/>
  <c r="F21" i="2"/>
  <c r="E21" i="2"/>
  <c r="D21" i="2"/>
  <c r="C21" i="2"/>
  <c r="B21" i="2"/>
  <c r="K20" i="2"/>
  <c r="J20" i="2"/>
  <c r="I20" i="2"/>
  <c r="H20" i="2"/>
  <c r="G20" i="2"/>
  <c r="F20" i="2"/>
  <c r="E20" i="2"/>
  <c r="D20" i="2"/>
  <c r="C20" i="2"/>
  <c r="B20" i="2"/>
  <c r="K19" i="2"/>
  <c r="J19" i="2"/>
  <c r="I19" i="2"/>
  <c r="H19" i="2"/>
  <c r="G19" i="2"/>
  <c r="F19" i="2"/>
  <c r="E19" i="2"/>
  <c r="D19" i="2"/>
  <c r="C19" i="2"/>
  <c r="B19" i="2"/>
  <c r="K18" i="2"/>
  <c r="J18" i="2"/>
  <c r="I18" i="2"/>
  <c r="H18" i="2"/>
  <c r="G18" i="2"/>
  <c r="F18" i="2"/>
  <c r="E18" i="2"/>
  <c r="D18" i="2"/>
  <c r="C18" i="2"/>
  <c r="B18" i="2"/>
  <c r="K17" i="2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K15" i="2"/>
  <c r="J15" i="2"/>
  <c r="I15" i="2"/>
  <c r="H15" i="2"/>
  <c r="G15" i="2"/>
  <c r="F15" i="2"/>
  <c r="E15" i="2"/>
  <c r="D15" i="2"/>
  <c r="C15" i="2"/>
  <c r="B15" i="2"/>
  <c r="J14" i="2"/>
  <c r="I14" i="2"/>
  <c r="H14" i="2"/>
  <c r="G14" i="2"/>
  <c r="F14" i="2"/>
  <c r="E14" i="2"/>
  <c r="D14" i="2"/>
  <c r="C14" i="2"/>
  <c r="B14" i="2"/>
  <c r="G9" i="2"/>
  <c r="H9" i="2" s="1"/>
  <c r="F9" i="2"/>
  <c r="G8" i="2"/>
  <c r="H8" i="2" s="1"/>
  <c r="F8" i="2"/>
  <c r="G7" i="2"/>
  <c r="H7" i="2" s="1"/>
  <c r="F7" i="2"/>
  <c r="G6" i="2"/>
  <c r="H6" i="2" s="1"/>
  <c r="F6" i="2"/>
  <c r="G5" i="2"/>
  <c r="H5" i="2" s="1"/>
  <c r="F5" i="2"/>
  <c r="B5" i="2"/>
  <c r="G4" i="2"/>
  <c r="H4" i="2" s="1"/>
  <c r="F4" i="2"/>
  <c r="B4" i="2"/>
  <c r="G3" i="2"/>
  <c r="H3" i="2" s="1"/>
  <c r="F3" i="2"/>
  <c r="B3" i="2"/>
  <c r="G2" i="2"/>
  <c r="F2" i="2"/>
  <c r="B2" i="2"/>
  <c r="J74" i="2" l="1"/>
  <c r="C32" i="2"/>
  <c r="G32" i="2"/>
  <c r="D55" i="2"/>
  <c r="H55" i="2"/>
  <c r="G10" i="2"/>
  <c r="B32" i="2"/>
  <c r="B86" i="3" s="1"/>
  <c r="F32" i="2"/>
  <c r="J32" i="2"/>
  <c r="D32" i="2"/>
  <c r="H32" i="2"/>
  <c r="I55" i="2"/>
  <c r="K53" i="2"/>
  <c r="L20" i="2"/>
  <c r="L24" i="2"/>
  <c r="L28" i="2"/>
  <c r="C55" i="2"/>
  <c r="G55" i="2"/>
  <c r="K42" i="2"/>
  <c r="K46" i="2"/>
  <c r="K50" i="2"/>
  <c r="K54" i="2"/>
  <c r="L15" i="2"/>
  <c r="L19" i="2"/>
  <c r="L23" i="2"/>
  <c r="L27" i="2"/>
  <c r="L31" i="2"/>
  <c r="K38" i="2"/>
  <c r="K39" i="2"/>
  <c r="K43" i="2"/>
  <c r="K47" i="2"/>
  <c r="K51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5" i="2"/>
  <c r="J76" i="2"/>
  <c r="K32" i="2"/>
  <c r="B89" i="3" s="1"/>
  <c r="E55" i="2"/>
  <c r="K44" i="2"/>
  <c r="K48" i="2"/>
  <c r="K52" i="2"/>
  <c r="E32" i="2"/>
  <c r="I32" i="2"/>
  <c r="L16" i="2"/>
  <c r="L17" i="2"/>
  <c r="L18" i="2"/>
  <c r="L21" i="2"/>
  <c r="L22" i="2"/>
  <c r="L25" i="2"/>
  <c r="L26" i="2"/>
  <c r="L29" i="2"/>
  <c r="L30" i="2"/>
  <c r="K37" i="2"/>
  <c r="F55" i="2"/>
  <c r="J55" i="2"/>
  <c r="K40" i="2"/>
  <c r="K41" i="2"/>
  <c r="K45" i="2"/>
  <c r="K49" i="2"/>
  <c r="B55" i="2"/>
  <c r="B77" i="2"/>
  <c r="H2" i="2"/>
  <c r="L14" i="2"/>
  <c r="B88" i="3" l="1"/>
  <c r="L32" i="2"/>
  <c r="J33" i="2" s="1"/>
  <c r="B87" i="3"/>
  <c r="K55" i="2"/>
  <c r="J77" i="2"/>
  <c r="H10" i="2"/>
  <c r="K33" i="2" l="1"/>
  <c r="C33" i="2"/>
  <c r="F33" i="2"/>
  <c r="I33" i="2"/>
  <c r="G33" i="2"/>
  <c r="D33" i="2"/>
  <c r="H33" i="2"/>
  <c r="E33" i="2"/>
  <c r="B33" i="2"/>
  <c r="L33" i="2"/>
  <c r="I3" i="2"/>
  <c r="I8" i="2"/>
  <c r="I5" i="2"/>
  <c r="I9" i="2"/>
  <c r="I4" i="2"/>
  <c r="I6" i="2"/>
  <c r="I7" i="2"/>
  <c r="I2" i="2"/>
  <c r="I34" i="2" l="1"/>
  <c r="H34" i="2"/>
  <c r="F34" i="2"/>
  <c r="J34" i="2"/>
  <c r="B34" i="2"/>
  <c r="D34" i="2"/>
  <c r="E34" i="2"/>
  <c r="K34" i="2"/>
  <c r="C34" i="2"/>
  <c r="G34" i="2"/>
  <c r="I10" i="2"/>
</calcChain>
</file>

<file path=xl/sharedStrings.xml><?xml version="1.0" encoding="utf-8"?>
<sst xmlns="http://schemas.openxmlformats.org/spreadsheetml/2006/main" count="13110" uniqueCount="6216">
  <si>
    <t/>
  </si>
  <si>
    <t>Governorate of origin</t>
  </si>
  <si>
    <t>Shelter type</t>
  </si>
  <si>
    <t>Period of displacement</t>
  </si>
  <si>
    <t>Place id</t>
  </si>
  <si>
    <t>Governorate</t>
  </si>
  <si>
    <t>District</t>
  </si>
  <si>
    <t>Latitude</t>
  </si>
  <si>
    <t>Longitude</t>
  </si>
  <si>
    <t>Anbar</t>
  </si>
  <si>
    <t>Babylon</t>
  </si>
  <si>
    <t>Baghdad</t>
  </si>
  <si>
    <t>Basrah</t>
  </si>
  <si>
    <t>Dahuk</t>
  </si>
  <si>
    <t>Diyala</t>
  </si>
  <si>
    <t>Erbil</t>
  </si>
  <si>
    <t>Kerbala</t>
  </si>
  <si>
    <t>Kirkuk</t>
  </si>
  <si>
    <t>Missan</t>
  </si>
  <si>
    <t>Muthanna</t>
  </si>
  <si>
    <t>Najaf</t>
  </si>
  <si>
    <t>Ninewa</t>
  </si>
  <si>
    <t>Qadissiya</t>
  </si>
  <si>
    <t>Salah al-Din</t>
  </si>
  <si>
    <t>Sulaymaniyah</t>
  </si>
  <si>
    <t>Thi-Qar</t>
  </si>
  <si>
    <t>Wassit</t>
  </si>
  <si>
    <t>Camp</t>
  </si>
  <si>
    <t>Host families</t>
  </si>
  <si>
    <t>School building</t>
  </si>
  <si>
    <t>Religious building</t>
  </si>
  <si>
    <t>Unfinished/Abandoned building</t>
  </si>
  <si>
    <t>Informal settlements</t>
  </si>
  <si>
    <t>Other shelter type</t>
  </si>
  <si>
    <t>Unknown shelter type</t>
  </si>
  <si>
    <t># Locations</t>
  </si>
  <si>
    <t xml:space="preserve">IDP Families </t>
  </si>
  <si>
    <t>IDP Individuals</t>
  </si>
  <si>
    <t>%</t>
  </si>
  <si>
    <t>Shelter Type</t>
  </si>
  <si>
    <t>Total</t>
  </si>
  <si>
    <t xml:space="preserve">    Total</t>
  </si>
  <si>
    <t xml:space="preserve">June-July14 </t>
  </si>
  <si>
    <t>August14</t>
  </si>
  <si>
    <t>Families</t>
  </si>
  <si>
    <t>Individuals</t>
  </si>
  <si>
    <t>Link for Map</t>
  </si>
  <si>
    <t>Bing Map</t>
  </si>
  <si>
    <t>Google Map</t>
  </si>
  <si>
    <t>Open Street Map</t>
  </si>
  <si>
    <t>Location of Displacement</t>
  </si>
  <si>
    <t>Location name
in English</t>
  </si>
  <si>
    <t xml:space="preserve">Location name
in Arabic </t>
  </si>
  <si>
    <t>Governorate of displacement</t>
  </si>
  <si>
    <t xml:space="preserve">Pre-June14 </t>
  </si>
  <si>
    <t xml:space="preserve">Post September14 </t>
  </si>
  <si>
    <t xml:space="preserve">Post April15 </t>
  </si>
  <si>
    <t>#IDP Families</t>
  </si>
  <si>
    <t>#Locations</t>
  </si>
  <si>
    <t>#Districts</t>
  </si>
  <si>
    <t>#Individuals</t>
  </si>
  <si>
    <t>Summary</t>
  </si>
  <si>
    <t>Post March16</t>
  </si>
  <si>
    <t>Post Mar2016</t>
  </si>
  <si>
    <t xml:space="preserve">Post March16 </t>
  </si>
  <si>
    <t xml:space="preserve">Post
 October 16 </t>
  </si>
  <si>
    <t>Post 17 October16</t>
  </si>
  <si>
    <t>Post 17Oct2016</t>
  </si>
  <si>
    <t>July 17</t>
  </si>
  <si>
    <t>Al-Ka'im</t>
  </si>
  <si>
    <t>حي الفاروق</t>
  </si>
  <si>
    <t>Falluja</t>
  </si>
  <si>
    <t>Al Amiriyah</t>
  </si>
  <si>
    <t xml:space="preserve">العامرية </t>
  </si>
  <si>
    <t>Al-Amirya-Al Betra</t>
  </si>
  <si>
    <t>البترا</t>
  </si>
  <si>
    <t>Al-Amirya-Al Hmedin</t>
  </si>
  <si>
    <t>الحميدين</t>
  </si>
  <si>
    <t>Al-Amirya-Al Mouilha</t>
  </si>
  <si>
    <t>المويلحة</t>
  </si>
  <si>
    <t>Al-Amirya-Albu Jaber</t>
  </si>
  <si>
    <t>البوجابر</t>
  </si>
  <si>
    <t>Al-Amirya-Albu Jasim</t>
  </si>
  <si>
    <t>البوجاسم</t>
  </si>
  <si>
    <t>Al-Amirya-Albu Jwad</t>
  </si>
  <si>
    <t>البوجواد</t>
  </si>
  <si>
    <t>Al-Amirya-Albu Mrir</t>
  </si>
  <si>
    <t>البومرير</t>
  </si>
  <si>
    <t>Al-Amirya-Albu Saleh</t>
  </si>
  <si>
    <t>البوصالح</t>
  </si>
  <si>
    <t>Al-Amirya-Albu Salman</t>
  </si>
  <si>
    <t>البوسليمان</t>
  </si>
  <si>
    <t>Al-Amirya-Tal Ghatas</t>
  </si>
  <si>
    <t>تل غطاس</t>
  </si>
  <si>
    <t>Al-Ekhaa Compaund</t>
  </si>
  <si>
    <t>Albu Dhaher-Albu Dhaher</t>
  </si>
  <si>
    <t>البوظاهر</t>
  </si>
  <si>
    <t>Albu Hori</t>
  </si>
  <si>
    <t>البوحوري</t>
  </si>
  <si>
    <t>Amriyat Al-Fallujah Camp</t>
  </si>
  <si>
    <t>مخيم عامرية الفلوجة</t>
  </si>
  <si>
    <t>Bezabize Central Camp</t>
  </si>
  <si>
    <t>مخيم بزيبز المركزي</t>
  </si>
  <si>
    <t>Habbaniya Tourist City camp</t>
  </si>
  <si>
    <t>مخيم المدينة السياحية الحبانية</t>
  </si>
  <si>
    <t>Haditha</t>
  </si>
  <si>
    <t>Al Furat Complex</t>
  </si>
  <si>
    <t>مجمع الفرات</t>
  </si>
  <si>
    <t>Bani Dahir</t>
  </si>
  <si>
    <t>حي بني داهر</t>
  </si>
  <si>
    <t>Haqlaniyah-Hay Al-Faroq</t>
  </si>
  <si>
    <t>حي الفاروق-حقلانية</t>
  </si>
  <si>
    <t>حي العسكري</t>
  </si>
  <si>
    <t>Hay Al Haqlaniyah Qadim</t>
  </si>
  <si>
    <t>حي حقلانية القديمة</t>
  </si>
  <si>
    <t>حي السبحاني</t>
  </si>
  <si>
    <t>Hay Al Salam</t>
  </si>
  <si>
    <t>حي السلام</t>
  </si>
  <si>
    <t>Hay Al Saray</t>
  </si>
  <si>
    <t>حي السراي</t>
  </si>
  <si>
    <t>Hay Al Shuhadaa</t>
  </si>
  <si>
    <t>حي الشهداء</t>
  </si>
  <si>
    <t>Hay Al Shurta</t>
  </si>
  <si>
    <t>حي الشرطة</t>
  </si>
  <si>
    <t>Hay Al Yarmuk</t>
  </si>
  <si>
    <t>حي اليرموك</t>
  </si>
  <si>
    <t>Hay al-malab</t>
  </si>
  <si>
    <t>حي الملعب</t>
  </si>
  <si>
    <t>Hay Al-Mulameen</t>
  </si>
  <si>
    <t>حي المعلمين</t>
  </si>
  <si>
    <t>حي الرفاق</t>
  </si>
  <si>
    <t>Hay Al-Thamaniya</t>
  </si>
  <si>
    <t>حي الثمانية</t>
  </si>
  <si>
    <t>Heet</t>
  </si>
  <si>
    <t>الحي السكني</t>
  </si>
  <si>
    <t>Al Muhamdee</t>
  </si>
  <si>
    <t xml:space="preserve">المحمدي </t>
  </si>
  <si>
    <t>Al-Khaldiyah</t>
  </si>
  <si>
    <t xml:space="preserve">الخالدية </t>
  </si>
  <si>
    <t>Al-Mamora</t>
  </si>
  <si>
    <t>المعمورة</t>
  </si>
  <si>
    <t>Al-Qalqalah</t>
  </si>
  <si>
    <t xml:space="preserve">القلقة </t>
  </si>
  <si>
    <t>Al-Ummal</t>
  </si>
  <si>
    <t xml:space="preserve">العمال </t>
  </si>
  <si>
    <t>حي الاطفاء</t>
  </si>
  <si>
    <t>Hay al Jury</t>
  </si>
  <si>
    <t>الجري</t>
  </si>
  <si>
    <t>Hay Al-Jabal</t>
  </si>
  <si>
    <t xml:space="preserve">الجبل </t>
  </si>
  <si>
    <t>Hay Al-Qadisiyah</t>
  </si>
  <si>
    <t>القادسية</t>
  </si>
  <si>
    <t>Hay Al-Zuhoor</t>
  </si>
  <si>
    <t>حي الزهور</t>
  </si>
  <si>
    <t>Mualmeen</t>
  </si>
  <si>
    <t>المعلمين</t>
  </si>
  <si>
    <t>The first jamaiya</t>
  </si>
  <si>
    <t>الجمعية الاولى</t>
  </si>
  <si>
    <t>Ramadi</t>
  </si>
  <si>
    <t>السبعة كيلو-المجمع السكني</t>
  </si>
  <si>
    <t xml:space="preserve">ابو فليس </t>
  </si>
  <si>
    <t>Al Khulafaa</t>
  </si>
  <si>
    <t>الخلفاء</t>
  </si>
  <si>
    <t>الصوفية</t>
  </si>
  <si>
    <t>العروبة</t>
  </si>
  <si>
    <t>Al-Jeraishi</t>
  </si>
  <si>
    <t>الجرايشي</t>
  </si>
  <si>
    <t>Al-Shuhadaa</t>
  </si>
  <si>
    <t>Hay Al-Madani</t>
  </si>
  <si>
    <t xml:space="preserve">الحي المدني </t>
  </si>
  <si>
    <t>Hay Al-Salam</t>
  </si>
  <si>
    <t>السلام</t>
  </si>
  <si>
    <t>Hay Al-Umal</t>
  </si>
  <si>
    <t xml:space="preserve">حي العمال </t>
  </si>
  <si>
    <t>Kilo 18</t>
  </si>
  <si>
    <t>كيلو 18</t>
  </si>
  <si>
    <t>الخمسة كيلو</t>
  </si>
  <si>
    <t>Qadisiya-1</t>
  </si>
  <si>
    <t>القادسية الاولى</t>
  </si>
  <si>
    <t>Sin Al-Thubban</t>
  </si>
  <si>
    <t>سن الذبان</t>
  </si>
  <si>
    <t>Warar</t>
  </si>
  <si>
    <t>الورار</t>
  </si>
  <si>
    <t>زوية الذبان</t>
  </si>
  <si>
    <t>Al-Mahawil</t>
  </si>
  <si>
    <t>Abo Blaw</t>
  </si>
  <si>
    <t>أبو بلاو</t>
  </si>
  <si>
    <t>Abu Sudairah</t>
  </si>
  <si>
    <t>ابو سديره</t>
  </si>
  <si>
    <t>Al Mansoory</t>
  </si>
  <si>
    <t>المنصوري</t>
  </si>
  <si>
    <t>Al Qasabah Al Kadimah</t>
  </si>
  <si>
    <t>Al Rashayed</t>
  </si>
  <si>
    <t>الرشايد</t>
  </si>
  <si>
    <t>Al-Jadrjy</t>
  </si>
  <si>
    <t>الجادرجي</t>
  </si>
  <si>
    <t>Al-Jazra</t>
  </si>
  <si>
    <t>الجزرا</t>
  </si>
  <si>
    <t>Al-lubat</t>
  </si>
  <si>
    <t>اللوبات</t>
  </si>
  <si>
    <t>Al-Mahawil-Hay Al-Mashtal</t>
  </si>
  <si>
    <t>حي المشتل</t>
  </si>
  <si>
    <t>Alazawea</t>
  </si>
  <si>
    <t>العزاويه</t>
  </si>
  <si>
    <t>Albada-hay Alaskari</t>
  </si>
  <si>
    <t>البدع-حي العسكري</t>
  </si>
  <si>
    <t>Barnon-Al Qasabah Al kadima</t>
  </si>
  <si>
    <t>برنون-القصبه القديمه</t>
  </si>
  <si>
    <t>Btt Merry</t>
  </si>
  <si>
    <t>بتت ميري</t>
  </si>
  <si>
    <t>Btt Wahby</t>
  </si>
  <si>
    <t>بتت وهبي</t>
  </si>
  <si>
    <t>Findhiya</t>
  </si>
  <si>
    <t>الفنديه</t>
  </si>
  <si>
    <t>Hay Al Farook</t>
  </si>
  <si>
    <t>Hay Al Rasool</t>
  </si>
  <si>
    <t>حي الرسول</t>
  </si>
  <si>
    <t>Hay Al Zahraa</t>
  </si>
  <si>
    <t>حي الزهراء-المركز-</t>
  </si>
  <si>
    <t>Hay Al-Ameer-Al Niel</t>
  </si>
  <si>
    <t>حي الامير-النيل</t>
  </si>
  <si>
    <t>Hay Al-Askari</t>
  </si>
  <si>
    <t xml:space="preserve">حي العسكري </t>
  </si>
  <si>
    <t>Hay Al-Intisar</t>
  </si>
  <si>
    <t>حي الانتصار</t>
  </si>
  <si>
    <t>Hay Al-Jamhoreiah</t>
  </si>
  <si>
    <t>حي الجمهوري</t>
  </si>
  <si>
    <t>Hay Al-Murtadha</t>
  </si>
  <si>
    <t>حي المرتضى</t>
  </si>
  <si>
    <t>حي الموظفين</t>
  </si>
  <si>
    <t>Hay Al-Neil</t>
  </si>
  <si>
    <t>حي النيل</t>
  </si>
  <si>
    <t>Hay Al-Noor</t>
  </si>
  <si>
    <t>حي النور</t>
  </si>
  <si>
    <t>Jabla Al Imam Village</t>
  </si>
  <si>
    <t>جبلة-الامام</t>
  </si>
  <si>
    <t>Al-Musayab</t>
  </si>
  <si>
    <t>Abo Luka</t>
  </si>
  <si>
    <t>ناحيه الاسكندريه-ابولوكه</t>
  </si>
  <si>
    <t>Al Abtan</t>
  </si>
  <si>
    <t>ال عبطان</t>
  </si>
  <si>
    <t>Al Gelawia</t>
  </si>
  <si>
    <t>الجيلاوية</t>
  </si>
  <si>
    <t>Al Ghadeer 2</t>
  </si>
  <si>
    <t>الغدير 2</t>
  </si>
  <si>
    <t>Al Hamiyah Al Amer Village</t>
  </si>
  <si>
    <t>الحامية-قرية ال عامر</t>
  </si>
  <si>
    <t>Al Hamiyah Al Sheab Village</t>
  </si>
  <si>
    <t>الحامية-قرية ال شهاب</t>
  </si>
  <si>
    <t>Al Hamiyah-Al Mutaqedin 1</t>
  </si>
  <si>
    <t>الحامية-المتقاعدين 1</t>
  </si>
  <si>
    <t>Al Hamiyah-Al Mutaqedin 2</t>
  </si>
  <si>
    <t>الحامية-المتقاعدين 2</t>
  </si>
  <si>
    <t>Al Hamiyah-Oayef village</t>
  </si>
  <si>
    <t>الحامية-قرية عويف</t>
  </si>
  <si>
    <t>Al Iskandariyah Area-Mowelha</t>
  </si>
  <si>
    <t>ناحية الاسكندرية-مويلحة</t>
  </si>
  <si>
    <t>القصبه القديمه</t>
  </si>
  <si>
    <t>Al Qasabah Al Kadimah-Al-Iskandaria-</t>
  </si>
  <si>
    <t>القصبه القديمه-الاسكندرية-</t>
  </si>
  <si>
    <t>Al-Iskandaria-Hay Al-Muthana</t>
  </si>
  <si>
    <t>حي المثنى</t>
  </si>
  <si>
    <t>Al-Iskandaria-Shawara AlKhudhir</t>
  </si>
  <si>
    <t>شوارع الخضر</t>
  </si>
  <si>
    <t>Al-Jazirah-Al Eskandariya</t>
  </si>
  <si>
    <t>ناحيه الاسكندريه-الجزيره</t>
  </si>
  <si>
    <t>Al-Shoyokh</t>
  </si>
  <si>
    <t>الشيوخ</t>
  </si>
  <si>
    <t>Al-Sikak 2</t>
  </si>
  <si>
    <t>السكك-2</t>
  </si>
  <si>
    <t>Albo Hamdan</t>
  </si>
  <si>
    <t>البو حمدان</t>
  </si>
  <si>
    <t>Awlad Kazim</t>
  </si>
  <si>
    <t>اولاد كاظم</t>
  </si>
  <si>
    <t>Hay Aday-Al Eskandariya</t>
  </si>
  <si>
    <t>ناحيه الاسكندريه-حي عداي</t>
  </si>
  <si>
    <t>Hay Al Amer</t>
  </si>
  <si>
    <t>حي الامير</t>
  </si>
  <si>
    <t>Hay Al Ataba</t>
  </si>
  <si>
    <t>حي الاطباء</t>
  </si>
  <si>
    <t>Hay Al Baladea</t>
  </si>
  <si>
    <t>حي البلديه</t>
  </si>
  <si>
    <t>Hay Al Ghadeer 1</t>
  </si>
  <si>
    <t>الغدير 1</t>
  </si>
  <si>
    <t>Hay Al Ghadeer 3</t>
  </si>
  <si>
    <t>الغدير 3</t>
  </si>
  <si>
    <t>Hay Al Ghadeer 4</t>
  </si>
  <si>
    <t>الغدير 4</t>
  </si>
  <si>
    <t>Hay Al Moatnen 1</t>
  </si>
  <si>
    <t>حي المواطنين 1</t>
  </si>
  <si>
    <t>Hay Al Moatnen 2</t>
  </si>
  <si>
    <t>حي المواطنين 2</t>
  </si>
  <si>
    <t>Hay Al Moatnen 3</t>
  </si>
  <si>
    <t>حي المواطنين 3</t>
  </si>
  <si>
    <t>Hay Al Mowadhafeen</t>
  </si>
  <si>
    <t>Hay Al Nasir</t>
  </si>
  <si>
    <t>حي النصر</t>
  </si>
  <si>
    <t>Hay Al Quds-Al Eskandariya</t>
  </si>
  <si>
    <t>ناحيه الاسكندريه-حي القدس</t>
  </si>
  <si>
    <t>Hay Al Ray</t>
  </si>
  <si>
    <t>ناحيه السده-حي الري</t>
  </si>
  <si>
    <t>Hay Al-Anwar-Al Eskandariya</t>
  </si>
  <si>
    <t>ناحيه الاسكندريه-حي الانوار</t>
  </si>
  <si>
    <t>الجمهوريه</t>
  </si>
  <si>
    <t>Hay Al-Mustafa</t>
  </si>
  <si>
    <t>حي المصطفى</t>
  </si>
  <si>
    <t>Hay Al-Rafedain</t>
  </si>
  <si>
    <t>ناحيه الاسكندريه-حي الرافدين</t>
  </si>
  <si>
    <t>Hay Al-Risalah-Al Eskandariya</t>
  </si>
  <si>
    <t>ناحيه الاسكندريه-حي الرساله</t>
  </si>
  <si>
    <t>حي السجاد</t>
  </si>
  <si>
    <t>Hay Al-Shuhadaa</t>
  </si>
  <si>
    <t>حي العباس</t>
  </si>
  <si>
    <t>Hay Alaskarey</t>
  </si>
  <si>
    <t>ناحيه الاسكندريه-حي العسكري</t>
  </si>
  <si>
    <t>Hay Alaskary-AlThaghet</t>
  </si>
  <si>
    <t>حي العسكري-الضغط</t>
  </si>
  <si>
    <t>Hay AlHussein</t>
  </si>
  <si>
    <t>حي الحسين</t>
  </si>
  <si>
    <t>Hay Almualmeen 1</t>
  </si>
  <si>
    <t>حي المعلمين 1</t>
  </si>
  <si>
    <t>Hay Almualmeen 2</t>
  </si>
  <si>
    <t>حي المعلمين 2</t>
  </si>
  <si>
    <t>Hay Almualmeen 3</t>
  </si>
  <si>
    <t>حي المعلمين 3</t>
  </si>
  <si>
    <t>Hitten Complex</t>
  </si>
  <si>
    <t>اسكان حطين</t>
  </si>
  <si>
    <t>Hur Husaein</t>
  </si>
  <si>
    <t>هور حسين</t>
  </si>
  <si>
    <t>Mafrg AlSada</t>
  </si>
  <si>
    <t>مفرق السده</t>
  </si>
  <si>
    <t>Sadat Al-Ameir</t>
  </si>
  <si>
    <t>السدة-حي الامير</t>
  </si>
  <si>
    <t>Saddat Al Zahraa</t>
  </si>
  <si>
    <t>ناحية السده-حي الزهراء</t>
  </si>
  <si>
    <t>Shara AlSada Alkadeem</t>
  </si>
  <si>
    <t>شارع السده القديم</t>
  </si>
  <si>
    <t>Hashimiya</t>
  </si>
  <si>
    <t>الانصار</t>
  </si>
  <si>
    <t>Al Dabla</t>
  </si>
  <si>
    <t>الدبلة</t>
  </si>
  <si>
    <t>Al Husen-Al Midhatiya</t>
  </si>
  <si>
    <t>ناحية المدحتية-الحصين</t>
  </si>
  <si>
    <t>Al Madhatiyah-Al Qasabah Al kadimah</t>
  </si>
  <si>
    <t>ناحية المدحتيه-القصبة القديمة</t>
  </si>
  <si>
    <t>Al Madhatiyah-Hay Imam</t>
  </si>
  <si>
    <t>ناحية المدحتية-حي الامام</t>
  </si>
  <si>
    <t>Al Midhatiyah-Hay Al Zahraa</t>
  </si>
  <si>
    <t>ناحية المدحتية-حي الزهراء</t>
  </si>
  <si>
    <t>Al Nasser</t>
  </si>
  <si>
    <t>ناحية الشوملي-النصر</t>
  </si>
  <si>
    <t>Al Qasim-Al Askari</t>
  </si>
  <si>
    <t>ناحية القاسم-العسكري</t>
  </si>
  <si>
    <t>Al Qassim-Hay Al Sinaee</t>
  </si>
  <si>
    <t>ناحية القاسم-حي الصناعي</t>
  </si>
  <si>
    <t>Al Shomaly-Hay Al Sada</t>
  </si>
  <si>
    <t>ناحية الشوملي-حي الساده</t>
  </si>
  <si>
    <t>Al Shoumly-Al Jawadia village</t>
  </si>
  <si>
    <t>ناحية الشوملي-قرية الجواديه</t>
  </si>
  <si>
    <t>Al Taleeaa-Al Gamiea wa Al Hussainea</t>
  </si>
  <si>
    <t>ناحية الطليعة-الجمعية والحسينية</t>
  </si>
  <si>
    <t>Al-ibrahemiyah</t>
  </si>
  <si>
    <t>الابراهيمية</t>
  </si>
  <si>
    <t>Al-rawashed</t>
  </si>
  <si>
    <t>الرواشد</t>
  </si>
  <si>
    <t>حي الغدير</t>
  </si>
  <si>
    <t>Hay Al Ameer-1</t>
  </si>
  <si>
    <t>Hay Al Intifadheh</t>
  </si>
  <si>
    <t>مركز القضاء-الانتفاضه</t>
  </si>
  <si>
    <t>Hay Al Zahraa-Qassim</t>
  </si>
  <si>
    <t>حي الزهراء-القاسم</t>
  </si>
  <si>
    <t>Hay al-jasmiyah</t>
  </si>
  <si>
    <t>الجاسمية</t>
  </si>
  <si>
    <t>Hay al-jidedah</t>
  </si>
  <si>
    <t>الجديدة</t>
  </si>
  <si>
    <t>Hay Al-Sadiq</t>
  </si>
  <si>
    <t>حي الصادق</t>
  </si>
  <si>
    <t>Hay al-tahady</t>
  </si>
  <si>
    <t>ناحية الشوملي-التحدي</t>
  </si>
  <si>
    <t>Hay al-wihdah</t>
  </si>
  <si>
    <t>الوحدة</t>
  </si>
  <si>
    <t>Hay Al-Zahraa</t>
  </si>
  <si>
    <t>Hay alosh</t>
  </si>
  <si>
    <t>حي علوش</t>
  </si>
  <si>
    <t>Hay khirbatt</t>
  </si>
  <si>
    <t>ناحية القاسم-خرباط</t>
  </si>
  <si>
    <t>Hay Um Ayash</t>
  </si>
  <si>
    <t>ناحية القاسم-ام عياش</t>
  </si>
  <si>
    <t>Khalaf al-imam</t>
  </si>
  <si>
    <t>خلف الامام</t>
  </si>
  <si>
    <t>Musa Al Kadhum</t>
  </si>
  <si>
    <t>حي موسى الكاظم</t>
  </si>
  <si>
    <t>Hilla</t>
  </si>
  <si>
    <t>Abi Gharaq-Ahmed Ben Kadhum</t>
  </si>
  <si>
    <t>قرية احمد بن كاظم</t>
  </si>
  <si>
    <t>Abi Gharaq-Albu Hamdan</t>
  </si>
  <si>
    <t>قرية البو حمدان</t>
  </si>
  <si>
    <t>Abu Khastawi</t>
  </si>
  <si>
    <t>أبو خستاوي</t>
  </si>
  <si>
    <t>Al Abodiya</t>
  </si>
  <si>
    <t>العبوديه</t>
  </si>
  <si>
    <t>Al adel</t>
  </si>
  <si>
    <t>العدل</t>
  </si>
  <si>
    <t>Al Akrameen</t>
  </si>
  <si>
    <t>الاكرمين</t>
  </si>
  <si>
    <t>Al Bakraly-3</t>
  </si>
  <si>
    <t>البكرلي-3</t>
  </si>
  <si>
    <t>Al Baqer</t>
  </si>
  <si>
    <t>قرية الباقر</t>
  </si>
  <si>
    <t>Al Daghaghla-Abu Gharaq</t>
  </si>
  <si>
    <t>ناحية ابي غرق-الدغاغله</t>
  </si>
  <si>
    <t>Al Hamam</t>
  </si>
  <si>
    <t>ناحية ابي غرق-الحمام</t>
  </si>
  <si>
    <t>Al Hay Al Askary-Street 80</t>
  </si>
  <si>
    <t>العسكري-80</t>
  </si>
  <si>
    <t>Al Hukam Al Rafdeen</t>
  </si>
  <si>
    <t>الحكام والرافدين</t>
  </si>
  <si>
    <t>Al Ibrahimiyah-Al Mashtah</t>
  </si>
  <si>
    <t>الابراهيمية والماشطة</t>
  </si>
  <si>
    <t>Al Iskan</t>
  </si>
  <si>
    <t>الاسكان</t>
  </si>
  <si>
    <t>Al Jamjamah</t>
  </si>
  <si>
    <t>الجمجمة</t>
  </si>
  <si>
    <t>Al jazaer</t>
  </si>
  <si>
    <t>Al Jazrah-Siha</t>
  </si>
  <si>
    <t>الجزره والصحة</t>
  </si>
  <si>
    <t>Al Kafal Area-Al Shahbiyah</t>
  </si>
  <si>
    <t>ناحية الكفل-الشهابية</t>
  </si>
  <si>
    <t>Al Kafal-Khan Sayed Nour</t>
  </si>
  <si>
    <t>ناحية الكفل-خان سيد نور</t>
  </si>
  <si>
    <t>Al Kafel-7 Nissan</t>
  </si>
  <si>
    <t>ناحية الكفل-7 نيسان</t>
  </si>
  <si>
    <t>Al Kefel-Al Qasaba Al Qadima</t>
  </si>
  <si>
    <t>ناحية الكفل-القصبة القديمة</t>
  </si>
  <si>
    <t>Al Kifil-Al Meghadhbia</t>
  </si>
  <si>
    <t>ناحية الكفل-المغضبيه</t>
  </si>
  <si>
    <t>Al Kifil-Hay Al Zahraa</t>
  </si>
  <si>
    <t>الكفل-حي الزهراء</t>
  </si>
  <si>
    <t>Al Marana</t>
  </si>
  <si>
    <t>المرانة</t>
  </si>
  <si>
    <t>الملحق</t>
  </si>
  <si>
    <t>Al Neshaish</t>
  </si>
  <si>
    <t>النشيش</t>
  </si>
  <si>
    <t>الرشيدية</t>
  </si>
  <si>
    <t>Al Shuhadaa</t>
  </si>
  <si>
    <t>Al Tuhmazya</t>
  </si>
  <si>
    <t>الطهمازيه</t>
  </si>
  <si>
    <t>Al Wardiyah-Dakhel</t>
  </si>
  <si>
    <t>الوردية-داخل</t>
  </si>
  <si>
    <t>Al-Askari-Al Wesiya</t>
  </si>
  <si>
    <t>العسكري-الويسية</t>
  </si>
  <si>
    <t>Al-Kifil-Hay Al Ghadeer</t>
  </si>
  <si>
    <t>Al-Kifil-Hay Al Hussain</t>
  </si>
  <si>
    <t>حي الحسين-الكفل</t>
  </si>
  <si>
    <t>Al-Muhandiseen 4</t>
  </si>
  <si>
    <t>حي المهندسين-4</t>
  </si>
  <si>
    <t>Al-Shawi</t>
  </si>
  <si>
    <t>الشاوي</t>
  </si>
  <si>
    <t>Al-Thawra Al-Sharqia</t>
  </si>
  <si>
    <t>مركز القضاء-الثورة الشرقية</t>
  </si>
  <si>
    <t>Alataig</t>
  </si>
  <si>
    <t>العتايج</t>
  </si>
  <si>
    <t>Albo Alyan</t>
  </si>
  <si>
    <t>البو عليان</t>
  </si>
  <si>
    <t>Albo Hamir</t>
  </si>
  <si>
    <t>البو حمير</t>
  </si>
  <si>
    <t>AlMarashdah Villge</t>
  </si>
  <si>
    <t>قرية المراشده</t>
  </si>
  <si>
    <t>Bustan Al-helu</t>
  </si>
  <si>
    <t>بستان الحلو</t>
  </si>
  <si>
    <t>Hay Al Abbas</t>
  </si>
  <si>
    <t>Hay Al Asatitha</t>
  </si>
  <si>
    <t>الاساتذه</t>
  </si>
  <si>
    <t>Hay Al Dhubbat</t>
  </si>
  <si>
    <t>حي الضباط</t>
  </si>
  <si>
    <t>Hay Al Hussain</t>
  </si>
  <si>
    <t>Hay Al Hussain-Abu Gharaq</t>
  </si>
  <si>
    <t>ناحية ابي غرق-حي الحسين</t>
  </si>
  <si>
    <t>Hay Al Jawad</t>
  </si>
  <si>
    <t>حي الجواد</t>
  </si>
  <si>
    <t>Hay Al Safeer-Al Kifil</t>
  </si>
  <si>
    <t>حي السفير-الكفل</t>
  </si>
  <si>
    <t>Hay Al-Akrad</t>
  </si>
  <si>
    <t>حي الاكراد</t>
  </si>
  <si>
    <t>Hay al-amer</t>
  </si>
  <si>
    <t>Hay Al-Bakarley 4</t>
  </si>
  <si>
    <t>البكرلي-4</t>
  </si>
  <si>
    <t>Hay Al-Muhandiseen 2</t>
  </si>
  <si>
    <t>حي المهندسين-2</t>
  </si>
  <si>
    <t>المحاربين</t>
  </si>
  <si>
    <t>Hay al-salam</t>
  </si>
  <si>
    <t>Hay Alzahraa</t>
  </si>
  <si>
    <t>ناحية ابي غرق-حي الزهراء</t>
  </si>
  <si>
    <t>Hilla Area-Hay Imam</t>
  </si>
  <si>
    <t>منطقة الحلة-حي الأمام</t>
  </si>
  <si>
    <t>Hilla-Nader Al Baker</t>
  </si>
  <si>
    <t>نادر-الباقر</t>
  </si>
  <si>
    <t>Kureteah</t>
  </si>
  <si>
    <t>كريطعه</t>
  </si>
  <si>
    <t>Muhaizem 2-Abu Gharaq</t>
  </si>
  <si>
    <t>ناحية ابي غرق-محيزم 2</t>
  </si>
  <si>
    <t>Mustafa Ragheb</t>
  </si>
  <si>
    <t>مصطفى راغب</t>
  </si>
  <si>
    <t>Nader 3-Al Sajad</t>
  </si>
  <si>
    <t>نادر3-السجاد</t>
  </si>
  <si>
    <t>Qas Sowelem-Compound</t>
  </si>
  <si>
    <t>كص سويلم-المجمع السكني</t>
  </si>
  <si>
    <t>Saif Saad</t>
  </si>
  <si>
    <t>سيف سعد</t>
  </si>
  <si>
    <t>Tajia village</t>
  </si>
  <si>
    <t>التاجية</t>
  </si>
  <si>
    <t>Zighaib al-arab-1</t>
  </si>
  <si>
    <t>ناحية ابي غرق-زغيب العرب</t>
  </si>
  <si>
    <t>Abu Ghraib</t>
  </si>
  <si>
    <t>1 Athar</t>
  </si>
  <si>
    <t>1 اذار</t>
  </si>
  <si>
    <t>1 Huzairan</t>
  </si>
  <si>
    <t>1 حزيران</t>
  </si>
  <si>
    <t>Abo Moniaser</t>
  </si>
  <si>
    <t>ابو منيصير</t>
  </si>
  <si>
    <t>Akr koof-14</t>
  </si>
  <si>
    <t>عكركوف(14)</t>
  </si>
  <si>
    <t>Al Ayashiyah 9</t>
  </si>
  <si>
    <t>العياشية-9</t>
  </si>
  <si>
    <t>Al Emarat Al Sakaniyah</t>
  </si>
  <si>
    <t>العمارات السكنية</t>
  </si>
  <si>
    <t>Al Hamdaniyah</t>
  </si>
  <si>
    <t>الحمدانية</t>
  </si>
  <si>
    <t>Al Thaniya</t>
  </si>
  <si>
    <t>الثنية</t>
  </si>
  <si>
    <t>Al Zaidan-Al sultan village</t>
  </si>
  <si>
    <t>الزيدان-قرية السلطان</t>
  </si>
  <si>
    <t>Al Zaidan-Zawaba village</t>
  </si>
  <si>
    <t>الزيدان-قرية زوبع</t>
  </si>
  <si>
    <t>Al Zaitoon</t>
  </si>
  <si>
    <t>الزيتون</t>
  </si>
  <si>
    <t>Al-Amal camp</t>
  </si>
  <si>
    <t>مخيم الامل</t>
  </si>
  <si>
    <t>Al-Dhahab Al-Abyadh</t>
  </si>
  <si>
    <t>الذهب الأبيض</t>
  </si>
  <si>
    <t>Al-Nasir Walsalam-1000</t>
  </si>
  <si>
    <t>النصر والسلام-1000</t>
  </si>
  <si>
    <t>Al-Nasir Walsalam-2000</t>
  </si>
  <si>
    <t>النصر والسلام-2000</t>
  </si>
  <si>
    <t>Al-Nasir Walsalam-3000</t>
  </si>
  <si>
    <t>النصر والسلام-3000</t>
  </si>
  <si>
    <t>Al-Nasir Walsalam-4000</t>
  </si>
  <si>
    <t>النصر والسلام-4000</t>
  </si>
  <si>
    <t>Al-Nasir Walsalam-5000</t>
  </si>
  <si>
    <t>النصر والسلام-5000</t>
  </si>
  <si>
    <t>Al-Nasir Walsalam-6000</t>
  </si>
  <si>
    <t>النصر والسلام-6000</t>
  </si>
  <si>
    <t>Al-Nasir Walsalam-7000</t>
  </si>
  <si>
    <t>النصر والسلام-7000</t>
  </si>
  <si>
    <t>Al-Nasir Walsalam-8000</t>
  </si>
  <si>
    <t>النصر والسلام-8000</t>
  </si>
  <si>
    <t>Al-Resalah</t>
  </si>
  <si>
    <t>الرسالة</t>
  </si>
  <si>
    <t>Alahel Camp</t>
  </si>
  <si>
    <t>مخيم الاهل</t>
  </si>
  <si>
    <t>Arab Tahoos</t>
  </si>
  <si>
    <t>عرب طاحوس</t>
  </si>
  <si>
    <t>Door Al hummer</t>
  </si>
  <si>
    <t>دور الحمر</t>
  </si>
  <si>
    <t>Hamid Al Hasan</t>
  </si>
  <si>
    <t>حميد الحسن</t>
  </si>
  <si>
    <t>Hay Al Asreyah</t>
  </si>
  <si>
    <t>حي العصرية</t>
  </si>
  <si>
    <t>Hay Al Ghawassah</t>
  </si>
  <si>
    <t>حي الغواصة</t>
  </si>
  <si>
    <t>Hay Al Sadiq</t>
  </si>
  <si>
    <t>حي الصديق</t>
  </si>
  <si>
    <t>Hay Al Zohor</t>
  </si>
  <si>
    <t>حي الشهداء-خان ضاري</t>
  </si>
  <si>
    <t>Hay Ashbilia</t>
  </si>
  <si>
    <t>حي اشبيليه</t>
  </si>
  <si>
    <t>Hay Sinaa</t>
  </si>
  <si>
    <t>حي سيناء</t>
  </si>
  <si>
    <t>Hay-Busatan</t>
  </si>
  <si>
    <t>حي البستان</t>
  </si>
  <si>
    <t>Joabh-3</t>
  </si>
  <si>
    <t>جويبة-3</t>
  </si>
  <si>
    <t>Kadem Al Athab village</t>
  </si>
  <si>
    <t>كاظم العذاب</t>
  </si>
  <si>
    <t>Khan Dhari Center</t>
  </si>
  <si>
    <t>خان ضاري مركز</t>
  </si>
  <si>
    <t>Khernabat-South</t>
  </si>
  <si>
    <t>North Khernabat</t>
  </si>
  <si>
    <t>خرنابات الشمالية</t>
  </si>
  <si>
    <t>Sayed Sajit</t>
  </si>
  <si>
    <t>سيد ساجت</t>
  </si>
  <si>
    <t>Shuhada Markza-Shuhadda the first</t>
  </si>
  <si>
    <t>الشهداءالمركز-شهداء الاولى</t>
  </si>
  <si>
    <t>Shuhada Markza-Shuhadda the third</t>
  </si>
  <si>
    <t>الشهداء المركز-شهداء الثالثة</t>
  </si>
  <si>
    <t>Shuhada Markza-Shuhdda the second</t>
  </si>
  <si>
    <t>الشهداء المركز-شهداء الثانية</t>
  </si>
  <si>
    <t>Adhamia</t>
  </si>
  <si>
    <t>Abu Guffa Village</t>
  </si>
  <si>
    <t>قرية أبو كفة</t>
  </si>
  <si>
    <t>Adhamia-308</t>
  </si>
  <si>
    <t>الاعظمية-308</t>
  </si>
  <si>
    <t>Adhamia-312</t>
  </si>
  <si>
    <t>الاعظمية-312</t>
  </si>
  <si>
    <t>Adhamia-314</t>
  </si>
  <si>
    <t>الأعظمية-314</t>
  </si>
  <si>
    <t>Adhamiya-310</t>
  </si>
  <si>
    <t>الاعظمية-310</t>
  </si>
  <si>
    <t>Al Arakna Village</t>
  </si>
  <si>
    <t>العراكنة</t>
  </si>
  <si>
    <t>قرية البدعة</t>
  </si>
  <si>
    <t>Al Basaten Al sadren complex</t>
  </si>
  <si>
    <t>البساتين-مجمع الصدرين</t>
  </si>
  <si>
    <t>Al Basaten-346</t>
  </si>
  <si>
    <t>البساتين-346</t>
  </si>
  <si>
    <t>Al Basaten-348</t>
  </si>
  <si>
    <t>البساتين-348</t>
  </si>
  <si>
    <t>Al Basaten-362</t>
  </si>
  <si>
    <t>البساتين-362</t>
  </si>
  <si>
    <t>Al Biydhaa-315</t>
  </si>
  <si>
    <t>البيضاء-315</t>
  </si>
  <si>
    <t>Al Biydhaa-319</t>
  </si>
  <si>
    <t>البيضاء-319</t>
  </si>
  <si>
    <t>Al Biydhaa-321</t>
  </si>
  <si>
    <t>البيضاء-321</t>
  </si>
  <si>
    <t>Al Bu Hayat Village</t>
  </si>
  <si>
    <t>قرية البوحياة</t>
  </si>
  <si>
    <t>Al Haj Jasim Village</t>
  </si>
  <si>
    <t>قرية الحاج جاسم</t>
  </si>
  <si>
    <t>Al Haj Sabur Village</t>
  </si>
  <si>
    <t>قرية الحاج صبر</t>
  </si>
  <si>
    <t>Al Husayniya-221</t>
  </si>
  <si>
    <t>الحسينية-221</t>
  </si>
  <si>
    <t>Al Husayniya-225</t>
  </si>
  <si>
    <t>الحسينية-225</t>
  </si>
  <si>
    <t>Al Hussainiya-202</t>
  </si>
  <si>
    <t>الحسينية-202</t>
  </si>
  <si>
    <t>Al Hussainiya-212</t>
  </si>
  <si>
    <t>الحسينية-212</t>
  </si>
  <si>
    <t>Al Hussainiya-213</t>
  </si>
  <si>
    <t>الحسينية-213</t>
  </si>
  <si>
    <t>Al Hussainiya-216</t>
  </si>
  <si>
    <t>الحسينية-216</t>
  </si>
  <si>
    <t>Al Hussainiya-217</t>
  </si>
  <si>
    <t>الحسينية-217</t>
  </si>
  <si>
    <t>Al Hussainiya-219</t>
  </si>
  <si>
    <t>الحسينية-219</t>
  </si>
  <si>
    <t>Al Hussayniya-207</t>
  </si>
  <si>
    <t>الحسينية-207</t>
  </si>
  <si>
    <t>Al Hussayniya-210</t>
  </si>
  <si>
    <t>الحسينية-210</t>
  </si>
  <si>
    <t>Al Hussayniya-218</t>
  </si>
  <si>
    <t>الحسينية-218</t>
  </si>
  <si>
    <t>Al Hussayniya-222</t>
  </si>
  <si>
    <t>الحسينية-222</t>
  </si>
  <si>
    <t>Al Hussiniyah-223</t>
  </si>
  <si>
    <t>الحسينية-223</t>
  </si>
  <si>
    <t>Al Kouther</t>
  </si>
  <si>
    <t>الكوثر</t>
  </si>
  <si>
    <t>Al Maghreb-302</t>
  </si>
  <si>
    <t>المغرب-302</t>
  </si>
  <si>
    <t>Al Maghreb-304</t>
  </si>
  <si>
    <t>المغرب-304</t>
  </si>
  <si>
    <t>Al Marasma village</t>
  </si>
  <si>
    <t>قرية المراسمة</t>
  </si>
  <si>
    <t>Al Noor Village</t>
  </si>
  <si>
    <t>قرية النور</t>
  </si>
  <si>
    <t>Al Qahira-307</t>
  </si>
  <si>
    <t>القاهرة-307</t>
  </si>
  <si>
    <t>Al Qahira-309</t>
  </si>
  <si>
    <t>القاهرة-309</t>
  </si>
  <si>
    <t>Al Qahira-311</t>
  </si>
  <si>
    <t>القاهرة-311</t>
  </si>
  <si>
    <t>Al Qahira-313</t>
  </si>
  <si>
    <t>القاهرة-313</t>
  </si>
  <si>
    <t>Al Qahira-322</t>
  </si>
  <si>
    <t>القاهرة-322</t>
  </si>
  <si>
    <t>Al Qahira-324</t>
  </si>
  <si>
    <t>القاهرة-324</t>
  </si>
  <si>
    <t>Al Qudus</t>
  </si>
  <si>
    <t xml:space="preserve">القدس </t>
  </si>
  <si>
    <t>Al Salam</t>
  </si>
  <si>
    <t>Al Shaab-333</t>
  </si>
  <si>
    <t>الشعب-333</t>
  </si>
  <si>
    <t>AL Shaab-335</t>
  </si>
  <si>
    <t>الشعب-335</t>
  </si>
  <si>
    <t>AL Shaab-337</t>
  </si>
  <si>
    <t>الشعب-337</t>
  </si>
  <si>
    <t>Al Shaab-339</t>
  </si>
  <si>
    <t>الشعب-339</t>
  </si>
  <si>
    <t>AL Shaab-343</t>
  </si>
  <si>
    <t>الشعب-343</t>
  </si>
  <si>
    <t>Al Shaab-351</t>
  </si>
  <si>
    <t>الشعب-351</t>
  </si>
  <si>
    <t>AL Shaab-357</t>
  </si>
  <si>
    <t>الشعب-357</t>
  </si>
  <si>
    <t>Al Shamasiyah-316</t>
  </si>
  <si>
    <t>الشماسية-316</t>
  </si>
  <si>
    <t>Al Shamasiyah-318</t>
  </si>
  <si>
    <t>الشماسية-318</t>
  </si>
  <si>
    <t>Al Shamasiyah-320</t>
  </si>
  <si>
    <t>الشماسية-320</t>
  </si>
  <si>
    <t>Al Waha Al Khadhraa Village</t>
  </si>
  <si>
    <t>قرية الواحة الخضراء</t>
  </si>
  <si>
    <t>Al Waziriyah-301</t>
  </si>
  <si>
    <t>الوزيرية-301</t>
  </si>
  <si>
    <t>Ali Al Faiadh village</t>
  </si>
  <si>
    <t>قرية علي الفياض</t>
  </si>
  <si>
    <t>Bob Al Sham-361</t>
  </si>
  <si>
    <t>بوب الشام-361</t>
  </si>
  <si>
    <t>Bob Al Sham-365</t>
  </si>
  <si>
    <t>بوب الشام-365</t>
  </si>
  <si>
    <t>Bob Al Sham-367</t>
  </si>
  <si>
    <t>بوب الشام-367</t>
  </si>
  <si>
    <t>Bob Al Sham-388</t>
  </si>
  <si>
    <t>بوب الشام-388</t>
  </si>
  <si>
    <t>Gumaira Village</t>
  </si>
  <si>
    <t>قرية كميرة</t>
  </si>
  <si>
    <t>Hay Al Rabee-332</t>
  </si>
  <si>
    <t>حي الربيع-332</t>
  </si>
  <si>
    <t>Hay Al Rabee-334</t>
  </si>
  <si>
    <t>حي الربيع-334</t>
  </si>
  <si>
    <t>Hay Al Rabee-336</t>
  </si>
  <si>
    <t>حي الربيع-336</t>
  </si>
  <si>
    <t>Hay Al Rabee-340</t>
  </si>
  <si>
    <t>حي الربيع-340</t>
  </si>
  <si>
    <t>Hay Al Rabee-342</t>
  </si>
  <si>
    <t>حي الربيع-342</t>
  </si>
  <si>
    <t>Hay Ur-325</t>
  </si>
  <si>
    <t>حي اور-325</t>
  </si>
  <si>
    <t>Hay Ur-327</t>
  </si>
  <si>
    <t>حي اور-327</t>
  </si>
  <si>
    <t>Qaryat Al-Intisar</t>
  </si>
  <si>
    <t>قرية الانتصار</t>
  </si>
  <si>
    <t>Saba Qusor</t>
  </si>
  <si>
    <t>سبع قصور</t>
  </si>
  <si>
    <t>Tarbiya-317</t>
  </si>
  <si>
    <t>التربية-317</t>
  </si>
  <si>
    <t>Tunis-326</t>
  </si>
  <si>
    <t>تونس-326</t>
  </si>
  <si>
    <t>Tunis-328</t>
  </si>
  <si>
    <t>تونس-328</t>
  </si>
  <si>
    <t>Tunis-330</t>
  </si>
  <si>
    <t>تونس-330</t>
  </si>
  <si>
    <t>Al Resafa</t>
  </si>
  <si>
    <t>14 Tamoz-508</t>
  </si>
  <si>
    <t>508-14 تموز</t>
  </si>
  <si>
    <t>14 Tamoz-510</t>
  </si>
  <si>
    <t>510-14 تموز</t>
  </si>
  <si>
    <t>Abu Nuas-102</t>
  </si>
  <si>
    <t>أبو نؤاس-102</t>
  </si>
  <si>
    <t>Al Ameen-737</t>
  </si>
  <si>
    <t>الامين-737</t>
  </si>
  <si>
    <t>Al Ameen-739</t>
  </si>
  <si>
    <t>الامين-739</t>
  </si>
  <si>
    <t>Al Ameen-741</t>
  </si>
  <si>
    <t>الامين-741</t>
  </si>
  <si>
    <t>Al Ameen-743</t>
  </si>
  <si>
    <t>الامين-743</t>
  </si>
  <si>
    <t>Al Ameen-745</t>
  </si>
  <si>
    <t>الامين-745</t>
  </si>
  <si>
    <t>Al Ameen-747</t>
  </si>
  <si>
    <t>الأمين-747</t>
  </si>
  <si>
    <t>Al Atebaa-120</t>
  </si>
  <si>
    <t>الاطباء-120</t>
  </si>
  <si>
    <t>Al baladiyat-728</t>
  </si>
  <si>
    <t>البلديات-728</t>
  </si>
  <si>
    <t>Al baladiyat-730</t>
  </si>
  <si>
    <t>البلديات-730</t>
  </si>
  <si>
    <t>Al baladiyat-732</t>
  </si>
  <si>
    <t>البلديات-732</t>
  </si>
  <si>
    <t>Al baladiyat-734</t>
  </si>
  <si>
    <t>البلديات-734</t>
  </si>
  <si>
    <t>Al baladiyat-738</t>
  </si>
  <si>
    <t>البلديات-738</t>
  </si>
  <si>
    <t>Al Baladiyat-744</t>
  </si>
  <si>
    <t>البلديات-744</t>
  </si>
  <si>
    <t>Al Edreesiy-505</t>
  </si>
  <si>
    <t>الأدريسي-505</t>
  </si>
  <si>
    <t>Al Edreesiy-507</t>
  </si>
  <si>
    <t>الادريسي-507</t>
  </si>
  <si>
    <t>Al Fudhiliyah-753</t>
  </si>
  <si>
    <t>الفضيلية-753</t>
  </si>
  <si>
    <t>Al Gilani-123</t>
  </si>
  <si>
    <t>الكيلاني-123</t>
  </si>
  <si>
    <t>Al Jumhoriyah 111</t>
  </si>
  <si>
    <t>الجمهورية-111</t>
  </si>
  <si>
    <t>Al Jumhoriyah-109</t>
  </si>
  <si>
    <t>الجمهورية-109</t>
  </si>
  <si>
    <t>Al Jumhoriyah-117</t>
  </si>
  <si>
    <t>الجمهورية-117</t>
  </si>
  <si>
    <t>Al Jumhoriyah-119</t>
  </si>
  <si>
    <t>الجمهورية-119</t>
  </si>
  <si>
    <t>Al Kamaliya-757</t>
  </si>
  <si>
    <t>الكمالية-757</t>
  </si>
  <si>
    <t>Al Kamaliya-759</t>
  </si>
  <si>
    <t>الكمالية-759</t>
  </si>
  <si>
    <t>Al Kamaliya-765</t>
  </si>
  <si>
    <t>الكمالية-765</t>
  </si>
  <si>
    <t>Al Kamaliya-767</t>
  </si>
  <si>
    <t>الكمالية-767</t>
  </si>
  <si>
    <t>Al Karada-901</t>
  </si>
  <si>
    <t>الكرادة-901</t>
  </si>
  <si>
    <t>Al Karada-903</t>
  </si>
  <si>
    <t>الكرادة-903</t>
  </si>
  <si>
    <t>Al Karada-905</t>
  </si>
  <si>
    <t>الكرادة-905</t>
  </si>
  <si>
    <t>Al Karada-907</t>
  </si>
  <si>
    <t>الكرادة-907</t>
  </si>
  <si>
    <t>Al Maamil-771</t>
  </si>
  <si>
    <t>المعامل-771</t>
  </si>
  <si>
    <t>Al Maamil-772</t>
  </si>
  <si>
    <t>المعامل-772</t>
  </si>
  <si>
    <t>Al Maamil-773</t>
  </si>
  <si>
    <t>المعامل-773</t>
  </si>
  <si>
    <t>Al Maamil-774</t>
  </si>
  <si>
    <t>المعامل-774</t>
  </si>
  <si>
    <t>Al Maamil-779</t>
  </si>
  <si>
    <t>المعامل-779</t>
  </si>
  <si>
    <t>Al Maamil-781</t>
  </si>
  <si>
    <t>المعامل-781</t>
  </si>
  <si>
    <t>Al Maamil-799</t>
  </si>
  <si>
    <t>المعامل-799</t>
  </si>
  <si>
    <t>Al Mashtal-729</t>
  </si>
  <si>
    <t>المشتل-729</t>
  </si>
  <si>
    <t>Al Mashtal-731</t>
  </si>
  <si>
    <t>المشتل-731</t>
  </si>
  <si>
    <t>Al Mashtal-733</t>
  </si>
  <si>
    <t>المشتل-733</t>
  </si>
  <si>
    <t>Al Mashtal-735</t>
  </si>
  <si>
    <t>المشتل-735</t>
  </si>
  <si>
    <t>Al Mashtal-751</t>
  </si>
  <si>
    <t>المشتل-751</t>
  </si>
  <si>
    <t>Al muthana-710</t>
  </si>
  <si>
    <t>المثنى-710</t>
  </si>
  <si>
    <t>Al Muthana-712</t>
  </si>
  <si>
    <t>المثنى-712</t>
  </si>
  <si>
    <t>Al Muthana-714</t>
  </si>
  <si>
    <t>المثنى-714</t>
  </si>
  <si>
    <t>Al Muthana-716</t>
  </si>
  <si>
    <t>المثنى-716</t>
  </si>
  <si>
    <t>Al Muthana-718</t>
  </si>
  <si>
    <t>المثنى-718</t>
  </si>
  <si>
    <t>Al Nidhal-103</t>
  </si>
  <si>
    <t>النضال-103</t>
  </si>
  <si>
    <t>Al Nile-503</t>
  </si>
  <si>
    <t>النيل-503</t>
  </si>
  <si>
    <t>Al Rasheed-104</t>
  </si>
  <si>
    <t>الرشيد-104</t>
  </si>
  <si>
    <t>Al Rasheed-112</t>
  </si>
  <si>
    <t>الرشيد-112</t>
  </si>
  <si>
    <t>Al Riyadh-910</t>
  </si>
  <si>
    <t>الرياض-910</t>
  </si>
  <si>
    <t>Al Saadon-101</t>
  </si>
  <si>
    <t>السعدون-101</t>
  </si>
  <si>
    <t>Al Shaikh Omer-125</t>
  </si>
  <si>
    <t>الشيخ عمر-125</t>
  </si>
  <si>
    <t>Al Shaikh Omer-127</t>
  </si>
  <si>
    <t>الشيخ عمر-127</t>
  </si>
  <si>
    <t>Al Shaikh Omer-129</t>
  </si>
  <si>
    <t>الشيخ عمر-129</t>
  </si>
  <si>
    <t>Al Shaikh Omer-131</t>
  </si>
  <si>
    <t>الشيخ عمر-131</t>
  </si>
  <si>
    <t>Al Shaikh Omer-137</t>
  </si>
  <si>
    <t>الشيخ عمر-137</t>
  </si>
  <si>
    <t>Al Sindabad-979</t>
  </si>
  <si>
    <t>السندباد-979</t>
  </si>
  <si>
    <t>Al Sindebad-977</t>
  </si>
  <si>
    <t>السندباد-977</t>
  </si>
  <si>
    <t>Al Sindibad-949</t>
  </si>
  <si>
    <t>السندباد-949</t>
  </si>
  <si>
    <t>Al Ubaidy-752</t>
  </si>
  <si>
    <t>العبيدي-752</t>
  </si>
  <si>
    <t>Al Ubaidy-756</t>
  </si>
  <si>
    <t>العبيدي-756</t>
  </si>
  <si>
    <t>Al Ubaidy-758</t>
  </si>
  <si>
    <t>العبيدي-758</t>
  </si>
  <si>
    <t>Al Ubaidy-762</t>
  </si>
  <si>
    <t>العبيدي-762</t>
  </si>
  <si>
    <t>Al Wehda-902</t>
  </si>
  <si>
    <t>الوحدة-902</t>
  </si>
  <si>
    <t>Al Wehda-904</t>
  </si>
  <si>
    <t>الوحدة-904</t>
  </si>
  <si>
    <t>Al Wehda-906</t>
  </si>
  <si>
    <t>الوحدة-906</t>
  </si>
  <si>
    <t>Al Zaafaranyah-951</t>
  </si>
  <si>
    <t>الزعفرانية-951</t>
  </si>
  <si>
    <t>Al Zaafaranyah-953</t>
  </si>
  <si>
    <t>الزعفرانية-953</t>
  </si>
  <si>
    <t>Al Zaafaranyah-955</t>
  </si>
  <si>
    <t>الزعفرانية-955</t>
  </si>
  <si>
    <t>Al Zaafaranyah-959</t>
  </si>
  <si>
    <t>الزعفرانية-959</t>
  </si>
  <si>
    <t>Al Zaafaranyah-961</t>
  </si>
  <si>
    <t>الزعفرانية-961</t>
  </si>
  <si>
    <t>Al Zaafaranyah-965</t>
  </si>
  <si>
    <t>الزعفرانية-965</t>
  </si>
  <si>
    <t>Al Zaafaranyah-969</t>
  </si>
  <si>
    <t>الزعفرانية-969</t>
  </si>
  <si>
    <t>Al Zafaraniyah-957</t>
  </si>
  <si>
    <t>الزعفرانية-957</t>
  </si>
  <si>
    <t>Baghdad Al Jadidah-701</t>
  </si>
  <si>
    <t>بغداد الجديدة-701</t>
  </si>
  <si>
    <t>Baghdad Al Jadidah-709</t>
  </si>
  <si>
    <t>بغداد الجديدة-709</t>
  </si>
  <si>
    <t>Baghdad Al Jadidia-711</t>
  </si>
  <si>
    <t>بغداد الجديدة-711</t>
  </si>
  <si>
    <t>Baghdad Al Jadidia-713</t>
  </si>
  <si>
    <t>بغداد الجديدة-713</t>
  </si>
  <si>
    <t>Baghdad Al Jadidia-717</t>
  </si>
  <si>
    <t>بغداد الجديدة-717</t>
  </si>
  <si>
    <t>Baghdad Al Jadidia-721</t>
  </si>
  <si>
    <t>بغداد الجديدة-721</t>
  </si>
  <si>
    <t>Baghdad Al Jadidia-723</t>
  </si>
  <si>
    <t>بغداد الجديدة-723</t>
  </si>
  <si>
    <t>Baghdad Al Jadidia-725</t>
  </si>
  <si>
    <t>بغداد الجديدة-725</t>
  </si>
  <si>
    <t>Baghdad Al Jadidia-727</t>
  </si>
  <si>
    <t>بغداد الجديدة-727</t>
  </si>
  <si>
    <t>Hay Diyala-930</t>
  </si>
  <si>
    <t>حي ديالى-930</t>
  </si>
  <si>
    <t>Hay Diyala-950</t>
  </si>
  <si>
    <t>حي ديالى-950</t>
  </si>
  <si>
    <t>Hay Diyala-952</t>
  </si>
  <si>
    <t>حي ديالى-952</t>
  </si>
  <si>
    <t>Hay Diyala-954</t>
  </si>
  <si>
    <t>حي ديالى-954</t>
  </si>
  <si>
    <t>Hay Diyala-958</t>
  </si>
  <si>
    <t>حي ديالى-958</t>
  </si>
  <si>
    <t>Hay Diyala-962</t>
  </si>
  <si>
    <t>حي ديالى-962</t>
  </si>
  <si>
    <t>Hay Diyala-964</t>
  </si>
  <si>
    <t>حي ديالى-964</t>
  </si>
  <si>
    <t>Hay Diyala-966</t>
  </si>
  <si>
    <t>حي ديالى-966</t>
  </si>
  <si>
    <t>Hay Diyala-970</t>
  </si>
  <si>
    <t>حي ديالى-970</t>
  </si>
  <si>
    <t>Hay Sumer-702</t>
  </si>
  <si>
    <t>حي سومر-702</t>
  </si>
  <si>
    <t>Hay Sumer-706</t>
  </si>
  <si>
    <t>حي سومر-706</t>
  </si>
  <si>
    <t>Hay Summer-704</t>
  </si>
  <si>
    <t>حي سومر-704</t>
  </si>
  <si>
    <t>Zayona Camp</t>
  </si>
  <si>
    <t>مخيم زيونة</t>
  </si>
  <si>
    <t>Kadhimia</t>
  </si>
  <si>
    <t>Abd Al Hammad village</t>
  </si>
  <si>
    <t>قرية عبد الحماد</t>
  </si>
  <si>
    <t>Ahmed Al Hamid village</t>
  </si>
  <si>
    <t>قرية أحمد الحميد</t>
  </si>
  <si>
    <t>Al Ahnaf-Al Rakia Fadel village</t>
  </si>
  <si>
    <t>الأحنف-اركية وفاضل</t>
  </si>
  <si>
    <t>Al Ahnaf-Al Sabaiyat</t>
  </si>
  <si>
    <t>الاحنف-الصابيات</t>
  </si>
  <si>
    <t>Al Ahnaf-Al Salamiat</t>
  </si>
  <si>
    <t>الاحنف-السلاميات</t>
  </si>
  <si>
    <t>Al Ateefia-407</t>
  </si>
  <si>
    <t>العطيفية-407</t>
  </si>
  <si>
    <t>Al Ateefia-409</t>
  </si>
  <si>
    <t>العطيفية-409</t>
  </si>
  <si>
    <t>Al Halabsa village</t>
  </si>
  <si>
    <t>قرية الحلابسة</t>
  </si>
  <si>
    <t>Al Huriyah-a 430</t>
  </si>
  <si>
    <t>الحرية-430</t>
  </si>
  <si>
    <t>Al Hurriyah-416</t>
  </si>
  <si>
    <t>الحرية-416</t>
  </si>
  <si>
    <t>Al Hurriyah-418</t>
  </si>
  <si>
    <t>الحرية-418</t>
  </si>
  <si>
    <t>Al Hurriyah-420</t>
  </si>
  <si>
    <t>الحرية-420</t>
  </si>
  <si>
    <t>Al Hurriyah-424</t>
  </si>
  <si>
    <t>الحرية-424</t>
  </si>
  <si>
    <t>Al Hurriyah-426</t>
  </si>
  <si>
    <t>الحرية-426</t>
  </si>
  <si>
    <t>Al Hurriyah-428</t>
  </si>
  <si>
    <t>الحرية-428</t>
  </si>
  <si>
    <t>Al Hurriyah-432</t>
  </si>
  <si>
    <t>الحرية-432</t>
  </si>
  <si>
    <t>Al Hurriyah-436</t>
  </si>
  <si>
    <t>الحرية-436</t>
  </si>
  <si>
    <t>Al Malahma(Al Sekak)Village</t>
  </si>
  <si>
    <t>قرية الملاحمة(دور السكك)</t>
  </si>
  <si>
    <t>Al Salam-404</t>
  </si>
  <si>
    <t>السلام-404</t>
  </si>
  <si>
    <t>Al Salam-406</t>
  </si>
  <si>
    <t>السلام-406</t>
  </si>
  <si>
    <t>Al Salam-408</t>
  </si>
  <si>
    <t>السلام-408</t>
  </si>
  <si>
    <t>Al Salam-410</t>
  </si>
  <si>
    <t>السلام-410</t>
  </si>
  <si>
    <t>Al Salam-412</t>
  </si>
  <si>
    <t>السلام-412</t>
  </si>
  <si>
    <t>Al Salehen Village</t>
  </si>
  <si>
    <t>قرية الصالحين</t>
  </si>
  <si>
    <t>Al Shehaa Village</t>
  </si>
  <si>
    <t>قرية الشيحة</t>
  </si>
  <si>
    <t>Al Sheik Amir Village</t>
  </si>
  <si>
    <t>قرية الشيخ عامر</t>
  </si>
  <si>
    <t>Al-Shalchiya</t>
  </si>
  <si>
    <t>الشالجية</t>
  </si>
  <si>
    <t>Albo Rkeaba Village</t>
  </si>
  <si>
    <t>قرية البو ركيبة</t>
  </si>
  <si>
    <t>Albo Sabah Village</t>
  </si>
  <si>
    <t>قرية البو صباح</t>
  </si>
  <si>
    <t>Albu Aied Village</t>
  </si>
  <si>
    <t>قرية ألبوعايد</t>
  </si>
  <si>
    <t>Albu Dawod Village</t>
  </si>
  <si>
    <t>قرية البو داوود</t>
  </si>
  <si>
    <t>Ali Al Hamad Village</t>
  </si>
  <si>
    <t>قرية علي الحمد</t>
  </si>
  <si>
    <t>Dheeb Al Dhari village</t>
  </si>
  <si>
    <t>قرية ذيب الضاري</t>
  </si>
  <si>
    <t>Fahad Al Fadhel village</t>
  </si>
  <si>
    <t>قرية فهد الفاضل</t>
  </si>
  <si>
    <t>Faisal Abbas village</t>
  </si>
  <si>
    <t>قرية فيصل عباس</t>
  </si>
  <si>
    <t>Hay Al Askreen</t>
  </si>
  <si>
    <t>حي العسكريين</t>
  </si>
  <si>
    <t>Hay Al Shuhada</t>
  </si>
  <si>
    <t>Hay Hasan AlAskari</t>
  </si>
  <si>
    <t>حي الحسن العسكري</t>
  </si>
  <si>
    <t>Jakook-425</t>
  </si>
  <si>
    <t>جكوك-425</t>
  </si>
  <si>
    <t>Jakook-440</t>
  </si>
  <si>
    <t>جكوك-440</t>
  </si>
  <si>
    <t>Jakook-442</t>
  </si>
  <si>
    <t>جكوك-442</t>
  </si>
  <si>
    <t>Jurf Al Milah</t>
  </si>
  <si>
    <t>جرف الملح</t>
  </si>
  <si>
    <t>Kasar Al Ali Village</t>
  </si>
  <si>
    <t>قرية كسار العلي</t>
  </si>
  <si>
    <t>Khalaf Jredhi Village</t>
  </si>
  <si>
    <t>قرية خلف جريدي</t>
  </si>
  <si>
    <t>Mulla Mukhlef Village</t>
  </si>
  <si>
    <t>قرية ملا مخلف</t>
  </si>
  <si>
    <t>Naif Al Hassan viilage</t>
  </si>
  <si>
    <t>قرية نايف الحسن</t>
  </si>
  <si>
    <t>Najah Al Suhail village</t>
  </si>
  <si>
    <t>قرية نجاح السهيل</t>
  </si>
  <si>
    <t>North Al Kadhimia-447</t>
  </si>
  <si>
    <t>شمال الكاظمية-447</t>
  </si>
  <si>
    <t>North Al Kadhimia-Al kadraiya</t>
  </si>
  <si>
    <t>شمال الكاظمية-القادرية</t>
  </si>
  <si>
    <t>North Al Kadhimia-Alwan Al Jasim village</t>
  </si>
  <si>
    <t>شمال الكاظمية-قرية علوان الجاسم</t>
  </si>
  <si>
    <t>North Al Kadhimia-Tajyat shata Al Taji</t>
  </si>
  <si>
    <t>شمال الكاظمية-تاجيات شاطئ التاجي</t>
  </si>
  <si>
    <t>Rezaige Al Badaa village</t>
  </si>
  <si>
    <t>قرية رزيج البداع</t>
  </si>
  <si>
    <t>Sabea Al Buor(Al Basam)</t>
  </si>
  <si>
    <t>سبع البور(مقاطعة البصام)</t>
  </si>
  <si>
    <t>Sabea Al Buor-11000</t>
  </si>
  <si>
    <t>سبع البور-11000</t>
  </si>
  <si>
    <t>Sabea Al Buor-12000</t>
  </si>
  <si>
    <t>سبع البور-12000</t>
  </si>
  <si>
    <t>Sabea Al Buor-13000</t>
  </si>
  <si>
    <t>سبع البور-13000</t>
  </si>
  <si>
    <t>Sabea Al Buor-14000</t>
  </si>
  <si>
    <t>سبع البور-14000</t>
  </si>
  <si>
    <t>Sabea Al Buor-15000</t>
  </si>
  <si>
    <t>سبع البور-15000</t>
  </si>
  <si>
    <t>Sabea Al Buor-16000</t>
  </si>
  <si>
    <t>سبع البور-16000</t>
  </si>
  <si>
    <t>Sabea Al Buor-8000</t>
  </si>
  <si>
    <t>سبع البور-8000</t>
  </si>
  <si>
    <t>Sabea Al Buor-9000</t>
  </si>
  <si>
    <t>سبع البور-9000</t>
  </si>
  <si>
    <t>Sabea Al Buor-Hamed Al Farij</t>
  </si>
  <si>
    <t>سبع البور-حميد الفرج</t>
  </si>
  <si>
    <t xml:space="preserve">Salh Al Fayad </t>
  </si>
  <si>
    <t>قرية صالح الفياض</t>
  </si>
  <si>
    <t>Shate Al Taji(Mezurfa)Village</t>
  </si>
  <si>
    <t>شاطئ التاجي(مزرفة و حصيوة)</t>
  </si>
  <si>
    <t>Shoala-446</t>
  </si>
  <si>
    <t>الشعلة-446</t>
  </si>
  <si>
    <t>Shoala-448</t>
  </si>
  <si>
    <t>الشعلة-448</t>
  </si>
  <si>
    <t>Shoala-450</t>
  </si>
  <si>
    <t>الشعلة-450</t>
  </si>
  <si>
    <t>Shoala-454</t>
  </si>
  <si>
    <t>الشعلة-454</t>
  </si>
  <si>
    <t>Shoala-458</t>
  </si>
  <si>
    <t>الشعلة-458</t>
  </si>
  <si>
    <t>Shoala-460</t>
  </si>
  <si>
    <t>الشعلة-460</t>
  </si>
  <si>
    <t>Shoala-464</t>
  </si>
  <si>
    <t>الشعلة-464</t>
  </si>
  <si>
    <t>Shoala-Al Doanam</t>
  </si>
  <si>
    <t>الشعلة-الدوانم</t>
  </si>
  <si>
    <t>Shoala-Khatib</t>
  </si>
  <si>
    <t>الشعلة-الخطيب</t>
  </si>
  <si>
    <t>Um Najem village</t>
  </si>
  <si>
    <t>قرية أم نجم</t>
  </si>
  <si>
    <t>Zedan Al Jameel Vilage</t>
  </si>
  <si>
    <t>قرية زيدان الجميل</t>
  </si>
  <si>
    <t>Karkh</t>
  </si>
  <si>
    <t>Abu Dsheer-850</t>
  </si>
  <si>
    <t>ابو دشير-850</t>
  </si>
  <si>
    <t>Abu Dsheer-852</t>
  </si>
  <si>
    <t>ابو دشير-852</t>
  </si>
  <si>
    <t>Abu Dsheer-854</t>
  </si>
  <si>
    <t>ابو دشير-854</t>
  </si>
  <si>
    <t>Abu Dsheer-858</t>
  </si>
  <si>
    <t>ابو دشير-858</t>
  </si>
  <si>
    <t>Al Amerya-632</t>
  </si>
  <si>
    <t>العامرية-632</t>
  </si>
  <si>
    <t>Al Amerya-634</t>
  </si>
  <si>
    <t>العامرية-634</t>
  </si>
  <si>
    <t>Al Amerya-636</t>
  </si>
  <si>
    <t>العامرية-636</t>
  </si>
  <si>
    <t>Al Amerya-638</t>
  </si>
  <si>
    <t>العامرية-638</t>
  </si>
  <si>
    <t>Al Amreya-628</t>
  </si>
  <si>
    <t>العامرية-628</t>
  </si>
  <si>
    <t>Al Amreya-630</t>
  </si>
  <si>
    <t>العامرية-630</t>
  </si>
  <si>
    <t>Al Andls-613</t>
  </si>
  <si>
    <t>الاندلس-613</t>
  </si>
  <si>
    <t>Al Andulus-611</t>
  </si>
  <si>
    <t>الاندلس-611</t>
  </si>
  <si>
    <t>Al Andulus-617</t>
  </si>
  <si>
    <t>الاندلس-617</t>
  </si>
  <si>
    <t>Al Bayaa-817</t>
  </si>
  <si>
    <t>البياع-817</t>
  </si>
  <si>
    <t>Al Forat-893</t>
  </si>
  <si>
    <t>الفرات-893</t>
  </si>
  <si>
    <t>Al Forat-Shaka 6</t>
  </si>
  <si>
    <t>الفرات-شاخة 6</t>
  </si>
  <si>
    <t>Al Ghazaliya-649</t>
  </si>
  <si>
    <t>Al Ghazaliya-651</t>
  </si>
  <si>
    <t>Al Ghazaliya-653</t>
  </si>
  <si>
    <t>Al Ghazaliya-655</t>
  </si>
  <si>
    <t>Al Ghazaliya-659</t>
  </si>
  <si>
    <t>Al Ghazaliya-665</t>
  </si>
  <si>
    <t>Al Ghazaliya-667</t>
  </si>
  <si>
    <t>Al Ghazaliya-681</t>
  </si>
  <si>
    <t>الغزالية-681</t>
  </si>
  <si>
    <t>Al Ghazaliyah-685</t>
  </si>
  <si>
    <t>الغزالية-685</t>
  </si>
  <si>
    <t>Al Ilam-829</t>
  </si>
  <si>
    <t>الأعلام-829</t>
  </si>
  <si>
    <t>Al Ilam-831</t>
  </si>
  <si>
    <t>الأعلام-831</t>
  </si>
  <si>
    <t>Al Iskan(Al Masfi)-822</t>
  </si>
  <si>
    <t>الاسكان-822(المصافي)</t>
  </si>
  <si>
    <t>Al Jameah-627</t>
  </si>
  <si>
    <t>الجامعة-627</t>
  </si>
  <si>
    <t>Al Jameah-629</t>
  </si>
  <si>
    <t>الجامعة-629</t>
  </si>
  <si>
    <t>Al Jameah-631</t>
  </si>
  <si>
    <t>الجامعة-631</t>
  </si>
  <si>
    <t>Al Jameah-633</t>
  </si>
  <si>
    <t>الجامعة-633</t>
  </si>
  <si>
    <t>Al Jameah-635</t>
  </si>
  <si>
    <t>الجامعة 635</t>
  </si>
  <si>
    <t>Al Jamhoriyah(Al Masfi)-838</t>
  </si>
  <si>
    <t>الجمهورية 838(المصافي)</t>
  </si>
  <si>
    <t>Al Jazaer-804</t>
  </si>
  <si>
    <t>الجزائر-804</t>
  </si>
  <si>
    <t>Al Jazaer-818</t>
  </si>
  <si>
    <t>الجزائر-818</t>
  </si>
  <si>
    <t>Al Jazaer-820</t>
  </si>
  <si>
    <t>الجزائر-820</t>
  </si>
  <si>
    <t>Al Jazera-806</t>
  </si>
  <si>
    <t>الجزيرة-806</t>
  </si>
  <si>
    <t>Al Jazera-808</t>
  </si>
  <si>
    <t>الجزيرة-808</t>
  </si>
  <si>
    <t>Al Jazera-812</t>
  </si>
  <si>
    <t>الجزيرة-812</t>
  </si>
  <si>
    <t>Al Jazera-814</t>
  </si>
  <si>
    <t>الجزيرة-814</t>
  </si>
  <si>
    <t>Al Karkh-212</t>
  </si>
  <si>
    <t>الكرخ-212</t>
  </si>
  <si>
    <t>Al Karkh-216</t>
  </si>
  <si>
    <t>الكرخ-216</t>
  </si>
  <si>
    <t>Al Khadraa-639</t>
  </si>
  <si>
    <t>الخضراء-639</t>
  </si>
  <si>
    <t>Al Khadraa-640</t>
  </si>
  <si>
    <t>الخضراء-640</t>
  </si>
  <si>
    <t>Al Maalef-837</t>
  </si>
  <si>
    <t>المعالف-837</t>
  </si>
  <si>
    <t>Al Maalef-843</t>
  </si>
  <si>
    <t>المعالف-843</t>
  </si>
  <si>
    <t>Al Mechanic (Al Hader)-834</t>
  </si>
  <si>
    <t>الميكانيك-834(الحضر)</t>
  </si>
  <si>
    <t>Al Mechanic(Al Hader)-830</t>
  </si>
  <si>
    <t>الميكانيك-830(الحضر)</t>
  </si>
  <si>
    <t>Al Mechanic(Al Hader)-832</t>
  </si>
  <si>
    <t>الميكانيك-832(الحضر)</t>
  </si>
  <si>
    <t>Al Mowasalat-863</t>
  </si>
  <si>
    <t>المواصلات-863</t>
  </si>
  <si>
    <t>Al Mutanbi-603</t>
  </si>
  <si>
    <t>المتنبي-603</t>
  </si>
  <si>
    <t>Al Mutanbi-605</t>
  </si>
  <si>
    <t>المتنبي-605</t>
  </si>
  <si>
    <t>Al Mutanbi-607</t>
  </si>
  <si>
    <t>المتنبي-607</t>
  </si>
  <si>
    <t>Al Mutanbi-615</t>
  </si>
  <si>
    <t>المتنبي-615</t>
  </si>
  <si>
    <t>Al Qadissiya-602</t>
  </si>
  <si>
    <t>القادسية-602</t>
  </si>
  <si>
    <t>Al Qadissiya-604</t>
  </si>
  <si>
    <t>القادسية-604</t>
  </si>
  <si>
    <t>Al Qadissiya-606</t>
  </si>
  <si>
    <t>القادسية-606</t>
  </si>
  <si>
    <t>Al Radwania</t>
  </si>
  <si>
    <t>منطقة الرضوانية</t>
  </si>
  <si>
    <t>Al Raie 861</t>
  </si>
  <si>
    <t>الري 861</t>
  </si>
  <si>
    <t>Al Resala-849</t>
  </si>
  <si>
    <t>الرسالة-849</t>
  </si>
  <si>
    <t>Al Resala-851</t>
  </si>
  <si>
    <t>الرسالة-851</t>
  </si>
  <si>
    <t>Al Resala-853</t>
  </si>
  <si>
    <t>الرسالة-853</t>
  </si>
  <si>
    <t>Al Resala-855</t>
  </si>
  <si>
    <t>الرسالة-855</t>
  </si>
  <si>
    <t>Al Salahiya-222</t>
  </si>
  <si>
    <t>الصالحية-222</t>
  </si>
  <si>
    <t>Al Saydiya-823</t>
  </si>
  <si>
    <t>السيدية-823</t>
  </si>
  <si>
    <t>Al Sedea-821</t>
  </si>
  <si>
    <t>السيدية-821</t>
  </si>
  <si>
    <t>Al Sedea-825</t>
  </si>
  <si>
    <t>السيدية-825</t>
  </si>
  <si>
    <t>Al Shabab-835</t>
  </si>
  <si>
    <t>الشباب-835</t>
  </si>
  <si>
    <t>Al Shabab-839</t>
  </si>
  <si>
    <t>الشباب-839</t>
  </si>
  <si>
    <t>Al Shurta-857</t>
  </si>
  <si>
    <t>الشرطة-857</t>
  </si>
  <si>
    <t>Al Shurta-865</t>
  </si>
  <si>
    <t>الشرطة-865</t>
  </si>
  <si>
    <t>Al Shurta-869</t>
  </si>
  <si>
    <t>الشرطة-869</t>
  </si>
  <si>
    <t>Al Shurta-875</t>
  </si>
  <si>
    <t>الشرطة-875</t>
  </si>
  <si>
    <t>Al Shurtah-867</t>
  </si>
  <si>
    <t>الشرطة-867</t>
  </si>
  <si>
    <t>Al Shurtah-873</t>
  </si>
  <si>
    <t>الشرطة-873</t>
  </si>
  <si>
    <t>Al Toma(Al Masfi)-826</t>
  </si>
  <si>
    <t>الطعمة-826(المصافي)</t>
  </si>
  <si>
    <t>Al Wadi(Al Masfi)-824</t>
  </si>
  <si>
    <t>الوادي-824(المصافي)</t>
  </si>
  <si>
    <t>Al Yarmok-614</t>
  </si>
  <si>
    <t>اليرموك-614</t>
  </si>
  <si>
    <t>Al Yarmouk-608</t>
  </si>
  <si>
    <t>اليرموك-608</t>
  </si>
  <si>
    <t>Al Yarmouk-610</t>
  </si>
  <si>
    <t>اليرموك-610</t>
  </si>
  <si>
    <t>Al Yarmouk-612</t>
  </si>
  <si>
    <t>اليرموك-612</t>
  </si>
  <si>
    <t>Al Yarmouk-616</t>
  </si>
  <si>
    <t>اليرموك-616</t>
  </si>
  <si>
    <t>Al-Mansour-601</t>
  </si>
  <si>
    <t>حي المنصور-601</t>
  </si>
  <si>
    <t>Al-Mansour-609</t>
  </si>
  <si>
    <t>حي المنصور-609</t>
  </si>
  <si>
    <t>Albo_Aitha</t>
  </si>
  <si>
    <t>البو عيثا</t>
  </si>
  <si>
    <t>Arab jbor</t>
  </si>
  <si>
    <t>عرب جبور</t>
  </si>
  <si>
    <t>Asia(Al Hader)-836</t>
  </si>
  <si>
    <t>اسيا-836(الحضر)</t>
  </si>
  <si>
    <t>Hateen-620</t>
  </si>
  <si>
    <t>حطين-620</t>
  </si>
  <si>
    <t>Hateen-622</t>
  </si>
  <si>
    <t>حطين-622</t>
  </si>
  <si>
    <t>Hay Al Adil-647</t>
  </si>
  <si>
    <t>حي العدل-647</t>
  </si>
  <si>
    <t>Hay Al Adil-657</t>
  </si>
  <si>
    <t>حي العدل-657</t>
  </si>
  <si>
    <t>Hay Al Amel-805</t>
  </si>
  <si>
    <t>حي العامل-805</t>
  </si>
  <si>
    <t>Hay Al Amel-811</t>
  </si>
  <si>
    <t>حي العامل-811</t>
  </si>
  <si>
    <t>Hay Al Amil-801</t>
  </si>
  <si>
    <t>حي العامل-801</t>
  </si>
  <si>
    <t>Hay Al Amil-803</t>
  </si>
  <si>
    <t>حي العامل-803</t>
  </si>
  <si>
    <t>Hay Al Amil-807</t>
  </si>
  <si>
    <t>حي العامل-807</t>
  </si>
  <si>
    <t>Hay Al Amil-809</t>
  </si>
  <si>
    <t>حي العامل-809</t>
  </si>
  <si>
    <t>Hay Al Amil-813</t>
  </si>
  <si>
    <t>حي العامل-813</t>
  </si>
  <si>
    <t>Hay Al Amil-815</t>
  </si>
  <si>
    <t>حي العامل-815</t>
  </si>
  <si>
    <t>Hay al jamiyah (Al Masfi)-842</t>
  </si>
  <si>
    <t>حي الجمعية-842(المصافي)</t>
  </si>
  <si>
    <t>Hay Al Jehad-879</t>
  </si>
  <si>
    <t>حي الجهاد-879</t>
  </si>
  <si>
    <t>Hay Al Jehad-881</t>
  </si>
  <si>
    <t>حي الجهاد-881</t>
  </si>
  <si>
    <t>Hay Al Jehad-883</t>
  </si>
  <si>
    <t>حي الجهاد-883</t>
  </si>
  <si>
    <t>Hay Al Jehad-887</t>
  </si>
  <si>
    <t>حي الجهاد-887</t>
  </si>
  <si>
    <t>Hay Al Jehad-891</t>
  </si>
  <si>
    <t>حي الجهاد-891</t>
  </si>
  <si>
    <t>Hoor Rajab</t>
  </si>
  <si>
    <t>هور رجب</t>
  </si>
  <si>
    <t>Sheikh Maaroof-204</t>
  </si>
  <si>
    <t>شيخ معروف-204</t>
  </si>
  <si>
    <t>Sheikh Maaroof-206</t>
  </si>
  <si>
    <t>شيخ معروف-206</t>
  </si>
  <si>
    <t>Sheikh Maaroof-208</t>
  </si>
  <si>
    <t>شيخ معروف-208</t>
  </si>
  <si>
    <t>Sheikh Maaroof-210</t>
  </si>
  <si>
    <t>شيخ معروف-210</t>
  </si>
  <si>
    <t>Sheikh Maaroof-214</t>
  </si>
  <si>
    <t>شيخ معروف-214</t>
  </si>
  <si>
    <t>Shurta Al Masafi-840</t>
  </si>
  <si>
    <t>شرطة المصافي 840(المصافي)</t>
  </si>
  <si>
    <t>Shurtah Al Hader-846</t>
  </si>
  <si>
    <t>شرطة الحضر-846</t>
  </si>
  <si>
    <t>Suwaib-871</t>
  </si>
  <si>
    <t>سويب-871</t>
  </si>
  <si>
    <t>Uwayrij</t>
  </si>
  <si>
    <t>عويريج</t>
  </si>
  <si>
    <t>Mada'in</t>
  </si>
  <si>
    <t>9 Nissan</t>
  </si>
  <si>
    <t>9 نيسان</t>
  </si>
  <si>
    <t>Abu Thaila Village</t>
  </si>
  <si>
    <t>قرية ابو ثيلة</t>
  </si>
  <si>
    <t>Al Arefia</t>
  </si>
  <si>
    <t>العريفية</t>
  </si>
  <si>
    <t>Al Ehsan Complex</t>
  </si>
  <si>
    <t>مجمع الاحسان</t>
  </si>
  <si>
    <t>Al Imam Al Redha Village</t>
  </si>
  <si>
    <t>قرية الامام الرضا</t>
  </si>
  <si>
    <t>Al Karagolia</t>
  </si>
  <si>
    <t>الكرغولية</t>
  </si>
  <si>
    <t>Al Reyad</t>
  </si>
  <si>
    <t>الرياض</t>
  </si>
  <si>
    <t>Al Samadia</t>
  </si>
  <si>
    <t>الصمدية</t>
  </si>
  <si>
    <t>Al Tuwetha</t>
  </si>
  <si>
    <t>التويثة</t>
  </si>
  <si>
    <t>Al Wardia</t>
  </si>
  <si>
    <t>الوردية</t>
  </si>
  <si>
    <t>Al Wehda-Village 10</t>
  </si>
  <si>
    <t>الوحده-القرية 10</t>
  </si>
  <si>
    <t>Al-Murtadha Village</t>
  </si>
  <si>
    <t>قرية المرتضى</t>
  </si>
  <si>
    <t>Al-Nabi Younis Camp</t>
  </si>
  <si>
    <t>مخيم النبي يونس</t>
  </si>
  <si>
    <t>Hay Al Arooba</t>
  </si>
  <si>
    <t>حي العروبة</t>
  </si>
  <si>
    <t>Hay Al Farwk</t>
  </si>
  <si>
    <t>Hay Al Huda</t>
  </si>
  <si>
    <t>حي الهدى</t>
  </si>
  <si>
    <t>Hay al Jamaiya</t>
  </si>
  <si>
    <t>حي الجمعية</t>
  </si>
  <si>
    <t>Hay Al Mujtaba</t>
  </si>
  <si>
    <t>حي المجتبى</t>
  </si>
  <si>
    <t>Hay Al Murtha</t>
  </si>
  <si>
    <t xml:space="preserve">Hay al Qadsiya </t>
  </si>
  <si>
    <t>حي القادسية</t>
  </si>
  <si>
    <t>حي الصدرين</t>
  </si>
  <si>
    <t>Hay Al Taaf</t>
  </si>
  <si>
    <t>حي الطف</t>
  </si>
  <si>
    <t>Hay Al-Muntathar</t>
  </si>
  <si>
    <t>حي المنتظر</t>
  </si>
  <si>
    <t>Hay Ali Al kaaby</t>
  </si>
  <si>
    <t>حي علي الكعبي</t>
  </si>
  <si>
    <t>حي بدر</t>
  </si>
  <si>
    <t>Hay Haethm Al Zaidy</t>
  </si>
  <si>
    <t>حي هيثم الزيدي</t>
  </si>
  <si>
    <t>Jaara</t>
  </si>
  <si>
    <t>جعارة</t>
  </si>
  <si>
    <t>Juref Al Nadaaf</t>
  </si>
  <si>
    <t>جرف النداف</t>
  </si>
  <si>
    <t>Mahmoudiya</t>
  </si>
  <si>
    <t>14 Tamooz</t>
  </si>
  <si>
    <t>حي 14 تموز</t>
  </si>
  <si>
    <t>Al Adwaniya</t>
  </si>
  <si>
    <t>العدوانية</t>
  </si>
  <si>
    <t>Al Latefia-Al Qadessia</t>
  </si>
  <si>
    <t>اللطيفية-حي القادسية</t>
  </si>
  <si>
    <t>Al Latefia-Al Salam</t>
  </si>
  <si>
    <t>اللطيفية-السلام</t>
  </si>
  <si>
    <t>Al Qaser Al Wsat Area-Hai Al Jameia</t>
  </si>
  <si>
    <t>القصر والوسط-حي الجمعية</t>
  </si>
  <si>
    <t>Al Radhwania Al Sharkia-Obaid Al Saher Village</t>
  </si>
  <si>
    <t>الرضوانية الشرقية-قرية عبيد الساهر</t>
  </si>
  <si>
    <t>Al sajad Complex</t>
  </si>
  <si>
    <t>مجمع السجاد</t>
  </si>
  <si>
    <t>Al Wahda Camp</t>
  </si>
  <si>
    <t>مخيم الوحدة</t>
  </si>
  <si>
    <t>Al Zahraa Complex</t>
  </si>
  <si>
    <t>مجمع الزهراء</t>
  </si>
  <si>
    <t>Al-Rasheed-14 Tamoz</t>
  </si>
  <si>
    <t>الرشيد-14 تموز</t>
  </si>
  <si>
    <t>Al-Zanbrania</t>
  </si>
  <si>
    <t>الزنبرانية</t>
  </si>
  <si>
    <t>Biyar Al-Hamam</t>
  </si>
  <si>
    <t>مقاطعة بير الحمام</t>
  </si>
  <si>
    <t>Dereia w Um Mahar</t>
  </si>
  <si>
    <t>مقاطعة ديرية وأم محار</t>
  </si>
  <si>
    <t>Hay Al Mazraa</t>
  </si>
  <si>
    <t xml:space="preserve">حي المزرعة </t>
  </si>
  <si>
    <t>Hay Al Modhafeen-210</t>
  </si>
  <si>
    <t>حي الموظفين-210</t>
  </si>
  <si>
    <t>حي الربيع</t>
  </si>
  <si>
    <t>Hay Al Rasul</t>
  </si>
  <si>
    <t>Hay Al Shuhada(Al kragolyia)</t>
  </si>
  <si>
    <t>حي الشهداء(الكرغولية)</t>
  </si>
  <si>
    <t>حي الصقور</t>
  </si>
  <si>
    <t>Hay Al Zuhoor</t>
  </si>
  <si>
    <t>Hay Al-Askary</t>
  </si>
  <si>
    <t>Hay Al-Rubaiy-204</t>
  </si>
  <si>
    <t>حي الربيعي-204</t>
  </si>
  <si>
    <t>Hay Al-Sajjad</t>
  </si>
  <si>
    <t>Hay Al-Zaahraa</t>
  </si>
  <si>
    <t>حي الزهراء</t>
  </si>
  <si>
    <t>Hay Al-Zayton</t>
  </si>
  <si>
    <t>حي الزيتون</t>
  </si>
  <si>
    <t>Hay Bader</t>
  </si>
  <si>
    <t>Kilo 25</t>
  </si>
  <si>
    <t>كيلو 25</t>
  </si>
  <si>
    <t>Kuwaresh</t>
  </si>
  <si>
    <t>كويريش</t>
  </si>
  <si>
    <t>مخيم اللطيفية</t>
  </si>
  <si>
    <t>Sader Al Yousfiya</t>
  </si>
  <si>
    <t>صدر اليوسفية</t>
  </si>
  <si>
    <t>Tell Al Sumer village</t>
  </si>
  <si>
    <t>قرية تل السمر</t>
  </si>
  <si>
    <t>Tarmia</t>
  </si>
  <si>
    <t>Abu Sreweel Village</t>
  </si>
  <si>
    <t>قرية أبو سريويل</t>
  </si>
  <si>
    <t>Al Farook Quarter-1</t>
  </si>
  <si>
    <t>حي الفاروق-1</t>
  </si>
  <si>
    <t>Al Farook Quarter-2</t>
  </si>
  <si>
    <t>حي الفاروق-2</t>
  </si>
  <si>
    <t>Al Khadraa village</t>
  </si>
  <si>
    <t>قرية الخضراء</t>
  </si>
  <si>
    <t>Al Rawad</t>
  </si>
  <si>
    <t>الرواد</t>
  </si>
  <si>
    <t>Al Tarmiya Center</t>
  </si>
  <si>
    <t>مركز الطارمية</t>
  </si>
  <si>
    <t>Al-Abayechi-1</t>
  </si>
  <si>
    <t>العبايجي-1</t>
  </si>
  <si>
    <t>Al-Abayechi-10</t>
  </si>
  <si>
    <t>العبايجي-10</t>
  </si>
  <si>
    <t>Hai Al Hukem Al Mahali</t>
  </si>
  <si>
    <t>حي الحكم المحلي</t>
  </si>
  <si>
    <t>Hai Al Qadessia-1</t>
  </si>
  <si>
    <t>حي القادسية-1</t>
  </si>
  <si>
    <t>Hai Al Qadessia-2</t>
  </si>
  <si>
    <t>حي القادسية-2</t>
  </si>
  <si>
    <t>Hai Al Resala</t>
  </si>
  <si>
    <t>حي الرسالة</t>
  </si>
  <si>
    <t>Hai Al Sedeq</t>
  </si>
  <si>
    <t>Hai Al Turba</t>
  </si>
  <si>
    <t>حي التربة</t>
  </si>
  <si>
    <t>Hai Al Wehda</t>
  </si>
  <si>
    <t>حي الوحدة</t>
  </si>
  <si>
    <t>Hamadi Al Khalil Village</t>
  </si>
  <si>
    <t>قرية حمادي الخليل</t>
  </si>
  <si>
    <t>Nadeem-1 Village</t>
  </si>
  <si>
    <t>قرية نديم-1</t>
  </si>
  <si>
    <t>Nadeem-2 Village</t>
  </si>
  <si>
    <t>قرية نديم-2</t>
  </si>
  <si>
    <t>Thawra1</t>
  </si>
  <si>
    <t>Al Sadir-527</t>
  </si>
  <si>
    <t>الصدر-527</t>
  </si>
  <si>
    <t>Thawra2</t>
  </si>
  <si>
    <t>Al Sadir 2-511</t>
  </si>
  <si>
    <t>الصدر 2-511</t>
  </si>
  <si>
    <t>Al Sadir 2-512</t>
  </si>
  <si>
    <t>الصدر 2-512</t>
  </si>
  <si>
    <t>Al Sadir 2-513</t>
  </si>
  <si>
    <t>الصدر-513</t>
  </si>
  <si>
    <t>Al Sadir 2-515</t>
  </si>
  <si>
    <t>الصدر-515</t>
  </si>
  <si>
    <t>Al Sadir 2-516</t>
  </si>
  <si>
    <t>الصدر-516</t>
  </si>
  <si>
    <t>Al Sadir 2-517</t>
  </si>
  <si>
    <t>الصدر-517</t>
  </si>
  <si>
    <t>Al Sadir 2-518</t>
  </si>
  <si>
    <t>الصدر-518</t>
  </si>
  <si>
    <t>Al Sadir 2-541</t>
  </si>
  <si>
    <t>الصدر-541</t>
  </si>
  <si>
    <t>Al Sadir 3-555</t>
  </si>
  <si>
    <t>الصدر 3-555</t>
  </si>
  <si>
    <t>Al Sadir 5-528</t>
  </si>
  <si>
    <t>الصدر-528</t>
  </si>
  <si>
    <t>Al Sadir 8-550</t>
  </si>
  <si>
    <t>الصدر 8-550</t>
  </si>
  <si>
    <t>Al Sadir3-535</t>
  </si>
  <si>
    <t>الصدر-535</t>
  </si>
  <si>
    <t>Al Sadir3-537</t>
  </si>
  <si>
    <t>الصدر-537</t>
  </si>
  <si>
    <t>Al Sadir4-547</t>
  </si>
  <si>
    <t>الصدر-547</t>
  </si>
  <si>
    <t>Al Sadir5-520</t>
  </si>
  <si>
    <t>الصدر-520</t>
  </si>
  <si>
    <t>Al Sadir5-522</t>
  </si>
  <si>
    <t>الصدر-522</t>
  </si>
  <si>
    <t>Al Sadir5-530</t>
  </si>
  <si>
    <t>الصدر-530</t>
  </si>
  <si>
    <t>Al Sadir5-532</t>
  </si>
  <si>
    <t>الصدر-532</t>
  </si>
  <si>
    <t>Al Sadir6-573</t>
  </si>
  <si>
    <t>الصدر-573</t>
  </si>
  <si>
    <t>Al Sadir6-575</t>
  </si>
  <si>
    <t>الصدر-575</t>
  </si>
  <si>
    <t>Al Sadir7-538</t>
  </si>
  <si>
    <t>الصدر-538</t>
  </si>
  <si>
    <t>Al Sadir7-544</t>
  </si>
  <si>
    <t>الصدر-544</t>
  </si>
  <si>
    <t>Abu Al-Khaseeb</t>
  </si>
  <si>
    <t>Abo Jawzy</t>
  </si>
  <si>
    <t>البصرة-ابو الخصيب-ابو الجوزي</t>
  </si>
  <si>
    <t>Abu flos</t>
  </si>
  <si>
    <t>البصرة-ابو الخصيب-ابو فلوس</t>
  </si>
  <si>
    <t>Abu Kusra</t>
  </si>
  <si>
    <t>ابو كوصره</t>
  </si>
  <si>
    <t>Abu magheera</t>
  </si>
  <si>
    <t>ابو مغيره</t>
  </si>
  <si>
    <t>Al Ibraheem</t>
  </si>
  <si>
    <t>ال ابراهيم</t>
  </si>
  <si>
    <t>Al-Abdaliyan</t>
  </si>
  <si>
    <t>البصرة-ابو الخصيب-العبدليان</t>
  </si>
  <si>
    <t>Al-Awjah</t>
  </si>
  <si>
    <t>البصرة-ابو الخصيب-العوجه</t>
  </si>
  <si>
    <t>Al-bahadria</t>
  </si>
  <si>
    <t xml:space="preserve">البهادرية </t>
  </si>
  <si>
    <t>Al-Dhaheeria</t>
  </si>
  <si>
    <t>ظاهرية</t>
  </si>
  <si>
    <t>Al-jadida</t>
  </si>
  <si>
    <t>البصرة-ابو الخصيب-الجُديدا</t>
  </si>
  <si>
    <t>Al-Nizelah</t>
  </si>
  <si>
    <t xml:space="preserve">النزيلة </t>
  </si>
  <si>
    <t>Al-romia</t>
  </si>
  <si>
    <t>الرومية</t>
  </si>
  <si>
    <t>Al-Sankar</t>
  </si>
  <si>
    <t>الصنكر</t>
  </si>
  <si>
    <t>Al-Sibiliat</t>
  </si>
  <si>
    <t>السيبيليات</t>
  </si>
  <si>
    <t>Awaisian</t>
  </si>
  <si>
    <t>عويسيان</t>
  </si>
  <si>
    <t>Bab al-dabagh</t>
  </si>
  <si>
    <t>باب دباغ</t>
  </si>
  <si>
    <t>Bab midan</t>
  </si>
  <si>
    <t xml:space="preserve">باب ميدان </t>
  </si>
  <si>
    <t>Bab sulaiman</t>
  </si>
  <si>
    <t>باب سليمان</t>
  </si>
  <si>
    <t>Bab taweel</t>
  </si>
  <si>
    <t>البصرة-ابو الخصيب-باب طويل</t>
  </si>
  <si>
    <t>Balad Sultan</t>
  </si>
  <si>
    <t>ابو الخصيب-بلد سلطان</t>
  </si>
  <si>
    <t>Door Alasmeadh</t>
  </si>
  <si>
    <t>البصرة-ابو الخصيب-دور الاسمدة</t>
  </si>
  <si>
    <t>Hamdan</t>
  </si>
  <si>
    <t>البصرة-ابو الخصيب-حمدن</t>
  </si>
  <si>
    <t>Hay Al Askarye</t>
  </si>
  <si>
    <t xml:space="preserve">الحي العسكري </t>
  </si>
  <si>
    <t>Kut Al Solhy</t>
  </si>
  <si>
    <t>ابو الخصيب-كوت الصلحي</t>
  </si>
  <si>
    <t>Kut thewainy</t>
  </si>
  <si>
    <t>كوت ثويني</t>
  </si>
  <si>
    <t>Mehila</t>
  </si>
  <si>
    <t>محيلة</t>
  </si>
  <si>
    <t>Mhjeran</t>
  </si>
  <si>
    <t>مهيجران</t>
  </si>
  <si>
    <t>Nahir khuz</t>
  </si>
  <si>
    <t>نهر خوز</t>
  </si>
  <si>
    <t>Yousifan</t>
  </si>
  <si>
    <t>البصرة-ابو الخصيب-يوسفان</t>
  </si>
  <si>
    <t>Al-Midaina</t>
  </si>
  <si>
    <t>Abo Shaoui</t>
  </si>
  <si>
    <t>ابو شاوي</t>
  </si>
  <si>
    <t>Abuv Ghazlan</t>
  </si>
  <si>
    <t>ابو غزلان</t>
  </si>
  <si>
    <t>Al Khas</t>
  </si>
  <si>
    <t>الخاص</t>
  </si>
  <si>
    <t>Al-a_wijah</t>
  </si>
  <si>
    <t>العويجة</t>
  </si>
  <si>
    <t>Al-rahmaniyah</t>
  </si>
  <si>
    <t xml:space="preserve">الرحمانية </t>
  </si>
  <si>
    <t>Alwan</t>
  </si>
  <si>
    <t>مدينة-العلوان</t>
  </si>
  <si>
    <t>Badran</t>
  </si>
  <si>
    <t>البصرة-المدينة-البدران</t>
  </si>
  <si>
    <t>Shuwayj</t>
  </si>
  <si>
    <t>ام الشويج</t>
  </si>
  <si>
    <t>Al-Qurna</t>
  </si>
  <si>
    <t>Al Dair-Al Zahra</t>
  </si>
  <si>
    <t>الدير-حي الزهراء</t>
  </si>
  <si>
    <t>Al Dair-Al-sharamkha</t>
  </si>
  <si>
    <t>الدير-الشرامخة</t>
  </si>
  <si>
    <t>Al Dair-Hay Al-Amil</t>
  </si>
  <si>
    <t>الدير-حي العامل</t>
  </si>
  <si>
    <t>Al Jelaa</t>
  </si>
  <si>
    <t>البصره-القرنه-الجلعه</t>
  </si>
  <si>
    <t>Al Sharsh Shalhat Al-Hassan</t>
  </si>
  <si>
    <t>الشرش-شلهة الحسن</t>
  </si>
  <si>
    <t>Al Thagar-Al-Nekhelat</t>
  </si>
  <si>
    <t>الثغر-النخيلات</t>
  </si>
  <si>
    <t>Al-Dair Al Imam Al Abas</t>
  </si>
  <si>
    <t>الدير-حي الامام العباس</t>
  </si>
  <si>
    <t>Al-mezearah</t>
  </si>
  <si>
    <t xml:space="preserve">القرنة-المزيرعة </t>
  </si>
  <si>
    <t>Al-nehairat</t>
  </si>
  <si>
    <t>النهيرات</t>
  </si>
  <si>
    <t>Al-nesaer</t>
  </si>
  <si>
    <t>النصير</t>
  </si>
  <si>
    <t>Al-shannanh</t>
  </si>
  <si>
    <t>الشنانه</t>
  </si>
  <si>
    <t>Hay al-juma_a</t>
  </si>
  <si>
    <t>البصرة-القرنة-حي جمعة</t>
  </si>
  <si>
    <t>Hay Al-Rabeaa</t>
  </si>
  <si>
    <t>Shifia</t>
  </si>
  <si>
    <t>شيفيا</t>
  </si>
  <si>
    <t>Al-Zubair</t>
  </si>
  <si>
    <t>Al Dawajin</t>
  </si>
  <si>
    <t>الزبير-الدواجن</t>
  </si>
  <si>
    <t>Al Dirhamiyah 1</t>
  </si>
  <si>
    <t>البصرة-الزبير-الدرهمية 1</t>
  </si>
  <si>
    <t>Al Mushroaa</t>
  </si>
  <si>
    <t>المشروع</t>
  </si>
  <si>
    <t>Al Petro</t>
  </si>
  <si>
    <t>الزبير-البيترو</t>
  </si>
  <si>
    <t>Al-Dur Al-Jahiza</t>
  </si>
  <si>
    <t>البصرة-الزبير-دور الجاهزة</t>
  </si>
  <si>
    <t>Al-jamhoriyah al-olah</t>
  </si>
  <si>
    <t>البصرة-الزبير-الجمهورية 1</t>
  </si>
  <si>
    <t>Al-jamhoriyah al-thaniyah</t>
  </si>
  <si>
    <t>الجمهورية 2</t>
  </si>
  <si>
    <t>Al-Kut</t>
  </si>
  <si>
    <t>الزبير-الكوت</t>
  </si>
  <si>
    <t>Al-marbed al-kadeem</t>
  </si>
  <si>
    <t xml:space="preserve">المربد القديم </t>
  </si>
  <si>
    <t>Al-rasheidiyah al-thaniyah</t>
  </si>
  <si>
    <t>البصرة-الزبير-الرشيدية 2</t>
  </si>
  <si>
    <t>Al-Rasheidiyah Alolh</t>
  </si>
  <si>
    <t>البصرة-الزبير-الرشيدية 1</t>
  </si>
  <si>
    <t>Al-Shemal Area</t>
  </si>
  <si>
    <t>البصرة-الزبير-محلة الشمال</t>
  </si>
  <si>
    <t>Al-Shuaiba Hay Al-Murtadh</t>
  </si>
  <si>
    <t>الشعيبة حي المرتضى</t>
  </si>
  <si>
    <t>Al-Zubair Hay AlAthar</t>
  </si>
  <si>
    <t>البصرة-الزبير-حي الاثار</t>
  </si>
  <si>
    <t>Door Al Dubbat</t>
  </si>
  <si>
    <t>دور الضباط</t>
  </si>
  <si>
    <t>Door al-farook</t>
  </si>
  <si>
    <t xml:space="preserve">حي الفاروق </t>
  </si>
  <si>
    <t>Door Al-Moaneaa 2 Street 14</t>
  </si>
  <si>
    <t>ام قصير-دور الموانئ 2 شارع 14</t>
  </si>
  <si>
    <t>Door Al-Mokawalat</t>
  </si>
  <si>
    <t>دور المقاولات</t>
  </si>
  <si>
    <t>الزبير حي العسكري</t>
  </si>
  <si>
    <t>Hay Al Dirhamiyah 3</t>
  </si>
  <si>
    <t>Hay Al Fedaa</t>
  </si>
  <si>
    <t xml:space="preserve">حي الفداء </t>
  </si>
  <si>
    <t>البصرة-الزبير-حي الحسين</t>
  </si>
  <si>
    <t>Hay Al Qaed Al muntadar</t>
  </si>
  <si>
    <t>حي القائد المنتظر</t>
  </si>
  <si>
    <t>Hay Al Sajad</t>
  </si>
  <si>
    <t>Hay Al-hakim 2</t>
  </si>
  <si>
    <t>البصرة-الزبير-حي الحكيم-2</t>
  </si>
  <si>
    <t>Hay Alansar 1</t>
  </si>
  <si>
    <t>البصرة-الزبير-حي الانصار 1</t>
  </si>
  <si>
    <t>Hay Alansar 2</t>
  </si>
  <si>
    <t>البصرة-الزبير-حي الانصار2</t>
  </si>
  <si>
    <t>Hay Alansar 3</t>
  </si>
  <si>
    <t>البصرة-الزبير-حي الانصار3</t>
  </si>
  <si>
    <t>Hay door al-senaah</t>
  </si>
  <si>
    <t xml:space="preserve">دور الصناعة </t>
  </si>
  <si>
    <t>Hey Al khatoa</t>
  </si>
  <si>
    <t>حي الخطوة</t>
  </si>
  <si>
    <t>khor Al Zubair-Al-khwaisat</t>
  </si>
  <si>
    <t>خور الزبير-الخويسات</t>
  </si>
  <si>
    <t>khor Al Zubair-Hay Al Baqer Al Thaniyah</t>
  </si>
  <si>
    <t>خور الزبير-الباقر الثانية</t>
  </si>
  <si>
    <t>khor Al Zubair-Hay Al Baqer Al Ula</t>
  </si>
  <si>
    <t>خور الزبير-الباقر الاولى</t>
  </si>
  <si>
    <t>khor Al Zubair-Hay AL Hasan</t>
  </si>
  <si>
    <t>البصرة-الزبير-خور الزبير-حي الحسن</t>
  </si>
  <si>
    <t>Khor Al Zubir-Al Shuqaq</t>
  </si>
  <si>
    <t>خور الزبير-الشقق</t>
  </si>
  <si>
    <t>Khor Al zubir-Hay Al Zahra</t>
  </si>
  <si>
    <t>خور الزبير-حي الزهراء</t>
  </si>
  <si>
    <t>Khor Al zubir-Hay Al-Ansar</t>
  </si>
  <si>
    <t>خور الزبير-حي الانصار</t>
  </si>
  <si>
    <t>Khor Al zubir-Hay Al-Hakeem</t>
  </si>
  <si>
    <t>خور الزبير-حي الحكيم</t>
  </si>
  <si>
    <t>Khor Al zubir-Hay Al-Rasoul</t>
  </si>
  <si>
    <t>خور الزبير-حي الرسول</t>
  </si>
  <si>
    <t>Khor Al zubir-Hay Al-Salam</t>
  </si>
  <si>
    <t>خور الزبير-حي السلام</t>
  </si>
  <si>
    <t>Mahalat Al-Arab</t>
  </si>
  <si>
    <t>البصرة-الزبير-محلة العرب</t>
  </si>
  <si>
    <t>Safwan-Hay Al Risala</t>
  </si>
  <si>
    <t>سفوان-حي الرساله</t>
  </si>
  <si>
    <t>Safwan-Hay Al Tahreer</t>
  </si>
  <si>
    <t>سفوان-حي التحرير</t>
  </si>
  <si>
    <t>Umm Qasr-Al-hindiyah Al-Janobia</t>
  </si>
  <si>
    <t>ام قصير-الهندية الجنوبية</t>
  </si>
  <si>
    <t>Umm Qasr-Door Al-Moaneaa 1-Street 10</t>
  </si>
  <si>
    <t>دور الموانئ 1-أم قصير-شارع 10</t>
  </si>
  <si>
    <t>Umm Qasr-Door Al-Moaneaa 1-Street 11</t>
  </si>
  <si>
    <t>دور الموانئ 1-أم قصير-شارع 11</t>
  </si>
  <si>
    <t>Village Al-Nakheel Al-Asria</t>
  </si>
  <si>
    <t>قرية النخيل العصرية</t>
  </si>
  <si>
    <t>5 Miles Al Bidhan</t>
  </si>
  <si>
    <t>5ميل البيضان</t>
  </si>
  <si>
    <t>5 Miles-AlHadi Al-Thalitha</t>
  </si>
  <si>
    <t xml:space="preserve">5ميل الهادي الثالثة </t>
  </si>
  <si>
    <t>Abu Hilwa</t>
  </si>
  <si>
    <t>الهارثة-ابو حلوه</t>
  </si>
  <si>
    <t>Abu sukhair</t>
  </si>
  <si>
    <t>ابو صخير</t>
  </si>
  <si>
    <t>Al Ablah</t>
  </si>
  <si>
    <t>البصرة-المعقل-الابله</t>
  </si>
  <si>
    <t>Al Amn Al Dakhly</t>
  </si>
  <si>
    <t xml:space="preserve">البصرة-الامن الداخلي </t>
  </si>
  <si>
    <t>Al Andolous</t>
  </si>
  <si>
    <t>الاندلس</t>
  </si>
  <si>
    <t>Al Ashar</t>
  </si>
  <si>
    <t>البصرة-العشار-العطيرية</t>
  </si>
  <si>
    <t>Al Ashar Center</t>
  </si>
  <si>
    <t>مركز العشار</t>
  </si>
  <si>
    <t>Al Harthah-Altaleaa</t>
  </si>
  <si>
    <t>الهارثة-الطليعة</t>
  </si>
  <si>
    <t>Al Jazair-Al-Forsey</t>
  </si>
  <si>
    <t>الجزائر-الفرسي</t>
  </si>
  <si>
    <t>Al Jumhuriya</t>
  </si>
  <si>
    <t>البصرة-الجمهورية</t>
  </si>
  <si>
    <t>Al Kaim 1</t>
  </si>
  <si>
    <t>القائم 1</t>
  </si>
  <si>
    <t>Al Khaleej1</t>
  </si>
  <si>
    <t>البصرة-الجمعيات-حي الخليج 1</t>
  </si>
  <si>
    <t>Al Khaleej2</t>
  </si>
  <si>
    <t>البصرة-الجمعيات-حي الخليج 2</t>
  </si>
  <si>
    <t>Al Khaleej4</t>
  </si>
  <si>
    <t>البصرة-الجمعيات-حي الخليج 4</t>
  </si>
  <si>
    <t>Al Maqil</t>
  </si>
  <si>
    <t>البصرة-المعقل-حي جنادين</t>
  </si>
  <si>
    <t>Al Maqil-Al-Farancea</t>
  </si>
  <si>
    <t>المعقل-الفرنسية</t>
  </si>
  <si>
    <t>Al Maqil-Al-kindi</t>
  </si>
  <si>
    <t>البصرة-المعقل-الكندي</t>
  </si>
  <si>
    <t>Al Maqil-AlAhrar</t>
  </si>
  <si>
    <t>المعقل الاحرار</t>
  </si>
  <si>
    <t>AL Mowafaqiah</t>
  </si>
  <si>
    <t>البصرة-الموفقية</t>
  </si>
  <si>
    <t>Al Muhallab</t>
  </si>
  <si>
    <t>البصرة-حي المهلب</t>
  </si>
  <si>
    <t>Al Qabla-Hay Al Baladiyat</t>
  </si>
  <si>
    <t>البصرة-القبلة-حي البلديات</t>
  </si>
  <si>
    <t>Al Qibla-Al Shahid Al Sadir</t>
  </si>
  <si>
    <t>القبلة-الشهيد الصدر</t>
  </si>
  <si>
    <t>AL Qiziza</t>
  </si>
  <si>
    <t>الكزيزه</t>
  </si>
  <si>
    <t>AL Qiziza Hay AlSalam</t>
  </si>
  <si>
    <t>الكزيزه-حي السلام</t>
  </si>
  <si>
    <t>Al Sholah</t>
  </si>
  <si>
    <t>الشعله</t>
  </si>
  <si>
    <t>Al Tameemiya</t>
  </si>
  <si>
    <t>البصرة-التميمية</t>
  </si>
  <si>
    <t>Al Tuwaysa</t>
  </si>
  <si>
    <t>البصرة-الطويسه</t>
  </si>
  <si>
    <t>Al-asma_i al-jadeed</t>
  </si>
  <si>
    <t>الاصمعي الجديد</t>
  </si>
  <si>
    <t>Al-badran</t>
  </si>
  <si>
    <t>البصرة-الهارثة-البدران</t>
  </si>
  <si>
    <t>Al-Baker &amp; Al-Ahrar</t>
  </si>
  <si>
    <t>البكر والاحرار</t>
  </si>
  <si>
    <t>Al-bradhia</t>
  </si>
  <si>
    <t>البصرة-البراضعية</t>
  </si>
  <si>
    <t>Al-hakeem</t>
  </si>
  <si>
    <t>البصرة-القبلة-حي الحكيم</t>
  </si>
  <si>
    <t>Al-hakemia</t>
  </si>
  <si>
    <t>البصرة-الحكيمية</t>
  </si>
  <si>
    <t>Al-hkadrawia</t>
  </si>
  <si>
    <t>الخضراوية</t>
  </si>
  <si>
    <t>Al-Jnaina</t>
  </si>
  <si>
    <t xml:space="preserve">الجنينة </t>
  </si>
  <si>
    <t>Al-jubaila_</t>
  </si>
  <si>
    <t>الجبيله</t>
  </si>
  <si>
    <t>Al-meshraq al-qadeem</t>
  </si>
  <si>
    <t>البصرة-المشراق القديم</t>
  </si>
  <si>
    <t>Al-Mishraq Al-Jadeed</t>
  </si>
  <si>
    <t>البصرة-المشراق-المشراق الجديد</t>
  </si>
  <si>
    <t>Al-mutaiha</t>
  </si>
  <si>
    <t xml:space="preserve">المطيحة </t>
  </si>
  <si>
    <t>Al-Rubat Al Kabeer</t>
  </si>
  <si>
    <t>البصرة-الرباط الكبير</t>
  </si>
  <si>
    <t>Al-Rubat Al Saghir</t>
  </si>
  <si>
    <t>البصرة-الرباط الصغير</t>
  </si>
  <si>
    <t>Al-Sabkha Al-Kabeera</t>
  </si>
  <si>
    <t xml:space="preserve">الصبخة الكبيرة </t>
  </si>
  <si>
    <t>Al-Sabkha Al-Sagera</t>
  </si>
  <si>
    <t xml:space="preserve">الصبخة الصغيرة </t>
  </si>
  <si>
    <t>Al-tahseeniya al-qadeema</t>
  </si>
  <si>
    <t>التحسينية القديمة</t>
  </si>
  <si>
    <t>Al-Wiless</t>
  </si>
  <si>
    <t>المعقل الوايلس</t>
  </si>
  <si>
    <t>As-sa_ii</t>
  </si>
  <si>
    <t>الساعي</t>
  </si>
  <si>
    <t>As-safat-Al Qadima</t>
  </si>
  <si>
    <t>البصرة القديمة-الصفاة</t>
  </si>
  <si>
    <t>At-tahseeniya al-jadeda</t>
  </si>
  <si>
    <t>البصرة-التحسينية-التحسينية الجديده</t>
  </si>
  <si>
    <t>Basra al qadima-Al Sadoniyah</t>
  </si>
  <si>
    <t>البصرة القديمة-السعدونية</t>
  </si>
  <si>
    <t>Braiha</t>
  </si>
  <si>
    <t xml:space="preserve">بريهة </t>
  </si>
  <si>
    <t>Casino Lebnan</t>
  </si>
  <si>
    <t>البصرة-كازينو لبنان</t>
  </si>
  <si>
    <t>collective Al Assry(5 Miles Markets)</t>
  </si>
  <si>
    <t>مجمع العصري(سوق 5ميل)</t>
  </si>
  <si>
    <t>Door al-hendiya</t>
  </si>
  <si>
    <t xml:space="preserve">دور الهندية </t>
  </si>
  <si>
    <t>Door Al-Saha</t>
  </si>
  <si>
    <t>دور الصحة</t>
  </si>
  <si>
    <t>Door Al-Shooen</t>
  </si>
  <si>
    <t>دور الشؤون</t>
  </si>
  <si>
    <t>Door Al-Shorta</t>
  </si>
  <si>
    <t>دور الشرطة</t>
  </si>
  <si>
    <t>Door as-sailo_</t>
  </si>
  <si>
    <t>دور السايلو</t>
  </si>
  <si>
    <t>Door at-taqa</t>
  </si>
  <si>
    <t xml:space="preserve">دور الطاقة </t>
  </si>
  <si>
    <t>Durr Al Naaft</t>
  </si>
  <si>
    <t>البصرة-دور النفط</t>
  </si>
  <si>
    <t xml:space="preserve">Dwaed </t>
  </si>
  <si>
    <t xml:space="preserve">دويد </t>
  </si>
  <si>
    <t>Hai al-bato_l</t>
  </si>
  <si>
    <t>حي البتول</t>
  </si>
  <si>
    <t>Hai al-hussain-1</t>
  </si>
  <si>
    <t>الحيانية-حي الحسين 1</t>
  </si>
  <si>
    <t>Hai al-hussain-2</t>
  </si>
  <si>
    <t>الحيانية-حي الحسين 2</t>
  </si>
  <si>
    <t>Hai al-kafa_at</t>
  </si>
  <si>
    <t>البصرة-حي الكفاءات</t>
  </si>
  <si>
    <t>Hai Al-Khadhraa</t>
  </si>
  <si>
    <t>حي الخضراء</t>
  </si>
  <si>
    <t>Hai al-khaleej-3</t>
  </si>
  <si>
    <t>البصرة-الجمعيات-حي الخليج 3</t>
  </si>
  <si>
    <t>Hai al-mohandesin</t>
  </si>
  <si>
    <t>البصرة-حي المهندسين</t>
  </si>
  <si>
    <t>Hai al-mu_alemin</t>
  </si>
  <si>
    <t>البصرة القديمة-حي المعلمين</t>
  </si>
  <si>
    <t>Hay Al Hussain 4</t>
  </si>
  <si>
    <t>البصرة-الحيانية-حي الحسين 4</t>
  </si>
  <si>
    <t>Hay AL Hussainyia</t>
  </si>
  <si>
    <t>البصرة-حي الحسينية</t>
  </si>
  <si>
    <t>Hay Al Jamiah</t>
  </si>
  <si>
    <t>البصرة-القبلة-حي الجامعة</t>
  </si>
  <si>
    <t>Hay Al Qaim 2</t>
  </si>
  <si>
    <t>البصرة-القبلة-القائم 2</t>
  </si>
  <si>
    <t>Hay Al Rasheed</t>
  </si>
  <si>
    <t>البصرة-القبلة-حي الرشيد</t>
  </si>
  <si>
    <t>Hay Al Risalah</t>
  </si>
  <si>
    <t>البصرة-حي الرسالة</t>
  </si>
  <si>
    <t>القبلة-حي الشهداء</t>
  </si>
  <si>
    <t>Hay Al Zaiton</t>
  </si>
  <si>
    <t>Hay Al-Asdiqaa</t>
  </si>
  <si>
    <t>حي الاصدقاء</t>
  </si>
  <si>
    <t>Hay Al-Asmae Al-Qadeem</t>
  </si>
  <si>
    <t xml:space="preserve">حي الاصمعي القديم </t>
  </si>
  <si>
    <t>Hay Al-Husain 3</t>
  </si>
  <si>
    <t>البصرة-الحيانية-حي الحسين 3</t>
  </si>
  <si>
    <t>Hay Al-Morabaa</t>
  </si>
  <si>
    <t>الحيانية حي المربع</t>
  </si>
  <si>
    <t>Hay Al-Zohoor</t>
  </si>
  <si>
    <t>البصرة-العشار-حي الزهور</t>
  </si>
  <si>
    <t>Hay Tariq</t>
  </si>
  <si>
    <t>البصرة-المعقل-حي طارق</t>
  </si>
  <si>
    <t>Karmat Ali</t>
  </si>
  <si>
    <t>كرمة علي(الكرمة مركز)</t>
  </si>
  <si>
    <t>Karmat Ali Hay Al Sadrain</t>
  </si>
  <si>
    <t>كرمة علي-حي الصدرين</t>
  </si>
  <si>
    <t>Kut al-hejaj</t>
  </si>
  <si>
    <t>البصرة-كوت الحجاج</t>
  </si>
  <si>
    <t>Kut al-hejaj-al-jadeed</t>
  </si>
  <si>
    <t>البصرة-كوت الحجاج الجديد</t>
  </si>
  <si>
    <t>Manawi Lajim Quarter</t>
  </si>
  <si>
    <t xml:space="preserve">مناوي لجم </t>
  </si>
  <si>
    <t>Manawi pasha</t>
  </si>
  <si>
    <t>مناوي باشا</t>
  </si>
  <si>
    <t>Markaz Al Harthah</t>
  </si>
  <si>
    <t>البصرة-مركز الهارثة</t>
  </si>
  <si>
    <t>Mojamaa Al Hussain Al Sakni</t>
  </si>
  <si>
    <t xml:space="preserve">مجمع الحسين السكني </t>
  </si>
  <si>
    <t>Mosa Kadhim</t>
  </si>
  <si>
    <t>البصرة-القبلة-موسى الكاظم</t>
  </si>
  <si>
    <t>Nadhran</t>
  </si>
  <si>
    <t>البصرة-نظران</t>
  </si>
  <si>
    <t>Najibiah</t>
  </si>
  <si>
    <t xml:space="preserve">نجيبية </t>
  </si>
  <si>
    <t>Sabkhat al-arab</t>
  </si>
  <si>
    <t>صبخة العرب</t>
  </si>
  <si>
    <t>Shafqat Al-Amil</t>
  </si>
  <si>
    <t>شفقة العامل</t>
  </si>
  <si>
    <t>Shatt Al-Tuark</t>
  </si>
  <si>
    <t>شط الترك</t>
  </si>
  <si>
    <t>Shuqaq al-faw</t>
  </si>
  <si>
    <t>البصرة-شقق الفاو</t>
  </si>
  <si>
    <t>Um Al Neajj</t>
  </si>
  <si>
    <t>البصرة-منطقة ام النعاج</t>
  </si>
  <si>
    <t>Yaseen Khurebtt</t>
  </si>
  <si>
    <t>ياسين خريبط</t>
  </si>
  <si>
    <t>Fao</t>
  </si>
  <si>
    <t>FAO Al Shamaliya-Hay Al Salam</t>
  </si>
  <si>
    <t>FAO Al-Shamaliya-Hay Al-Madaina</t>
  </si>
  <si>
    <t>حي المدينة</t>
  </si>
  <si>
    <t>FAO Aljanubia-Hay Al Hussain</t>
  </si>
  <si>
    <t>FAO Aljanubia-Hay Al Karar</t>
  </si>
  <si>
    <t>حي الكرار</t>
  </si>
  <si>
    <t>FAO Aljanubia-Hay Al Zahra</t>
  </si>
  <si>
    <t xml:space="preserve">Markaz Al Bahhar </t>
  </si>
  <si>
    <t>مركز البحار</t>
  </si>
  <si>
    <t>Shatt Al-Arab</t>
  </si>
  <si>
    <t>Al Hota</t>
  </si>
  <si>
    <t xml:space="preserve">الحوطة </t>
  </si>
  <si>
    <t>AL Jazira 3</t>
  </si>
  <si>
    <t>البصرة-شط العرب-الجزيرة 3</t>
  </si>
  <si>
    <t>Al Jazira-2</t>
  </si>
  <si>
    <t>البصرة-شط العرب-الجزيرة 2</t>
  </si>
  <si>
    <t>Al Nashwa-Mayah Aldhawaen</t>
  </si>
  <si>
    <t>النشوة-مياح الضواعن</t>
  </si>
  <si>
    <t>Al Sahel village</t>
  </si>
  <si>
    <t>شط العرب التنومه-الساحل</t>
  </si>
  <si>
    <t>Al-Kibasi Kabeer</t>
  </si>
  <si>
    <t>البصرة-شط العرب-الكباسي الكبير</t>
  </si>
  <si>
    <t>Alzregi</t>
  </si>
  <si>
    <t>الزريجي</t>
  </si>
  <si>
    <t>As salehiyah</t>
  </si>
  <si>
    <t xml:space="preserve">الصالحية </t>
  </si>
  <si>
    <t>Geridlan</t>
  </si>
  <si>
    <t>شط العرب التنومه-كردلان</t>
  </si>
  <si>
    <t>Hay al-jami_a</t>
  </si>
  <si>
    <t>البصرة-شط العرب-حي الجامعة</t>
  </si>
  <si>
    <t>Markaz Shat Al-Arab-Al Jazira 4</t>
  </si>
  <si>
    <t>البصرة-شط العرب-الجزيرة 4</t>
  </si>
  <si>
    <t>Shatt Al-Arab-Tanoma-17 St</t>
  </si>
  <si>
    <t>التنومه شارع 17</t>
  </si>
  <si>
    <t>Shatt Al-Arab-Tanoma-36 St</t>
  </si>
  <si>
    <t>شط العرب التنومه-شارع 36</t>
  </si>
  <si>
    <t>Street 40</t>
  </si>
  <si>
    <t>شط العرب التنومه-شارع 40</t>
  </si>
  <si>
    <t>Amedi</t>
  </si>
  <si>
    <t>عمادية</t>
  </si>
  <si>
    <t>Aradin</t>
  </si>
  <si>
    <t>ارادن</t>
  </si>
  <si>
    <t>Azadi</t>
  </si>
  <si>
    <t>آزادي</t>
  </si>
  <si>
    <t>Bamarne</t>
  </si>
  <si>
    <t>بامرني</t>
  </si>
  <si>
    <t>Chamanke</t>
  </si>
  <si>
    <t>جمانكي</t>
  </si>
  <si>
    <t>مخيم داودية</t>
  </si>
  <si>
    <t>Deraluk</t>
  </si>
  <si>
    <t>ديرلوك</t>
  </si>
  <si>
    <t>Inishke</t>
  </si>
  <si>
    <t>اينشكي</t>
  </si>
  <si>
    <t>Kani</t>
  </si>
  <si>
    <t>كاني</t>
  </si>
  <si>
    <t>Kani Mase</t>
  </si>
  <si>
    <t>كاني ماسي</t>
  </si>
  <si>
    <t>Kaniya Mala</t>
  </si>
  <si>
    <t>كانيا مالا</t>
  </si>
  <si>
    <t>Mizi Village</t>
  </si>
  <si>
    <t>قرية ميزي</t>
  </si>
  <si>
    <t>Qadish Collective</t>
  </si>
  <si>
    <t>قدش</t>
  </si>
  <si>
    <t>Sarsink</t>
  </si>
  <si>
    <t>سرسنك</t>
  </si>
  <si>
    <t>Sheladize Collective</t>
  </si>
  <si>
    <t>شيلادزي</t>
  </si>
  <si>
    <t>Sikreen</t>
  </si>
  <si>
    <t>سكرين</t>
  </si>
  <si>
    <t>Sowaratoka</t>
  </si>
  <si>
    <t>سوارتوكا</t>
  </si>
  <si>
    <t>Al Jamyah</t>
  </si>
  <si>
    <t>Al Sinaah</t>
  </si>
  <si>
    <t>الصناعة</t>
  </si>
  <si>
    <t>Ashti</t>
  </si>
  <si>
    <t>آشتي</t>
  </si>
  <si>
    <t>Avrike</t>
  </si>
  <si>
    <t>افريكي</t>
  </si>
  <si>
    <t>Bablu</t>
  </si>
  <si>
    <t>بابلو</t>
  </si>
  <si>
    <t>Bagera</t>
  </si>
  <si>
    <t>باكيرا</t>
  </si>
  <si>
    <t>Bahdinan</t>
  </si>
  <si>
    <t>بهدينان</t>
  </si>
  <si>
    <t>Banasora</t>
  </si>
  <si>
    <t>بانصورا</t>
  </si>
  <si>
    <t>Banye</t>
  </si>
  <si>
    <t>باني</t>
  </si>
  <si>
    <t>Baroshke</t>
  </si>
  <si>
    <t>بروشكي</t>
  </si>
  <si>
    <t>Baroshke Complex</t>
  </si>
  <si>
    <t>مجمع بروشكي</t>
  </si>
  <si>
    <t>Bazaar</t>
  </si>
  <si>
    <t>بازار(سوق رئيسي)</t>
  </si>
  <si>
    <t>Betase</t>
  </si>
  <si>
    <t>بيتاسي</t>
  </si>
  <si>
    <t>Bintika</t>
  </si>
  <si>
    <t>بنتيكا</t>
  </si>
  <si>
    <t>Botan</t>
  </si>
  <si>
    <t>بوتان</t>
  </si>
  <si>
    <t>Dabin</t>
  </si>
  <si>
    <t>دابين</t>
  </si>
  <si>
    <t>Dabin 2</t>
  </si>
  <si>
    <t>دابين 2</t>
  </si>
  <si>
    <t>Diyari</t>
  </si>
  <si>
    <t>دياري</t>
  </si>
  <si>
    <t>Eminke</t>
  </si>
  <si>
    <t>Etit</t>
  </si>
  <si>
    <t>ايتيت</t>
  </si>
  <si>
    <t>Gali Dohuk</t>
  </si>
  <si>
    <t>كلي دهوك</t>
  </si>
  <si>
    <t>Gavarrke</t>
  </si>
  <si>
    <t>كفركي</t>
  </si>
  <si>
    <t>Kari Basi</t>
  </si>
  <si>
    <t>كري باصي</t>
  </si>
  <si>
    <t>Kevila</t>
  </si>
  <si>
    <t>كيفيلا</t>
  </si>
  <si>
    <t>Khabat Kojar</t>
  </si>
  <si>
    <t>خبات(كوجر)</t>
  </si>
  <si>
    <t>Kora</t>
  </si>
  <si>
    <t>كورا</t>
  </si>
  <si>
    <t>Kovle</t>
  </si>
  <si>
    <t>كوفلي</t>
  </si>
  <si>
    <t>Lower Malta</t>
  </si>
  <si>
    <t>مالتا سفلى</t>
  </si>
  <si>
    <t>Mangesh</t>
  </si>
  <si>
    <t>مانكيش</t>
  </si>
  <si>
    <t>Masik-1</t>
  </si>
  <si>
    <t>ماسيك 1</t>
  </si>
  <si>
    <t>Masik-2</t>
  </si>
  <si>
    <t>ماسيك 2</t>
  </si>
  <si>
    <t>Mazi</t>
  </si>
  <si>
    <t>مازي</t>
  </si>
  <si>
    <t>Midiya</t>
  </si>
  <si>
    <t>ميديا</t>
  </si>
  <si>
    <t>Mjlmakht</t>
  </si>
  <si>
    <t>مجلمخت</t>
  </si>
  <si>
    <t>Muhabad</t>
  </si>
  <si>
    <t>مهاباد</t>
  </si>
  <si>
    <t>Naor</t>
  </si>
  <si>
    <t>ناعور</t>
  </si>
  <si>
    <t>Nawroz</t>
  </si>
  <si>
    <t>نوروز</t>
  </si>
  <si>
    <t>Nazarke</t>
  </si>
  <si>
    <t>نزاركي</t>
  </si>
  <si>
    <t>Qassara</t>
  </si>
  <si>
    <t>قسارا</t>
  </si>
  <si>
    <t>Rashanke</t>
  </si>
  <si>
    <t>رشانكي</t>
  </si>
  <si>
    <t>Raza</t>
  </si>
  <si>
    <t>رزا</t>
  </si>
  <si>
    <t>Sarbasti</t>
  </si>
  <si>
    <t>سربستي</t>
  </si>
  <si>
    <t>Sarheldan</t>
  </si>
  <si>
    <t>سرهلدان</t>
  </si>
  <si>
    <t>Shahidan</t>
  </si>
  <si>
    <t>شهيدان</t>
  </si>
  <si>
    <t>Shakhke</t>
  </si>
  <si>
    <t>شاخكي</t>
  </si>
  <si>
    <t>Shele</t>
  </si>
  <si>
    <t>شيلي</t>
  </si>
  <si>
    <t>Shindukha</t>
  </si>
  <si>
    <t>شندوخا</t>
  </si>
  <si>
    <t>Upper Malta</t>
  </si>
  <si>
    <t>مالتا العليا</t>
  </si>
  <si>
    <t>Zawita</t>
  </si>
  <si>
    <t>زاويتة</t>
  </si>
  <si>
    <t>Zeri Land</t>
  </si>
  <si>
    <t>زري لاند</t>
  </si>
  <si>
    <t>Zirka</t>
  </si>
  <si>
    <t>زركا</t>
  </si>
  <si>
    <t>Zozan</t>
  </si>
  <si>
    <t>زوزان</t>
  </si>
  <si>
    <t>Sumel</t>
  </si>
  <si>
    <t>Avro City</t>
  </si>
  <si>
    <t>افرو سيتي</t>
  </si>
  <si>
    <t>Bajet Kandala Camp</t>
  </si>
  <si>
    <t>مخيم باجت كندالا</t>
  </si>
  <si>
    <t>Bakhitme</t>
  </si>
  <si>
    <t>Basetki</t>
  </si>
  <si>
    <t>باستكي</t>
  </si>
  <si>
    <t>Batel</t>
  </si>
  <si>
    <t>باتيل</t>
  </si>
  <si>
    <t>Bazalan</t>
  </si>
  <si>
    <t>بازلان</t>
  </si>
  <si>
    <t>Dolib</t>
  </si>
  <si>
    <t>دلب</t>
  </si>
  <si>
    <t>Domiz-Halat</t>
  </si>
  <si>
    <t>دوميز هلات</t>
  </si>
  <si>
    <t>Domiz-Rozh</t>
  </si>
  <si>
    <t>دوميز روز</t>
  </si>
  <si>
    <t>Fayda</t>
  </si>
  <si>
    <t>فايدة</t>
  </si>
  <si>
    <t>Girsheen</t>
  </si>
  <si>
    <t>كرشين</t>
  </si>
  <si>
    <t>Haweri</t>
  </si>
  <si>
    <t>هويري</t>
  </si>
  <si>
    <t>Hawshke</t>
  </si>
  <si>
    <t>حوشكي</t>
  </si>
  <si>
    <t>Kabarto</t>
  </si>
  <si>
    <t>كبرتو</t>
  </si>
  <si>
    <t>Kabarto 1 Camp</t>
  </si>
  <si>
    <t>مخيم كبرتو 1</t>
  </si>
  <si>
    <t>Kabarto 2 Camp</t>
  </si>
  <si>
    <t>مخيم كبرتو 2</t>
  </si>
  <si>
    <t>Kamona</t>
  </si>
  <si>
    <t>كمونا</t>
  </si>
  <si>
    <t>Kar City</t>
  </si>
  <si>
    <t>كار ستي</t>
  </si>
  <si>
    <t>Khanke Camp</t>
  </si>
  <si>
    <t>مخيم خانكي</t>
  </si>
  <si>
    <t>Khanke Qadima</t>
  </si>
  <si>
    <t>خانكي قديمة</t>
  </si>
  <si>
    <t>Kherava</t>
  </si>
  <si>
    <t>خيرافا</t>
  </si>
  <si>
    <t>Marina</t>
  </si>
  <si>
    <t>مرينا</t>
  </si>
  <si>
    <t>Misereek</t>
  </si>
  <si>
    <t>مسيريك</t>
  </si>
  <si>
    <t>Moaskar Domiz</t>
  </si>
  <si>
    <t>معسكر دوميز</t>
  </si>
  <si>
    <t>Namrike</t>
  </si>
  <si>
    <t>نمريكي</t>
  </si>
  <si>
    <t>Nawro City</t>
  </si>
  <si>
    <t>نورو ستي</t>
  </si>
  <si>
    <t>New Zinya</t>
  </si>
  <si>
    <t>زينيا جديدة</t>
  </si>
  <si>
    <t>Old Mam Shvana</t>
  </si>
  <si>
    <t>مام شفانا قديمة</t>
  </si>
  <si>
    <t>Old Qasr Yazddin</t>
  </si>
  <si>
    <t>قسريزدين قديمة</t>
  </si>
  <si>
    <t>Old Sorka</t>
  </si>
  <si>
    <t>صوركا قديمة</t>
  </si>
  <si>
    <t>Old Zinya</t>
  </si>
  <si>
    <t>زينيا قديمة</t>
  </si>
  <si>
    <t>Qasr Yazddin</t>
  </si>
  <si>
    <t>قسر يزدين</t>
  </si>
  <si>
    <t>Ramilan City</t>
  </si>
  <si>
    <t>راميلان ستي</t>
  </si>
  <si>
    <t>Ribeybi</t>
  </si>
  <si>
    <t>ربيبي</t>
  </si>
  <si>
    <t>Rwanga Community Camp</t>
  </si>
  <si>
    <t>مخيم روانكه</t>
  </si>
  <si>
    <t>Seje</t>
  </si>
  <si>
    <t>سيجي</t>
  </si>
  <si>
    <t>Semel</t>
  </si>
  <si>
    <t>سيميل</t>
  </si>
  <si>
    <t>Shariya</t>
  </si>
  <si>
    <t>شاريا</t>
  </si>
  <si>
    <t>Shariya Camp</t>
  </si>
  <si>
    <t>مخيم شاريا</t>
  </si>
  <si>
    <t>Shorash</t>
  </si>
  <si>
    <t>شورش</t>
  </si>
  <si>
    <t>Small Mam Shvana</t>
  </si>
  <si>
    <t>مام شفانا صغيرة</t>
  </si>
  <si>
    <t>Soriya</t>
  </si>
  <si>
    <t>صوريا</t>
  </si>
  <si>
    <t>Tanahi</t>
  </si>
  <si>
    <t>تناهي</t>
  </si>
  <si>
    <t>Waarvin City</t>
  </si>
  <si>
    <t>وارفين ستي</t>
  </si>
  <si>
    <t>War City</t>
  </si>
  <si>
    <t>وار ستي</t>
  </si>
  <si>
    <t>Zakho</t>
  </si>
  <si>
    <t>Abasiya Sector</t>
  </si>
  <si>
    <t>قطاع عباسية</t>
  </si>
  <si>
    <t>Afirma</t>
  </si>
  <si>
    <t>افرما</t>
  </si>
  <si>
    <t>Ashe Chami Sector</t>
  </si>
  <si>
    <t>قطاع آشي جمي</t>
  </si>
  <si>
    <t>Batifa</t>
  </si>
  <si>
    <t>باتيفا</t>
  </si>
  <si>
    <t>Bazar Sector</t>
  </si>
  <si>
    <t>قطاع بازار</t>
  </si>
  <si>
    <t>Bedar Sector</t>
  </si>
  <si>
    <t>قطاع بيدار</t>
  </si>
  <si>
    <t>مخيم بيرسفي1</t>
  </si>
  <si>
    <t>مخيم بيرسفي2</t>
  </si>
  <si>
    <t>Betase Sector</t>
  </si>
  <si>
    <t>قطاع بيتاسي</t>
  </si>
  <si>
    <t>Chamishku Camp</t>
  </si>
  <si>
    <t>مخيم جمشكو</t>
  </si>
  <si>
    <t>Chamkork</t>
  </si>
  <si>
    <t>جم كورك</t>
  </si>
  <si>
    <t>Darkar</t>
  </si>
  <si>
    <t>دركار</t>
  </si>
  <si>
    <t>Darkar Camp</t>
  </si>
  <si>
    <t>مخيم دركار</t>
  </si>
  <si>
    <t>Diraboon</t>
  </si>
  <si>
    <t>ديربون</t>
  </si>
  <si>
    <t>Firqa Sector</t>
  </si>
  <si>
    <t>قطاع فرقة</t>
  </si>
  <si>
    <t>فيشخابور</t>
  </si>
  <si>
    <t>Khrababka Sector</t>
  </si>
  <si>
    <t>قطاع خرابابكا</t>
  </si>
  <si>
    <t>Kochka Honari</t>
  </si>
  <si>
    <t>قطاع كوجكا هوناري</t>
  </si>
  <si>
    <t>Levo</t>
  </si>
  <si>
    <t>ليفو</t>
  </si>
  <si>
    <t>Mergasor</t>
  </si>
  <si>
    <t>ميركاسور</t>
  </si>
  <si>
    <t>Nafkandala</t>
  </si>
  <si>
    <t>نافكندالا</t>
  </si>
  <si>
    <t>Qarawla</t>
  </si>
  <si>
    <t>قرولا</t>
  </si>
  <si>
    <t>Rizgari</t>
  </si>
  <si>
    <t>رزكاري</t>
  </si>
  <si>
    <t>Rkawa Sector</t>
  </si>
  <si>
    <t>قطاع ركاوا</t>
  </si>
  <si>
    <t>Shabaniya Sector</t>
  </si>
  <si>
    <t>قطاع شعبانية</t>
  </si>
  <si>
    <t>Al-Khalis</t>
  </si>
  <si>
    <t>Al Ghalbiya</t>
  </si>
  <si>
    <t>الغالبية</t>
  </si>
  <si>
    <t>Al Gserin Village</t>
  </si>
  <si>
    <t>قرية كصيرين</t>
  </si>
  <si>
    <t>Al Hadid</t>
  </si>
  <si>
    <t>الحديد</t>
  </si>
  <si>
    <t>Al Hadid Old</t>
  </si>
  <si>
    <t>الحديد القديمة</t>
  </si>
  <si>
    <t>Al Hadid-Al Benook Qtr</t>
  </si>
  <si>
    <t>الحديد-حي البنوك</t>
  </si>
  <si>
    <t>قرية المكاريين</t>
  </si>
  <si>
    <t>Al Mansouriyah-Sherween</t>
  </si>
  <si>
    <t>المنصورية-شروين</t>
  </si>
  <si>
    <t>قرية المشروع</t>
  </si>
  <si>
    <t>Al Mohandseen Alzraeen Village</t>
  </si>
  <si>
    <t>قرية المهندسين الزراعيين</t>
  </si>
  <si>
    <t>Al Qadissiya Qtr</t>
  </si>
  <si>
    <t>Al Sadah Al Neeam Village</t>
  </si>
  <si>
    <t>قرية السادة النعيم</t>
  </si>
  <si>
    <t>Al Sadah Village</t>
  </si>
  <si>
    <t>قرية السادة</t>
  </si>
  <si>
    <t>ناحية السلام-مركز الناحية</t>
  </si>
  <si>
    <t>Al Sindiyah village</t>
  </si>
  <si>
    <t>قرية السندية</t>
  </si>
  <si>
    <t>Arab Hafedh Village</t>
  </si>
  <si>
    <t>قرية عرب حافظ</t>
  </si>
  <si>
    <t>Arab Hamdan Village</t>
  </si>
  <si>
    <t>قرية عرب حمدان</t>
  </si>
  <si>
    <t>Arab Shanon</t>
  </si>
  <si>
    <t>عرب شعنون</t>
  </si>
  <si>
    <t>Arab Tetn village</t>
  </si>
  <si>
    <t>قرية عرب تتن</t>
  </si>
  <si>
    <t>دلي عباس-حي الضباط</t>
  </si>
  <si>
    <t>قرية داوود السلوم</t>
  </si>
  <si>
    <t>Hawaish Village</t>
  </si>
  <si>
    <t>قرية الحويش</t>
  </si>
  <si>
    <t>Hibhib-Abo Khurda Village</t>
  </si>
  <si>
    <t>هبهب-قرية ابو خردة</t>
  </si>
  <si>
    <t>Hibhib-Al Askary Qtr</t>
  </si>
  <si>
    <t>الحي العسكري</t>
  </si>
  <si>
    <t>Hibhib-Al Asry Qtr</t>
  </si>
  <si>
    <t>الحي العصري</t>
  </si>
  <si>
    <t>Hibhib-Al Hashmya Village</t>
  </si>
  <si>
    <t>هبهب-قرية الهاشمية</t>
  </si>
  <si>
    <t>Hibhib-Al Lokmanya Village</t>
  </si>
  <si>
    <t>هبهب-قرية اللقمانية</t>
  </si>
  <si>
    <t>Hibhib-Al Shohadaa Qtr</t>
  </si>
  <si>
    <t>هبهب-حي الشهداء</t>
  </si>
  <si>
    <t>Hibhib-Al Yarmook Qtr</t>
  </si>
  <si>
    <t>هبهب-حي اليرموك</t>
  </si>
  <si>
    <t>Hibhib-Hay Al Resala</t>
  </si>
  <si>
    <t>هبهب-حي الرسالة</t>
  </si>
  <si>
    <t>Jadidat Al Shat village</t>
  </si>
  <si>
    <t>قرية جديدة الشط</t>
  </si>
  <si>
    <t>Markaz Al Khalis</t>
  </si>
  <si>
    <t>مركز الخالص</t>
  </si>
  <si>
    <t>Markaz Hibhib</t>
  </si>
  <si>
    <t>مركز هبهب</t>
  </si>
  <si>
    <t>Mujadad village</t>
  </si>
  <si>
    <t>قرية المجدد</t>
  </si>
  <si>
    <t>Saif Saad Qtr</t>
  </si>
  <si>
    <t>حي سيف سعد</t>
  </si>
  <si>
    <t>Al-Muqdadiya</t>
  </si>
  <si>
    <t>Al Abaraa Village</t>
  </si>
  <si>
    <t>قرية العبارة</t>
  </si>
  <si>
    <t>Ba'quba</t>
  </si>
  <si>
    <t>Al Asri Qtr</t>
  </si>
  <si>
    <t>حي العصري</t>
  </si>
  <si>
    <t>Al Badaa Village</t>
  </si>
  <si>
    <t>Al Dawasir Qtr</t>
  </si>
  <si>
    <t>حي الدواسر</t>
  </si>
  <si>
    <t>Al Doryeen Village</t>
  </si>
  <si>
    <t>قرية الدوريين</t>
  </si>
  <si>
    <t>Al Gatoon-Al Mujama Qtr</t>
  </si>
  <si>
    <t>الكاطون-حي المجمع</t>
  </si>
  <si>
    <t>Al Gatoon-Al rahma</t>
  </si>
  <si>
    <t>الكاطون-الرحمة</t>
  </si>
  <si>
    <t>Al Gatoon-Al Yarmook Qtr</t>
  </si>
  <si>
    <t>الكاطون-حي اليرموك</t>
  </si>
  <si>
    <t>Al Hawidar</t>
  </si>
  <si>
    <t>الهويدر</t>
  </si>
  <si>
    <t>Al Intesar-1 Qtr</t>
  </si>
  <si>
    <t>حي الانتصار 1</t>
  </si>
  <si>
    <t>Al Karama village</t>
  </si>
  <si>
    <t xml:space="preserve">قرية الكرامة </t>
  </si>
  <si>
    <t>Al Khadra Qtr</t>
  </si>
  <si>
    <t>Al Mafraq</t>
  </si>
  <si>
    <t>المفرق</t>
  </si>
  <si>
    <t>Al Mashtl Qtr</t>
  </si>
  <si>
    <t>Al Nasr Qtr</t>
  </si>
  <si>
    <t>Al Oroba Qtr</t>
  </si>
  <si>
    <t>Al Qadisiya Qtr</t>
  </si>
  <si>
    <t>Al Rasool Qtr</t>
  </si>
  <si>
    <t>Al Resala Qtr</t>
  </si>
  <si>
    <t>Al Sabtiyah village</t>
  </si>
  <si>
    <t>قرية السبتية</t>
  </si>
  <si>
    <t>Al Sadah village</t>
  </si>
  <si>
    <t xml:space="preserve">قرية السادة </t>
  </si>
  <si>
    <t>قرية السعادة</t>
  </si>
  <si>
    <t>Al Sadiq Qtr</t>
  </si>
  <si>
    <t>Al Salam Qtr</t>
  </si>
  <si>
    <t>Al Shikh village</t>
  </si>
  <si>
    <t xml:space="preserve">قرية الشيخ </t>
  </si>
  <si>
    <t>Al Shrika Qtr</t>
  </si>
  <si>
    <t>حي الشركة</t>
  </si>
  <si>
    <t>Al Tahreer</t>
  </si>
  <si>
    <t>التحرير</t>
  </si>
  <si>
    <t>Al Takiya</t>
  </si>
  <si>
    <t xml:space="preserve">التكية </t>
  </si>
  <si>
    <t>Al-Manjara Qtr</t>
  </si>
  <si>
    <t>حي المنجرة</t>
  </si>
  <si>
    <t>Al-Mualimeen-Shahid wadah Qtr</t>
  </si>
  <si>
    <t>حي المعلمين-الشهيد وضاح</t>
  </si>
  <si>
    <t>Al-Mualmeen Qtr</t>
  </si>
  <si>
    <t xml:space="preserve">حي المعلمين </t>
  </si>
  <si>
    <t>Al-Mustafa Qtr</t>
  </si>
  <si>
    <t>Al-Qatoon-Al Raazi Qtr</t>
  </si>
  <si>
    <t>الكاطون-حي الرازي</t>
  </si>
  <si>
    <t>Al-Shuhada Qtr</t>
  </si>
  <si>
    <t>Al-Sumud Qtr</t>
  </si>
  <si>
    <t>حي الصمود</t>
  </si>
  <si>
    <t>Al-Swamra village</t>
  </si>
  <si>
    <t>قرية السوامرة</t>
  </si>
  <si>
    <t>Bane Saad-Al-Askari Qtr</t>
  </si>
  <si>
    <t>Bani Saad-Al Salam Qtr</t>
  </si>
  <si>
    <t>بني سعد-حي السلام</t>
  </si>
  <si>
    <t>Bani Saad-Zahraa Qtr</t>
  </si>
  <si>
    <t>بني سعد-حي زهراء</t>
  </si>
  <si>
    <t>Buhriz-Abdulah Jasim village</t>
  </si>
  <si>
    <t>قرية عبد الله جاسم</t>
  </si>
  <si>
    <t>Buhriz-Al Bwadish village</t>
  </si>
  <si>
    <t>قرية البواديش</t>
  </si>
  <si>
    <t>Buhriz-Al-Asri Qtr</t>
  </si>
  <si>
    <t>بهرز-الحي العصري</t>
  </si>
  <si>
    <t>Buhriz-Al-Mustafa Qtr</t>
  </si>
  <si>
    <t>بهرز-حي المصطفى</t>
  </si>
  <si>
    <t>Buhriz-Borgha Qtr</t>
  </si>
  <si>
    <t>بهرز-حي برغة</t>
  </si>
  <si>
    <t>Buhriz-Shatib village</t>
  </si>
  <si>
    <t>قرية شطب</t>
  </si>
  <si>
    <t>Dor Mindli Qtr</t>
  </si>
  <si>
    <t>حي دور مندلي</t>
  </si>
  <si>
    <t>Ejbainat village</t>
  </si>
  <si>
    <t>قرية جبينات</t>
  </si>
  <si>
    <t>Fars Tarish Village</t>
  </si>
  <si>
    <t>قرية فارس طارش</t>
  </si>
  <si>
    <t>Had Al-Akhdhar village</t>
  </si>
  <si>
    <t xml:space="preserve">قرية الحد الاخضر </t>
  </si>
  <si>
    <t>Had Mekser</t>
  </si>
  <si>
    <t>حد مكسر</t>
  </si>
  <si>
    <t>Jorf Al Milih Qtr</t>
  </si>
  <si>
    <t>حي جرف الملح</t>
  </si>
  <si>
    <t>Kanbar Village</t>
  </si>
  <si>
    <t>قرية قنبر</t>
  </si>
  <si>
    <t>Khirnabat village</t>
  </si>
  <si>
    <t xml:space="preserve">قرية خرنابات </t>
  </si>
  <si>
    <t>Markaz Al Abara</t>
  </si>
  <si>
    <t>مركز ناحية العبارة</t>
  </si>
  <si>
    <t>Markaz Kanaan</t>
  </si>
  <si>
    <t xml:space="preserve">مركز ناحية كنعان </t>
  </si>
  <si>
    <t>Mohamed sakran</t>
  </si>
  <si>
    <t>محمد سكران</t>
  </si>
  <si>
    <t>Muskar Saad Camp</t>
  </si>
  <si>
    <t>مخيم معسكر سعد</t>
  </si>
  <si>
    <t>Muskar Saad Qtr</t>
  </si>
  <si>
    <t xml:space="preserve">حي معسكر سعد </t>
  </si>
  <si>
    <t>Nahr Al-Hajiyah Qtr</t>
  </si>
  <si>
    <t>حي نهر الحجية</t>
  </si>
  <si>
    <t>Nahr Alshikh Village</t>
  </si>
  <si>
    <t>قرية نهر الشيخ</t>
  </si>
  <si>
    <t>Nahr Ibraheem Village</t>
  </si>
  <si>
    <t>قرية نهر ابراهيم</t>
  </si>
  <si>
    <t>Nahr Shekh Tamem Village</t>
  </si>
  <si>
    <t>قرية نهر شيخ تميم</t>
  </si>
  <si>
    <t>New Baquba Qtr</t>
  </si>
  <si>
    <t>حي بعقوبة الجديدة</t>
  </si>
  <si>
    <t>Sesbana Village</t>
  </si>
  <si>
    <t>قرية سيسبانه</t>
  </si>
  <si>
    <t>Shiftah Village</t>
  </si>
  <si>
    <t xml:space="preserve">قرية شفته </t>
  </si>
  <si>
    <t>Um Al Edam Village</t>
  </si>
  <si>
    <t>قرية ام العظام</t>
  </si>
  <si>
    <t>Zahrah Village</t>
  </si>
  <si>
    <t xml:space="preserve">قرية زهرة </t>
  </si>
  <si>
    <t>Baladrooz</t>
  </si>
  <si>
    <t>Al Bazaniya village</t>
  </si>
  <si>
    <t>قرية البزانية</t>
  </si>
  <si>
    <t>Al-Asri Qtr</t>
  </si>
  <si>
    <t>Al-Ramaila Village</t>
  </si>
  <si>
    <t>قرية رميلة</t>
  </si>
  <si>
    <t>Al-Sadrania village</t>
  </si>
  <si>
    <t>قرية الصدرانية</t>
  </si>
  <si>
    <t>Dur Mandiliy Qtr</t>
  </si>
  <si>
    <t>Eksairat village</t>
  </si>
  <si>
    <t>قرية كسيرات</t>
  </si>
  <si>
    <t>Hay Al Bakir</t>
  </si>
  <si>
    <t>حي البكر</t>
  </si>
  <si>
    <t>Markaz Mandali</t>
  </si>
  <si>
    <t>مركز مندلي</t>
  </si>
  <si>
    <t>Khanaqin</t>
  </si>
  <si>
    <t>Agha and Khalifa</t>
  </si>
  <si>
    <t>أغا وخليفة</t>
  </si>
  <si>
    <t>Ahmed Hilal village</t>
  </si>
  <si>
    <t>قرية احمد هلال</t>
  </si>
  <si>
    <t>Ahmed Taher Village</t>
  </si>
  <si>
    <t>قرية احمد طاهر</t>
  </si>
  <si>
    <t>Al Askari Qtr</t>
  </si>
  <si>
    <t>حي عسكري</t>
  </si>
  <si>
    <t>Al Ukhwah village</t>
  </si>
  <si>
    <t>قرية الاخوة</t>
  </si>
  <si>
    <t>Al Wand 2 Camp</t>
  </si>
  <si>
    <t>مخيم الوند 2</t>
  </si>
  <si>
    <t>aldarawsha village</t>
  </si>
  <si>
    <t>قرية الدراوشة</t>
  </si>
  <si>
    <t>Ali Beck village</t>
  </si>
  <si>
    <t>قرية علي بيك</t>
  </si>
  <si>
    <t>Ali Murad village</t>
  </si>
  <si>
    <t>قرية علي مراد</t>
  </si>
  <si>
    <t>Ali Saadoun village</t>
  </si>
  <si>
    <t>قرية علي سعدون</t>
  </si>
  <si>
    <t>alkalah village</t>
  </si>
  <si>
    <t>قرية القلعة</t>
  </si>
  <si>
    <t>alkubeah small village</t>
  </si>
  <si>
    <t>قرية الكبية الصغيرة</t>
  </si>
  <si>
    <t>Alshortah Qtr</t>
  </si>
  <si>
    <t>Arkawazi Qtr</t>
  </si>
  <si>
    <t>حي اركوازي</t>
  </si>
  <si>
    <t>Bahari Taza Area</t>
  </si>
  <si>
    <t>منطقة بهار تازة</t>
  </si>
  <si>
    <t>Bakhtiari Qtr</t>
  </si>
  <si>
    <t>حي بختياري</t>
  </si>
  <si>
    <t>bani arkab village</t>
  </si>
  <si>
    <t>قرية بني اركاب</t>
  </si>
  <si>
    <t>Banmil-1 Qtr</t>
  </si>
  <si>
    <t>حي بانميل-1</t>
  </si>
  <si>
    <t>Banmil-2 Qtr</t>
  </si>
  <si>
    <t>حي بانميل-2</t>
  </si>
  <si>
    <t>Banmil-3 Qtr</t>
  </si>
  <si>
    <t>حي بانميل-3</t>
  </si>
  <si>
    <t>Basha Kobry Qtr</t>
  </si>
  <si>
    <t>حي باشا كوبري</t>
  </si>
  <si>
    <t>Clay Hussein village</t>
  </si>
  <si>
    <t>قرية كلاي حسين</t>
  </si>
  <si>
    <t>Dara Konarh Qtr</t>
  </si>
  <si>
    <t>حي دارة كونارة</t>
  </si>
  <si>
    <t>darwish village</t>
  </si>
  <si>
    <t>قرية درويش</t>
  </si>
  <si>
    <t>Elean village</t>
  </si>
  <si>
    <t>قرية عليان</t>
  </si>
  <si>
    <t>habib Abdullah village</t>
  </si>
  <si>
    <t>قرية حبيب عبد الله</t>
  </si>
  <si>
    <t>Hassan Garad Village</t>
  </si>
  <si>
    <t>قرية حسن جراد</t>
  </si>
  <si>
    <t>Ibrahim bek village</t>
  </si>
  <si>
    <t>قرية ابراهيم بيك</t>
  </si>
  <si>
    <t>Imam Abass Qtr</t>
  </si>
  <si>
    <t>حي إمام عباس</t>
  </si>
  <si>
    <t>Jibraoh village</t>
  </si>
  <si>
    <t>قرية جبراوة</t>
  </si>
  <si>
    <t>kader bek village</t>
  </si>
  <si>
    <t>قرية قادر بيك</t>
  </si>
  <si>
    <t>Kahriaz Sofla Area</t>
  </si>
  <si>
    <t>منطقة كهريز السفلى</t>
  </si>
  <si>
    <t>Kallat(Al Wand 1 Camp)</t>
  </si>
  <si>
    <t>كلات(مخيم الوند 1)</t>
  </si>
  <si>
    <t>Karim alDaoud village</t>
  </si>
  <si>
    <t>قرية كريم الداود</t>
  </si>
  <si>
    <t>Malik Shah Qtr</t>
  </si>
  <si>
    <t>حي ملك شاه</t>
  </si>
  <si>
    <t>Mazrah Qtr</t>
  </si>
  <si>
    <t>حي مزرعة</t>
  </si>
  <si>
    <t>mohammed humeli village</t>
  </si>
  <si>
    <t>قرية محمد هميلي</t>
  </si>
  <si>
    <t>Mullah Aziz village</t>
  </si>
  <si>
    <t>قرية ملا عزيز</t>
  </si>
  <si>
    <t>Obara-1 Qtr</t>
  </si>
  <si>
    <t>حي اوبارا-1</t>
  </si>
  <si>
    <t>Obara-2 Qtr</t>
  </si>
  <si>
    <t>حي اوبارا-2</t>
  </si>
  <si>
    <t>Qoratu Camp</t>
  </si>
  <si>
    <t>قوارتو كامب</t>
  </si>
  <si>
    <t>Quramin village</t>
  </si>
  <si>
    <t>قرية قرامين</t>
  </si>
  <si>
    <t>Rahamalla Village</t>
  </si>
  <si>
    <t>قرية الرحاملة</t>
  </si>
  <si>
    <t>Rapren-1 Qtr</t>
  </si>
  <si>
    <t>حي رابرين-1</t>
  </si>
  <si>
    <t>Rapren-2 Qtr</t>
  </si>
  <si>
    <t>حي رابرين-2</t>
  </si>
  <si>
    <t>Salih Agha village</t>
  </si>
  <si>
    <t>قرية صالح اغا</t>
  </si>
  <si>
    <t>Shafiq village</t>
  </si>
  <si>
    <t>قرية شفيق</t>
  </si>
  <si>
    <t>Shakir village</t>
  </si>
  <si>
    <t>قرية شاكر</t>
  </si>
  <si>
    <t>sheark village</t>
  </si>
  <si>
    <t>قرية شيرك</t>
  </si>
  <si>
    <t>Sirwan Qtr</t>
  </si>
  <si>
    <t>حي سيروان</t>
  </si>
  <si>
    <t>Sparta Qtr</t>
  </si>
  <si>
    <t>حي سبارتا</t>
  </si>
  <si>
    <t>Tal Manjal village</t>
  </si>
  <si>
    <t>قرية تل منجل</t>
  </si>
  <si>
    <t>Totk Village</t>
  </si>
  <si>
    <t>قرية توتك</t>
  </si>
  <si>
    <t>Tula Frosh Qtr</t>
  </si>
  <si>
    <t>حي تولا فروش</t>
  </si>
  <si>
    <t>Yosif Algaeed Village</t>
  </si>
  <si>
    <t>قرية يوسف الجايد</t>
  </si>
  <si>
    <t>Zurab village</t>
  </si>
  <si>
    <t>قرية زوراب</t>
  </si>
  <si>
    <t>Kifri</t>
  </si>
  <si>
    <t>12 Imam</t>
  </si>
  <si>
    <t>12 امام</t>
  </si>
  <si>
    <t>anfalakan</t>
  </si>
  <si>
    <t>انفالكان</t>
  </si>
  <si>
    <t>awbrey</t>
  </si>
  <si>
    <t>اوبري</t>
  </si>
  <si>
    <t>azadi</t>
  </si>
  <si>
    <t>ازدي</t>
  </si>
  <si>
    <t>Bakaly village</t>
  </si>
  <si>
    <t>قرية بكالي(البجاجيل)</t>
  </si>
  <si>
    <t>bawa shaswar</t>
  </si>
  <si>
    <t>باوة شاسوار</t>
  </si>
  <si>
    <t>Dora village</t>
  </si>
  <si>
    <t>قرية دورة</t>
  </si>
  <si>
    <t>emam mohammed</t>
  </si>
  <si>
    <t>امام محمد</t>
  </si>
  <si>
    <t xml:space="preserve">Hawari new </t>
  </si>
  <si>
    <t>هواري نوي</t>
  </si>
  <si>
    <t>Khozifah village</t>
  </si>
  <si>
    <t>قرية خزيفة</t>
  </si>
  <si>
    <t>mamostayan</t>
  </si>
  <si>
    <t>ماموستايان</t>
  </si>
  <si>
    <t>Markaz Jabara</t>
  </si>
  <si>
    <t>جبارة</t>
  </si>
  <si>
    <t>Nargis village</t>
  </si>
  <si>
    <t>قرية نرجس</t>
  </si>
  <si>
    <t>nawrooz</t>
  </si>
  <si>
    <t>Qaratappa</t>
  </si>
  <si>
    <t>قره تبه</t>
  </si>
  <si>
    <t>raparin</t>
  </si>
  <si>
    <t>رابرين</t>
  </si>
  <si>
    <t>rezgari</t>
  </si>
  <si>
    <t>sar qala</t>
  </si>
  <si>
    <t>سةرقةلا</t>
  </si>
  <si>
    <t>shoresh</t>
  </si>
  <si>
    <t>11 Athar</t>
  </si>
  <si>
    <t>11 اذار</t>
  </si>
  <si>
    <t>Ainkawa(108)</t>
  </si>
  <si>
    <t>108 عنكاوة</t>
  </si>
  <si>
    <t>Akad</t>
  </si>
  <si>
    <t>اكاد</t>
  </si>
  <si>
    <t>Al Eskan</t>
  </si>
  <si>
    <t>Al Qala(Hay khanaqa)</t>
  </si>
  <si>
    <t>القلعه(حي خانقا)</t>
  </si>
  <si>
    <t>Al Qalaa(Tajeel Qr)</t>
  </si>
  <si>
    <t>القلعه(حي تعجيل)</t>
  </si>
  <si>
    <t>Al Rihab</t>
  </si>
  <si>
    <t>الرحاب</t>
  </si>
  <si>
    <t xml:space="preserve">Al Saxra Complex </t>
  </si>
  <si>
    <t>مجمع الصخرة</t>
  </si>
  <si>
    <t>Al-Shurtta Qr</t>
  </si>
  <si>
    <t>Al-Ziraa Qr</t>
  </si>
  <si>
    <t>حي الزراعة</t>
  </si>
  <si>
    <t>Andazyaran</t>
  </si>
  <si>
    <t>ئه ندازياران</t>
  </si>
  <si>
    <t>Andazyaran Complex</t>
  </si>
  <si>
    <t>مجمع اندزياران السكني</t>
  </si>
  <si>
    <t>Ashty</t>
  </si>
  <si>
    <t>اشتي</t>
  </si>
  <si>
    <t>Ashty 2</t>
  </si>
  <si>
    <t>اشتي 2</t>
  </si>
  <si>
    <t>Atlantic</t>
  </si>
  <si>
    <t>اتلانتك</t>
  </si>
  <si>
    <t>Aynda</t>
  </si>
  <si>
    <t>آينده</t>
  </si>
  <si>
    <t>Aynda 2</t>
  </si>
  <si>
    <t>اينده 2</t>
  </si>
  <si>
    <t>Bahar</t>
  </si>
  <si>
    <t>بهار</t>
  </si>
  <si>
    <t>bahrka al jadeda</t>
  </si>
  <si>
    <t>بحركه الجديده</t>
  </si>
  <si>
    <t>Bahrka center</t>
  </si>
  <si>
    <t>مركز بحركة</t>
  </si>
  <si>
    <t>Bahrka gulan</t>
  </si>
  <si>
    <t>بحركه كولان</t>
  </si>
  <si>
    <t>Byaban</t>
  </si>
  <si>
    <t>بيابان</t>
  </si>
  <si>
    <t>Byaban Village</t>
  </si>
  <si>
    <t xml:space="preserve">قريه بيابان </t>
  </si>
  <si>
    <t>Chwarchra-Banslawa</t>
  </si>
  <si>
    <t>جوارجرا-بنصلاوة</t>
  </si>
  <si>
    <t>Daratu-Brayati</t>
  </si>
  <si>
    <t>داره تو-برايتي</t>
  </si>
  <si>
    <t>Daratu-Nishtiman</t>
  </si>
  <si>
    <t>داره تو-نيشتمان</t>
  </si>
  <si>
    <t>Dartu Nwee</t>
  </si>
  <si>
    <t>داره تو نوي</t>
  </si>
  <si>
    <t>Du sara fatah</t>
  </si>
  <si>
    <t>دوسرة فتاح</t>
  </si>
  <si>
    <t>Ganjan</t>
  </si>
  <si>
    <t>كنجان</t>
  </si>
  <si>
    <t>Gazna</t>
  </si>
  <si>
    <t>كزنه</t>
  </si>
  <si>
    <t>Hadiab</t>
  </si>
  <si>
    <t>حدياب</t>
  </si>
  <si>
    <t>Harem</t>
  </si>
  <si>
    <t>هريم</t>
  </si>
  <si>
    <t>Harhsam 1</t>
  </si>
  <si>
    <t>هرشم 1</t>
  </si>
  <si>
    <t>Harhsam 2</t>
  </si>
  <si>
    <t>هرشم 2</t>
  </si>
  <si>
    <t>Harhsam 3</t>
  </si>
  <si>
    <t>هرشم 3</t>
  </si>
  <si>
    <t>Havalan</t>
  </si>
  <si>
    <t>هفالان</t>
  </si>
  <si>
    <t>Hawler city</t>
  </si>
  <si>
    <t>هولير ستي</t>
  </si>
  <si>
    <t>Hawler nwee</t>
  </si>
  <si>
    <t>هوليرنوي</t>
  </si>
  <si>
    <t>Hay Askary</t>
  </si>
  <si>
    <t>Heran City</t>
  </si>
  <si>
    <t>هيران ستي</t>
  </si>
  <si>
    <t>Ishtar</t>
  </si>
  <si>
    <t>عشتار</t>
  </si>
  <si>
    <t>Kani Qarzhala</t>
  </si>
  <si>
    <t>كاني قرشالة</t>
  </si>
  <si>
    <t>Kany Gulan</t>
  </si>
  <si>
    <t>كاني كولان</t>
  </si>
  <si>
    <t>Karez</t>
  </si>
  <si>
    <t>كاريز</t>
  </si>
  <si>
    <t>Karizan</t>
  </si>
  <si>
    <t>كاريزان</t>
  </si>
  <si>
    <t>Kasnazan-1 Shubat</t>
  </si>
  <si>
    <t>كسنزان-ا شباط</t>
  </si>
  <si>
    <t>Kawa Collective</t>
  </si>
  <si>
    <t>مجمع كاوه</t>
  </si>
  <si>
    <t>Khabat</t>
  </si>
  <si>
    <t>خبات</t>
  </si>
  <si>
    <t>Khoragr</t>
  </si>
  <si>
    <t>خوراكر</t>
  </si>
  <si>
    <t>Kurd Stan</t>
  </si>
  <si>
    <t>كوردستان</t>
  </si>
  <si>
    <t xml:space="preserve">Lana City </t>
  </si>
  <si>
    <t xml:space="preserve">لانا ستي </t>
  </si>
  <si>
    <t>Lawan city</t>
  </si>
  <si>
    <t>لاوان ستي</t>
  </si>
  <si>
    <t>Lebanon Village</t>
  </si>
  <si>
    <t xml:space="preserve">قريه لبنانيه </t>
  </si>
  <si>
    <t>Mala Omar</t>
  </si>
  <si>
    <t>ملا عمر</t>
  </si>
  <si>
    <t>Mamostayan</t>
  </si>
  <si>
    <t>Mamzawa</t>
  </si>
  <si>
    <t>مامزاوه</t>
  </si>
  <si>
    <t>Manara</t>
  </si>
  <si>
    <t>مناره</t>
  </si>
  <si>
    <t>Manara City</t>
  </si>
  <si>
    <t>منارة ستي</t>
  </si>
  <si>
    <t>Martshmony</t>
  </si>
  <si>
    <t>مارت شموني</t>
  </si>
  <si>
    <t>Mustawfi</t>
  </si>
  <si>
    <t>مستوفي</t>
  </si>
  <si>
    <t>Nawroz-Banslawa</t>
  </si>
  <si>
    <t>نوروز-بنصلاوة</t>
  </si>
  <si>
    <t>Nisthtiman Comercial Complex</t>
  </si>
  <si>
    <t>مجمع نشتيمان التجاري</t>
  </si>
  <si>
    <t>Nobel</t>
  </si>
  <si>
    <t>نوبل</t>
  </si>
  <si>
    <t>Ozal city</t>
  </si>
  <si>
    <t>مجمع اوزال</t>
  </si>
  <si>
    <t>Perash</t>
  </si>
  <si>
    <t>بيرش</t>
  </si>
  <si>
    <t>perdawood</t>
  </si>
  <si>
    <t>بيرداود</t>
  </si>
  <si>
    <t>Pirzeen</t>
  </si>
  <si>
    <t>بيرزين</t>
  </si>
  <si>
    <t>Qarabu</t>
  </si>
  <si>
    <t>قربو</t>
  </si>
  <si>
    <t>Quretan</t>
  </si>
  <si>
    <t>قوريتان</t>
  </si>
  <si>
    <t>Qushtapa centre</t>
  </si>
  <si>
    <t>مركز قوشتبة</t>
  </si>
  <si>
    <t>Rasti Qr</t>
  </si>
  <si>
    <t>حي راستي</t>
  </si>
  <si>
    <t>Runaki</t>
  </si>
  <si>
    <t>روناكي</t>
  </si>
  <si>
    <t>Runaki(Andazyaran)</t>
  </si>
  <si>
    <t>روناكي(اندازياران)</t>
  </si>
  <si>
    <t>Runaki(Komari 1)</t>
  </si>
  <si>
    <t>روناكي(كوماري 1)</t>
  </si>
  <si>
    <t>Runaki(Mamostayan 1)</t>
  </si>
  <si>
    <t>روناكي(ماموستايان 1)</t>
  </si>
  <si>
    <t>Runaki(Mamostayan 2)</t>
  </si>
  <si>
    <t>روناكي(ماموستايان 2)</t>
  </si>
  <si>
    <t>Runaki(Mantikawa)</t>
  </si>
  <si>
    <t>روناكي(منتيكاوه)</t>
  </si>
  <si>
    <t>Runaki(Mufti)</t>
  </si>
  <si>
    <t>روناكي(موفتي)</t>
  </si>
  <si>
    <t>Rustm palace center</t>
  </si>
  <si>
    <t xml:space="preserve">مركز قصر رستم </t>
  </si>
  <si>
    <t>Rzgari</t>
  </si>
  <si>
    <t>Saidawa(Ashti)</t>
  </si>
  <si>
    <t>سيداوه(اشتي)</t>
  </si>
  <si>
    <t>Saidawa(Khabat)</t>
  </si>
  <si>
    <t>سيداوه(خبات)</t>
  </si>
  <si>
    <t xml:space="preserve">Sana City </t>
  </si>
  <si>
    <t>سانا ستي</t>
  </si>
  <si>
    <t>Saydawa</t>
  </si>
  <si>
    <t>سيداوه</t>
  </si>
  <si>
    <t>Sebardan</t>
  </si>
  <si>
    <t>سيبردان</t>
  </si>
  <si>
    <t>Setaqan</t>
  </si>
  <si>
    <t>سيطاقان</t>
  </si>
  <si>
    <t>Shahan city</t>
  </si>
  <si>
    <t>شاهان ستي</t>
  </si>
  <si>
    <t>Shakholan</t>
  </si>
  <si>
    <t>شاخولان</t>
  </si>
  <si>
    <t>Sharawany</t>
  </si>
  <si>
    <t>شارواني</t>
  </si>
  <si>
    <t>Shawes</t>
  </si>
  <si>
    <t>شاويس</t>
  </si>
  <si>
    <t>Shiraton</t>
  </si>
  <si>
    <t>شيراتون</t>
  </si>
  <si>
    <t>Shorsh</t>
  </si>
  <si>
    <t>Shorsh(Hakim awa)</t>
  </si>
  <si>
    <t>شورش(حاكم اوا)</t>
  </si>
  <si>
    <t>Shorsh(Hay arey)</t>
  </si>
  <si>
    <t>شورش(حي اري)</t>
  </si>
  <si>
    <t>Shorsh(Malayan)</t>
  </si>
  <si>
    <t>شورش(ملايان)</t>
  </si>
  <si>
    <t>Shorsh(Salahaldin)</t>
  </si>
  <si>
    <t>شورش(صلاح الدين)</t>
  </si>
  <si>
    <t>Somar</t>
  </si>
  <si>
    <t>سومر</t>
  </si>
  <si>
    <t>Sufaya</t>
  </si>
  <si>
    <t>صفية</t>
  </si>
  <si>
    <t>Tayrawa</t>
  </si>
  <si>
    <t>Turaq</t>
  </si>
  <si>
    <t>طورق</t>
  </si>
  <si>
    <t>Zaiton Collective</t>
  </si>
  <si>
    <t>مجمع زيتون</t>
  </si>
  <si>
    <t>Zanko</t>
  </si>
  <si>
    <t>زانكو</t>
  </si>
  <si>
    <t>Zen city</t>
  </si>
  <si>
    <t>زين ستي</t>
  </si>
  <si>
    <t>Zereen</t>
  </si>
  <si>
    <t>زيرين</t>
  </si>
  <si>
    <t>Zheen</t>
  </si>
  <si>
    <t>زين</t>
  </si>
  <si>
    <t>Zhyan</t>
  </si>
  <si>
    <t>زيان</t>
  </si>
  <si>
    <t>Koisnjaq</t>
  </si>
  <si>
    <t>Armota</t>
  </si>
  <si>
    <t>أرموته</t>
  </si>
  <si>
    <t>Azady</t>
  </si>
  <si>
    <t>ازادي</t>
  </si>
  <si>
    <t>Bayizagha</t>
  </si>
  <si>
    <t>بايزاغا</t>
  </si>
  <si>
    <t>Bazar koya(Bafri qndeel)</t>
  </si>
  <si>
    <t>بازار كويه(بفري قنديل)</t>
  </si>
  <si>
    <t>Gashteyari</t>
  </si>
  <si>
    <t>كشتياري</t>
  </si>
  <si>
    <t>Hamamok</t>
  </si>
  <si>
    <t>حماموك</t>
  </si>
  <si>
    <t>Hamoon</t>
  </si>
  <si>
    <t xml:space="preserve">هامون </t>
  </si>
  <si>
    <t>Jamiyah</t>
  </si>
  <si>
    <t>جمعية</t>
  </si>
  <si>
    <t>Nawdaran</t>
  </si>
  <si>
    <t>ناوداران</t>
  </si>
  <si>
    <t>Qalat</t>
  </si>
  <si>
    <t>قلات</t>
  </si>
  <si>
    <t>Taqtaq</t>
  </si>
  <si>
    <t>طقطق</t>
  </si>
  <si>
    <t>Makhmur</t>
  </si>
  <si>
    <t>Mergasur</t>
  </si>
  <si>
    <t>Markaz Mergasur</t>
  </si>
  <si>
    <t>مركز ميركسور</t>
  </si>
  <si>
    <t>Shaqlawa</t>
  </si>
  <si>
    <t>Bazar Khanzad</t>
  </si>
  <si>
    <t>بازار خانزاد</t>
  </si>
  <si>
    <t>Betrma</t>
  </si>
  <si>
    <t>بيترما</t>
  </si>
  <si>
    <t>Gulan</t>
  </si>
  <si>
    <t xml:space="preserve">كولان </t>
  </si>
  <si>
    <t>Harir</t>
  </si>
  <si>
    <t>حرير</t>
  </si>
  <si>
    <t>Harir-Batas</t>
  </si>
  <si>
    <t>حرير-باتاس</t>
  </si>
  <si>
    <t>Hiran</t>
  </si>
  <si>
    <t xml:space="preserve">هيران </t>
  </si>
  <si>
    <t xml:space="preserve">خبات </t>
  </si>
  <si>
    <t>Kurdistan</t>
  </si>
  <si>
    <t>Sabirawa</t>
  </si>
  <si>
    <t>سابيراوه</t>
  </si>
  <si>
    <t>Safeen</t>
  </si>
  <si>
    <t>سفين</t>
  </si>
  <si>
    <t>Sarmidan-1(Ashti)</t>
  </si>
  <si>
    <t>سرميدان 1(اشتي)</t>
  </si>
  <si>
    <t>Sarmidan-2(Azadi)</t>
  </si>
  <si>
    <t>سرميدان 2(ازادي)</t>
  </si>
  <si>
    <t>Sarmidan-3(Ashti)</t>
  </si>
  <si>
    <t>سر ميدان 3(اشتي)</t>
  </si>
  <si>
    <t>Shahedan</t>
  </si>
  <si>
    <t>Spigra</t>
  </si>
  <si>
    <t>سبيكارا</t>
  </si>
  <si>
    <t>Soran</t>
  </si>
  <si>
    <t>Diana(Shahedan azady)</t>
  </si>
  <si>
    <t>ديانا(شهيدان ازادي)</t>
  </si>
  <si>
    <t>Hay mameel al qeer</t>
  </si>
  <si>
    <t>حي معمل القير</t>
  </si>
  <si>
    <t>kawrarash</t>
  </si>
  <si>
    <t>كوررش</t>
  </si>
  <si>
    <t>Khalifan(center)</t>
  </si>
  <si>
    <t>مركز(خليفان)</t>
  </si>
  <si>
    <t>Rawanduz District</t>
  </si>
  <si>
    <t>مركز راوندوز</t>
  </si>
  <si>
    <t>Soran District</t>
  </si>
  <si>
    <t>مركز قضاء سوران</t>
  </si>
  <si>
    <t>Soran(26 Gulan)</t>
  </si>
  <si>
    <t>سوران(26 كولان)</t>
  </si>
  <si>
    <t>Soran(hay al etfaa)</t>
  </si>
  <si>
    <t>سوران(حي الاطفاء)</t>
  </si>
  <si>
    <t>Soran(Hay al matar)</t>
  </si>
  <si>
    <t>سوران(حي المطار)</t>
  </si>
  <si>
    <t>Ain Al-Tamur</t>
  </si>
  <si>
    <t>Ain Al-Tamur-Hay Al Hussein</t>
  </si>
  <si>
    <t>حي الحسين-عين التمر</t>
  </si>
  <si>
    <t>Al Zakareet</t>
  </si>
  <si>
    <t xml:space="preserve">الزكاريط </t>
  </si>
  <si>
    <t>Albo Hardan</t>
  </si>
  <si>
    <t>البو حردان</t>
  </si>
  <si>
    <t>حي الزهراء-عين التمر</t>
  </si>
  <si>
    <t>Al-Hindiya</t>
  </si>
  <si>
    <t>Abu Tharr camp</t>
  </si>
  <si>
    <t>مجمع ابا ذر</t>
  </si>
  <si>
    <t>Al abodea</t>
  </si>
  <si>
    <t>العبودية</t>
  </si>
  <si>
    <t xml:space="preserve">الجمعية </t>
  </si>
  <si>
    <t>Al Jedar Al Gharbi</t>
  </si>
  <si>
    <t>الجدار الغربي</t>
  </si>
  <si>
    <t>Al Rejeba</t>
  </si>
  <si>
    <t>الرجيبة(الديران)</t>
  </si>
  <si>
    <t>Al Riyadh</t>
  </si>
  <si>
    <t>Al-Hindiya-Hay Al-Amel</t>
  </si>
  <si>
    <t>الهندية-حي العامل</t>
  </si>
  <si>
    <t>Al-Jadwal Al-Ghrabi-Al Askary</t>
  </si>
  <si>
    <t>العسكري</t>
  </si>
  <si>
    <t>Al-Khayrat</t>
  </si>
  <si>
    <t>الخيرات</t>
  </si>
  <si>
    <t>Al-Sakbaniyah</t>
  </si>
  <si>
    <t>الصكبانية</t>
  </si>
  <si>
    <t>Albo Soof</t>
  </si>
  <si>
    <t>البو سوف</t>
  </si>
  <si>
    <t>Albu Aziz</t>
  </si>
  <si>
    <t>البو عزيز</t>
  </si>
  <si>
    <t>Albu Zagam</t>
  </si>
  <si>
    <t>البوزكم</t>
  </si>
  <si>
    <t>emlbege(hay al salam)</t>
  </si>
  <si>
    <t>املبيج(حي السلام)</t>
  </si>
  <si>
    <t>Kareat al jubur</t>
  </si>
  <si>
    <t>قرية الجبور</t>
  </si>
  <si>
    <t>Mantakat Al hnedea</t>
  </si>
  <si>
    <t>منطقة الهندية</t>
  </si>
  <si>
    <t>MODM Camp</t>
  </si>
  <si>
    <t>مخيم وزارة الهجرة والمهجرين</t>
  </si>
  <si>
    <t>Shaykh hamza</t>
  </si>
  <si>
    <t>شيخ حمزه</t>
  </si>
  <si>
    <t>Abo Akab</t>
  </si>
  <si>
    <t>ابو عكب</t>
  </si>
  <si>
    <t>Abo Zarnt Al Shamaly</t>
  </si>
  <si>
    <t>ابو زرنت الشمالية</t>
  </si>
  <si>
    <t>Ahmad Al Waely St</t>
  </si>
  <si>
    <t>شارع احمد الوائلي</t>
  </si>
  <si>
    <t>Al Abeater Al Westa</t>
  </si>
  <si>
    <t>الابيتر الوسطى</t>
  </si>
  <si>
    <t>Al Amam Al Montadar</t>
  </si>
  <si>
    <t>الامام المنتظر</t>
  </si>
  <si>
    <t>Al Amam Ali</t>
  </si>
  <si>
    <t>الامام علي</t>
  </si>
  <si>
    <t>Al Amam Aon</t>
  </si>
  <si>
    <t>الامام عون</t>
  </si>
  <si>
    <t>Al Amen 1</t>
  </si>
  <si>
    <t>الامين1</t>
  </si>
  <si>
    <t>Al Ameshea 2</t>
  </si>
  <si>
    <t>العميشية 2</t>
  </si>
  <si>
    <t>Al Amin</t>
  </si>
  <si>
    <t>الامين</t>
  </si>
  <si>
    <t>Al Askary 1</t>
  </si>
  <si>
    <t>العسكري 1(الحر)</t>
  </si>
  <si>
    <t>Al askary 11</t>
  </si>
  <si>
    <t>العسكري11(العابد)</t>
  </si>
  <si>
    <t>Al askary 12</t>
  </si>
  <si>
    <t>العسكري12(العابد)</t>
  </si>
  <si>
    <t>Al askary 14</t>
  </si>
  <si>
    <t>العسكري14(العابد)</t>
  </si>
  <si>
    <t>Al Askary 17</t>
  </si>
  <si>
    <t>العسكري17(العابد)</t>
  </si>
  <si>
    <t>Al Askary 2</t>
  </si>
  <si>
    <t>العسكري2(الحر)</t>
  </si>
  <si>
    <t>Al Askary 4</t>
  </si>
  <si>
    <t>العسكري4(الحر)</t>
  </si>
  <si>
    <t>Al Askary-Al haidery</t>
  </si>
  <si>
    <t>العسكري-مجمع الحيدري</t>
  </si>
  <si>
    <t>Al Ateshy</t>
  </si>
  <si>
    <t>العطيشي</t>
  </si>
  <si>
    <t>Al Dalya 2</t>
  </si>
  <si>
    <t>الدالية 2</t>
  </si>
  <si>
    <t>Al Dalya1</t>
  </si>
  <si>
    <t>الدالية 1</t>
  </si>
  <si>
    <t>Al Fadaein</t>
  </si>
  <si>
    <t>الفدين</t>
  </si>
  <si>
    <t>Al Fadha</t>
  </si>
  <si>
    <t>الفيضة</t>
  </si>
  <si>
    <t>Al Forat 1</t>
  </si>
  <si>
    <t>الفرات 1</t>
  </si>
  <si>
    <t>Al forat 2</t>
  </si>
  <si>
    <t>الفرات 2</t>
  </si>
  <si>
    <t>Al Hawra</t>
  </si>
  <si>
    <t xml:space="preserve">حي الحوراء </t>
  </si>
  <si>
    <t>Al Hurr Al Sager</t>
  </si>
  <si>
    <t>الحر الصغير</t>
  </si>
  <si>
    <t>Al Intefadha Al Shabaniya</t>
  </si>
  <si>
    <t>الانتفاضه الشعبانية</t>
  </si>
  <si>
    <t>Al Jarya</t>
  </si>
  <si>
    <t>الجرية</t>
  </si>
  <si>
    <t>Al Kaim</t>
  </si>
  <si>
    <t>القائم</t>
  </si>
  <si>
    <t>Al Makalaa</t>
  </si>
  <si>
    <t>المقالع</t>
  </si>
  <si>
    <t>Al Motlak Al Gharby</t>
  </si>
  <si>
    <t>المطلق الغربي</t>
  </si>
  <si>
    <t>Al Motlak Al Sharky</t>
  </si>
  <si>
    <t>المطلق الشرقي</t>
  </si>
  <si>
    <t>Al Muamnen(Elegal)</t>
  </si>
  <si>
    <t>تجاوز المؤمنين</t>
  </si>
  <si>
    <t>Al Mustjadat</t>
  </si>
  <si>
    <t>المستجدات</t>
  </si>
  <si>
    <t>Al Nasser(Elegal)</t>
  </si>
  <si>
    <t>تجاوز النصر</t>
  </si>
  <si>
    <t>Al Qadissiya 1</t>
  </si>
  <si>
    <t>القادسية 1</t>
  </si>
  <si>
    <t>Al Qadissiya 2</t>
  </si>
  <si>
    <t>القادسية 2</t>
  </si>
  <si>
    <t>Al Rawdhatain</t>
  </si>
  <si>
    <t xml:space="preserve">الروضتين </t>
  </si>
  <si>
    <t>Al Sahrawy Al Mazarea</t>
  </si>
  <si>
    <t>الصحراوية المزارع</t>
  </si>
  <si>
    <t>Al Salam-1</t>
  </si>
  <si>
    <t>السلام1</t>
  </si>
  <si>
    <t>Al Salam-2</t>
  </si>
  <si>
    <t>السلام 2</t>
  </si>
  <si>
    <t>Al Shrawea Al Wady</t>
  </si>
  <si>
    <t>الصحراوية الوادي</t>
  </si>
  <si>
    <t>Al Somod-Al Uwlaa</t>
  </si>
  <si>
    <t>الصمود الاولى</t>
  </si>
  <si>
    <t>Al thawra 2</t>
  </si>
  <si>
    <t>الثورة2</t>
  </si>
  <si>
    <t>Al thawra-1</t>
  </si>
  <si>
    <t>الثورة1</t>
  </si>
  <si>
    <t>Al Walaa1</t>
  </si>
  <si>
    <t>الولاء1</t>
  </si>
  <si>
    <t>Al Wand Al Mustajad</t>
  </si>
  <si>
    <t>الوند المستجد</t>
  </si>
  <si>
    <t>الزهور</t>
  </si>
  <si>
    <t>Al-Askari 13</t>
  </si>
  <si>
    <t>العسكري13(العابد)</t>
  </si>
  <si>
    <t>AL-Askeriy 16</t>
  </si>
  <si>
    <t xml:space="preserve">العسكري 16   </t>
  </si>
  <si>
    <t>Al-Bobyat-Al Wadde</t>
  </si>
  <si>
    <t>البوبيات-الودي</t>
  </si>
  <si>
    <t>Al-hadi</t>
  </si>
  <si>
    <t>الهادي</t>
  </si>
  <si>
    <t>Al-hurr-Al Amen 2</t>
  </si>
  <si>
    <t>الامين 2</t>
  </si>
  <si>
    <t>Al-hussainya-Hay Al Rasool</t>
  </si>
  <si>
    <t>الحسينيه-حي الرسول</t>
  </si>
  <si>
    <t>Al-hussainya-Hay Al Zahraa</t>
  </si>
  <si>
    <t>الحسينيه-حي الزهراء</t>
  </si>
  <si>
    <t>Al-hussainya-hay al-hussain</t>
  </si>
  <si>
    <t>الحسينية-حي الحسين</t>
  </si>
  <si>
    <t>Al-hussainyh-Hay Al-Abas</t>
  </si>
  <si>
    <t>الحسينية-حي العباس</t>
  </si>
  <si>
    <t>Al-kakaeiah Al-Sharkeiah</t>
  </si>
  <si>
    <t>كعكاعية الشرقيه</t>
  </si>
  <si>
    <t>المهندسين</t>
  </si>
  <si>
    <t>Al-Mulhak</t>
  </si>
  <si>
    <t>Al-Rafedeen</t>
  </si>
  <si>
    <t>الرافدين</t>
  </si>
  <si>
    <t>Al-Safiya 2</t>
  </si>
  <si>
    <t>الصافية 2</t>
  </si>
  <si>
    <t>Al-Shebanat 2</t>
  </si>
  <si>
    <t>الشبانات 2</t>
  </si>
  <si>
    <t>Al-Swadah 1</t>
  </si>
  <si>
    <t>السواده 1</t>
  </si>
  <si>
    <t>Al-Taaleb</t>
  </si>
  <si>
    <t>التعليب</t>
  </si>
  <si>
    <t>Al-Taqa 18</t>
  </si>
  <si>
    <t>الطاقه 18</t>
  </si>
  <si>
    <t>Al-zabaylah</t>
  </si>
  <si>
    <t xml:space="preserve">الزبيليه </t>
  </si>
  <si>
    <t>Al-Zahraa</t>
  </si>
  <si>
    <t>Badat Aesha</t>
  </si>
  <si>
    <t>بدعة عيشه</t>
  </si>
  <si>
    <t>Badat Aswad</t>
  </si>
  <si>
    <t>بدعة اسود</t>
  </si>
  <si>
    <t>Badat Shareef</t>
  </si>
  <si>
    <t>بدعة شريف</t>
  </si>
  <si>
    <t>Basatein Bab Al-Slalmah</t>
  </si>
  <si>
    <t>بساتين باب السلامة</t>
  </si>
  <si>
    <t>Basaten Al Naqeeb</t>
  </si>
  <si>
    <t>بساتين النقيب</t>
  </si>
  <si>
    <t>Door al hajar</t>
  </si>
  <si>
    <t>دور الحجر</t>
  </si>
  <si>
    <t>حي الامير 1</t>
  </si>
  <si>
    <t>Hay Al Amel-7</t>
  </si>
  <si>
    <t>حي العامل 7</t>
  </si>
  <si>
    <t>Hay Al Amel-9</t>
  </si>
  <si>
    <t>حي العامل 9</t>
  </si>
  <si>
    <t>Hay Al Atebba-354</t>
  </si>
  <si>
    <t>حي الاطباء-محله 354</t>
  </si>
  <si>
    <t>Hay Al Husain</t>
  </si>
  <si>
    <t>Hay Al Karrar</t>
  </si>
  <si>
    <t>Hay al mostafa</t>
  </si>
  <si>
    <t>Hay Al Nidhal 1</t>
  </si>
  <si>
    <t>حي النضال1</t>
  </si>
  <si>
    <t>Hay Al Noor</t>
  </si>
  <si>
    <t>Hay Al Rafdean 2</t>
  </si>
  <si>
    <t>الرافدين 2</t>
  </si>
  <si>
    <t>Hay Al-Abbas</t>
  </si>
  <si>
    <t>Hay al-amein al-dakheily</t>
  </si>
  <si>
    <t>الامن الداخلي</t>
  </si>
  <si>
    <t>حي الاسكان</t>
  </si>
  <si>
    <t>Hay Al-Ghadeer</t>
  </si>
  <si>
    <t>Hay Al-Ghadeer 4</t>
  </si>
  <si>
    <t>حي الغدير4</t>
  </si>
  <si>
    <t>Hay Al-Ghadeer 5</t>
  </si>
  <si>
    <t>حي الغدير 5</t>
  </si>
  <si>
    <t>Hay Al-Naser</t>
  </si>
  <si>
    <t xml:space="preserve">حي النصر </t>
  </si>
  <si>
    <t>Hay Al-Naser14</t>
  </si>
  <si>
    <t>حي النصر14</t>
  </si>
  <si>
    <t>Hay Al-Noab</t>
  </si>
  <si>
    <t>حي النواب</t>
  </si>
  <si>
    <t>Hay Al-Rasool</t>
  </si>
  <si>
    <t>التعاون</t>
  </si>
  <si>
    <t>حي التحدي</t>
  </si>
  <si>
    <t>Hay Al-Wafaa-333</t>
  </si>
  <si>
    <t>حي الوفاء-محله 333</t>
  </si>
  <si>
    <t>Hay El Al Iman-3</t>
  </si>
  <si>
    <t>حي الايمان 3</t>
  </si>
  <si>
    <t>Hay El Al Iman-4</t>
  </si>
  <si>
    <t>حي الايمان 4</t>
  </si>
  <si>
    <t>Hay Ramadan</t>
  </si>
  <si>
    <t>حي رمضان</t>
  </si>
  <si>
    <t>Kantraat Al Salam</t>
  </si>
  <si>
    <t>كنطرة السلام</t>
  </si>
  <si>
    <t>Kerbala1</t>
  </si>
  <si>
    <t>كربلاء 1</t>
  </si>
  <si>
    <t>Maitham Al Tammar</t>
  </si>
  <si>
    <t xml:space="preserve">ميثم التمار </t>
  </si>
  <si>
    <t>Malhak Dubbat Al-Mudfeen</t>
  </si>
  <si>
    <t>ملحق ضباط الموظفين</t>
  </si>
  <si>
    <t>Mamel Al Jobor</t>
  </si>
  <si>
    <t>معامل الجبور</t>
  </si>
  <si>
    <t>Molahak Al Atbaa</t>
  </si>
  <si>
    <t>ملحق الاطباء</t>
  </si>
  <si>
    <t>Molhak Al Atbaa(Elegal)</t>
  </si>
  <si>
    <t>تجاوز ملحق الاطباء</t>
  </si>
  <si>
    <t>Molhak al fares</t>
  </si>
  <si>
    <t>ملحق الفارس</t>
  </si>
  <si>
    <t>Mulhak Al Shebanat</t>
  </si>
  <si>
    <t>ملحق الشبانات</t>
  </si>
  <si>
    <t>Mulhak Hay Al Mualmen</t>
  </si>
  <si>
    <t>ملحق حي المعلمين</t>
  </si>
  <si>
    <t>Mulhaq Al-Intisar</t>
  </si>
  <si>
    <t>ملحق الانتصار</t>
  </si>
  <si>
    <t>Mulhaq Al-Mudaraa</t>
  </si>
  <si>
    <t>ملحق المدراء</t>
  </si>
  <si>
    <t>Shuhadaa Al Muwadhafen 2</t>
  </si>
  <si>
    <t>شهداء الموظفين 2</t>
  </si>
  <si>
    <t>Shuihadaa Al Amam Ali 2</t>
  </si>
  <si>
    <t>شهداء الامام علي 2</t>
  </si>
  <si>
    <t>Sumer 1</t>
  </si>
  <si>
    <t>حي سومر1</t>
  </si>
  <si>
    <t>Sumer 2</t>
  </si>
  <si>
    <t>حي سومر 2</t>
  </si>
  <si>
    <t>Um Al Banen Village</t>
  </si>
  <si>
    <t>قرية ام البنين</t>
  </si>
  <si>
    <t>حي العسكري 1</t>
  </si>
  <si>
    <t>Dabes</t>
  </si>
  <si>
    <t>Hay Al Muaasker</t>
  </si>
  <si>
    <t>حي المعسكر</t>
  </si>
  <si>
    <t>Hay Al Tanak</t>
  </si>
  <si>
    <t>حي التنك</t>
  </si>
  <si>
    <t>Daquq</t>
  </si>
  <si>
    <t>Badawa</t>
  </si>
  <si>
    <t>بداوة</t>
  </si>
  <si>
    <t>Fareeq Awa</t>
  </si>
  <si>
    <t>حي فريق اوه</t>
  </si>
  <si>
    <t>Furqan village</t>
  </si>
  <si>
    <t>قرية الفرقان</t>
  </si>
  <si>
    <t>Hay Ashti</t>
  </si>
  <si>
    <t>حي آشتي</t>
  </si>
  <si>
    <t>Hay Gulan</t>
  </si>
  <si>
    <t>حي كولان</t>
  </si>
  <si>
    <t>Khala Bazyani</t>
  </si>
  <si>
    <t>خاله بازياني</t>
  </si>
  <si>
    <t>Laylan 2 Camp</t>
  </si>
  <si>
    <t>مخيم ليلان 2</t>
  </si>
  <si>
    <t>Laylan Camp</t>
  </si>
  <si>
    <t>مخيم ليلان</t>
  </si>
  <si>
    <t>Laylan-Al Abadat village</t>
  </si>
  <si>
    <t>قرية العبادات</t>
  </si>
  <si>
    <t>Laylan-Bash Bulaq village</t>
  </si>
  <si>
    <t>قرية باش بولاق</t>
  </si>
  <si>
    <t>حي نوروز</t>
  </si>
  <si>
    <t>Nazrawa camp</t>
  </si>
  <si>
    <t>مخيم نزراوة</t>
  </si>
  <si>
    <t>Taza-Omer Bin Khattab</t>
  </si>
  <si>
    <t>قرية عمر بن الخطاب</t>
  </si>
  <si>
    <t>Yahyawa camp</t>
  </si>
  <si>
    <t>مخيم يحياوة</t>
  </si>
  <si>
    <t>Yarmjia Village</t>
  </si>
  <si>
    <t>قرية يارمجة</t>
  </si>
  <si>
    <t>حي الحرية</t>
  </si>
  <si>
    <t>Al Takhi Village</t>
  </si>
  <si>
    <t>قرية تأخي</t>
  </si>
  <si>
    <t>حي الانتفاضة-رابرين-(القادسية سابقا) اول</t>
  </si>
  <si>
    <t>Al-Sayada Complex</t>
  </si>
  <si>
    <t>مجمع الصيادة</t>
  </si>
  <si>
    <t>Amal al shaabi</t>
  </si>
  <si>
    <t>حي العمل الشعبي</t>
  </si>
  <si>
    <t>Baglar</t>
  </si>
  <si>
    <t>حي بكلر</t>
  </si>
  <si>
    <t>Bajwan</t>
  </si>
  <si>
    <t>قرية باجوان</t>
  </si>
  <si>
    <t>chardaghli village</t>
  </si>
  <si>
    <t>قرية جرداغلوا</t>
  </si>
  <si>
    <t>Darwaza</t>
  </si>
  <si>
    <t>دروازة</t>
  </si>
  <si>
    <t>Hay 1 Athar</t>
  </si>
  <si>
    <t>حي 1 اذار</t>
  </si>
  <si>
    <t>Hay Adan</t>
  </si>
  <si>
    <t>حي عدن</t>
  </si>
  <si>
    <t>Hay Al Ertiqaa</t>
  </si>
  <si>
    <t>حي الارتقاء</t>
  </si>
  <si>
    <t>Hay Al Hamzali</t>
  </si>
  <si>
    <t>حي الحمزلي</t>
  </si>
  <si>
    <t>Hay Al Jamia-Mahalla 622</t>
  </si>
  <si>
    <t>حي الجامعة-622</t>
  </si>
  <si>
    <t>Hay Al Mansour</t>
  </si>
  <si>
    <t>حي المنصور</t>
  </si>
  <si>
    <t>Hay Al mas</t>
  </si>
  <si>
    <t>حي الماس</t>
  </si>
  <si>
    <t>Hay Al Sekak</t>
  </si>
  <si>
    <t>حي السكك</t>
  </si>
  <si>
    <t>Hay Al-Askary 1</t>
  </si>
  <si>
    <t>Hay Al-Askary 2</t>
  </si>
  <si>
    <t>حي العسكري 2</t>
  </si>
  <si>
    <t>Hay Al-Khadraa</t>
  </si>
  <si>
    <t>Hay Al-Nasir 2</t>
  </si>
  <si>
    <t>حي النصر 2</t>
  </si>
  <si>
    <t>Hay Al-Nedaa</t>
  </si>
  <si>
    <t>حي النداء</t>
  </si>
  <si>
    <t>Hay Al-Sinay</t>
  </si>
  <si>
    <t>حي الصناعي</t>
  </si>
  <si>
    <t>Hay Al-Urooba</t>
  </si>
  <si>
    <t>Hay Al-Zawraa</t>
  </si>
  <si>
    <t>حي الزوراء</t>
  </si>
  <si>
    <t>Hay Arafah 201</t>
  </si>
  <si>
    <t>Hay Azadi</t>
  </si>
  <si>
    <t>حي ازادي</t>
  </si>
  <si>
    <t>Hay Ghurnata</t>
  </si>
  <si>
    <t>حي غرناطة</t>
  </si>
  <si>
    <t>Hay Musalla</t>
  </si>
  <si>
    <t>حي المصلى</t>
  </si>
  <si>
    <t>Panja Ali</t>
  </si>
  <si>
    <t>Qaryat Kamptelar</t>
  </si>
  <si>
    <t>قرية كمبتلر</t>
  </si>
  <si>
    <t>Qaryat Tobzawa</t>
  </si>
  <si>
    <t>قرية طوبزاوة</t>
  </si>
  <si>
    <t>Qizil Yar</t>
  </si>
  <si>
    <t>قرية قزليار</t>
  </si>
  <si>
    <t>Rahim Awa</t>
  </si>
  <si>
    <t>Sary Kahya</t>
  </si>
  <si>
    <t>Sayada village</t>
  </si>
  <si>
    <t>قرية صيادة</t>
  </si>
  <si>
    <t>Sekanyan</t>
  </si>
  <si>
    <t>سيكانيان</t>
  </si>
  <si>
    <t>Shorawo</t>
  </si>
  <si>
    <t>شوراو</t>
  </si>
  <si>
    <t>Shwan Center</t>
  </si>
  <si>
    <t>Tiseen</t>
  </si>
  <si>
    <t>حي تسن</t>
  </si>
  <si>
    <t>Yaychi-101</t>
  </si>
  <si>
    <t>حي يايجي-101</t>
  </si>
  <si>
    <t>Yaychi-Qaryat Dibak Taba</t>
  </si>
  <si>
    <t>قرية ديبك تبة</t>
  </si>
  <si>
    <t>Yaychi-Qaryat Turklan</t>
  </si>
  <si>
    <t>قرية تركلان</t>
  </si>
  <si>
    <t>Al-Kahla</t>
  </si>
  <si>
    <t>Al Kharaba Village</t>
  </si>
  <si>
    <t>قرية الخرابه</t>
  </si>
  <si>
    <t>Al Sader Al karima</t>
  </si>
  <si>
    <t>ناحية المشرح-قرية صدر الكريمه</t>
  </si>
  <si>
    <t>Hay 15 Sahaban</t>
  </si>
  <si>
    <t>حي 15 شعبان</t>
  </si>
  <si>
    <t>Hay Al Nahdha</t>
  </si>
  <si>
    <t>حي النهضه</t>
  </si>
  <si>
    <t>Hay Al Zahra</t>
  </si>
  <si>
    <t>Al-Maimouna</t>
  </si>
  <si>
    <t>Al turkiyah</t>
  </si>
  <si>
    <t>ناحية السلام-التركيه</t>
  </si>
  <si>
    <t>Hay Al-Qasim</t>
  </si>
  <si>
    <t>حي القاسم</t>
  </si>
  <si>
    <t>Al-Mejar Al-Kabir</t>
  </si>
  <si>
    <t>Al-Mejar Al-Kabir-Hay Al Zahra</t>
  </si>
  <si>
    <t>Hay al badrawi 1</t>
  </si>
  <si>
    <t>حي البدراوي 1</t>
  </si>
  <si>
    <t>Hay Al Hassan</t>
  </si>
  <si>
    <t>حي الحسن</t>
  </si>
  <si>
    <t>Hay Al Mulmin Al Jadid</t>
  </si>
  <si>
    <t>حي المعلمين الجديد</t>
  </si>
  <si>
    <t>حي القدس</t>
  </si>
  <si>
    <t>Hay al saray</t>
  </si>
  <si>
    <t>Hay Al-Hasan Al-Askarey</t>
  </si>
  <si>
    <t>Hay Al-Hussain</t>
  </si>
  <si>
    <t>Hay Al-Hussain-Al Adil</t>
  </si>
  <si>
    <t>ناحية العدل-حي الحسين</t>
  </si>
  <si>
    <t>Hay al-sinaah</t>
  </si>
  <si>
    <t>حي الصناعه</t>
  </si>
  <si>
    <t>Ali Al-Gharbi</t>
  </si>
  <si>
    <t>Al-fakhriyah</t>
  </si>
  <si>
    <t>الفخريه</t>
  </si>
  <si>
    <t>Hay Al Batool</t>
  </si>
  <si>
    <t>ناحية علي الشرقي-حي السلام</t>
  </si>
  <si>
    <t>Hay Al-Mualmin-Ali Al Sharqi</t>
  </si>
  <si>
    <t>ناحية علي الشرقي-حي المعلمين</t>
  </si>
  <si>
    <t>Hay Ramadhan-Ali Al Sharqi</t>
  </si>
  <si>
    <t>ناحية علي الشرقي-حي رمضان</t>
  </si>
  <si>
    <t>Najadiya</t>
  </si>
  <si>
    <t>حي النجيديه</t>
  </si>
  <si>
    <t>Amara</t>
  </si>
  <si>
    <t>Al Hay Al JameI</t>
  </si>
  <si>
    <t>الحي الجامعي</t>
  </si>
  <si>
    <t>Al Mudathra</t>
  </si>
  <si>
    <t xml:space="preserve">قرية المدثره </t>
  </si>
  <si>
    <t>Al Rahma 2</t>
  </si>
  <si>
    <t>حي الرحمه 2</t>
  </si>
  <si>
    <t>Al-Imarat Al Jadeda</t>
  </si>
  <si>
    <t>العمارات الجديده</t>
  </si>
  <si>
    <t>Al-Rahma 1</t>
  </si>
  <si>
    <t>حي الرحمه 1</t>
  </si>
  <si>
    <t>Eye of Missan camp</t>
  </si>
  <si>
    <t>مخيم عيون ميسان</t>
  </si>
  <si>
    <t>Hay 17 Rabe Al Awal</t>
  </si>
  <si>
    <t>حي 17 ربيع الاول</t>
  </si>
  <si>
    <t>Hay Al Baqer</t>
  </si>
  <si>
    <t>حي الباقر</t>
  </si>
  <si>
    <t>Hay al jidedah</t>
  </si>
  <si>
    <t>حي الجديده</t>
  </si>
  <si>
    <t>Hay Al Jihad</t>
  </si>
  <si>
    <t>حي الجهاد</t>
  </si>
  <si>
    <t>Hay al karamah</t>
  </si>
  <si>
    <t>حي الكرامه</t>
  </si>
  <si>
    <t>Hay Al Karar</t>
  </si>
  <si>
    <t>Hay Al Khalij</t>
  </si>
  <si>
    <t>حي الخليج</t>
  </si>
  <si>
    <t>Hay al moaalimen al-qadem</t>
  </si>
  <si>
    <t>حي المعلمين القديم</t>
  </si>
  <si>
    <t>Hay Al Urooba</t>
  </si>
  <si>
    <t>حي العروبه</t>
  </si>
  <si>
    <t>Hay Al-Ameer</t>
  </si>
  <si>
    <t>Hay Al-Amen</t>
  </si>
  <si>
    <t>حي الامين</t>
  </si>
  <si>
    <t>Hay Al-Dafas</t>
  </si>
  <si>
    <t>قرية الدفاس</t>
  </si>
  <si>
    <t>Hay Al-Dawanim</t>
  </si>
  <si>
    <t>حي الدوانم</t>
  </si>
  <si>
    <t>Hay Al-Ghader</t>
  </si>
  <si>
    <t>Hay Al-Hadi</t>
  </si>
  <si>
    <t>حي الهادي</t>
  </si>
  <si>
    <t>Hay Al-Hasan Al-Askry</t>
  </si>
  <si>
    <t>Hay al-hussain al-jaded</t>
  </si>
  <si>
    <t>حي الحسين الجديد</t>
  </si>
  <si>
    <t>Hay Al-hussan Al-qadem</t>
  </si>
  <si>
    <t>حي الحسين القديم</t>
  </si>
  <si>
    <t>Hay Al-Kafat</t>
  </si>
  <si>
    <t>حي الكفاءات</t>
  </si>
  <si>
    <t>Hay Al-Khadhraa</t>
  </si>
  <si>
    <t>Hay Al-Mahmoudia</t>
  </si>
  <si>
    <t>حي المحموديه</t>
  </si>
  <si>
    <t>Hay Al-Montadhar</t>
  </si>
  <si>
    <t>Hay Al-Nafot</t>
  </si>
  <si>
    <t>حي النفط</t>
  </si>
  <si>
    <t>Hay Al-Rafidain</t>
  </si>
  <si>
    <t>حي الرافدين</t>
  </si>
  <si>
    <t>Hay Al-Sadir</t>
  </si>
  <si>
    <t>حي الصدر</t>
  </si>
  <si>
    <t>Hay Al-Shahedain</t>
  </si>
  <si>
    <t>حي الشهيدين</t>
  </si>
  <si>
    <t>Hay al-wehdah</t>
  </si>
  <si>
    <t>حي الوحده</t>
  </si>
  <si>
    <t>Hay al-yarmok</t>
  </si>
  <si>
    <t>Hay Al-Zahraa-Al Kumayt</t>
  </si>
  <si>
    <t>ناحية كميت-حي الزهراء</t>
  </si>
  <si>
    <t>Hay aleskan</t>
  </si>
  <si>
    <t>Hay Awasha</t>
  </si>
  <si>
    <t>حي عواشه</t>
  </si>
  <si>
    <t>Hay Nahawnd</t>
  </si>
  <si>
    <t>حي نهاوند</t>
  </si>
  <si>
    <t>Hay Sayed Ashur</t>
  </si>
  <si>
    <t>حي سيد عاشور</t>
  </si>
  <si>
    <t>Hay Sayed Jamil</t>
  </si>
  <si>
    <t>حي سيد جميل</t>
  </si>
  <si>
    <t>Hay Shabanah</t>
  </si>
  <si>
    <t>حي الشبانه</t>
  </si>
  <si>
    <t>Kusiba 1 village</t>
  </si>
  <si>
    <t>قرية كصيبه 1</t>
  </si>
  <si>
    <t>Qal'at Saleh</t>
  </si>
  <si>
    <t>Hay Al Ghadeer</t>
  </si>
  <si>
    <t>Hay Al Hurria</t>
  </si>
  <si>
    <t>حي الحريه</t>
  </si>
  <si>
    <t>Hay Al Husayniyah</t>
  </si>
  <si>
    <t>حي الحسينيه</t>
  </si>
  <si>
    <t>Hay Al Sadir</t>
  </si>
  <si>
    <t>Hay Al-Zahraa-Qalat Saleh</t>
  </si>
  <si>
    <t>حي الزهراء-قلعة صالح</t>
  </si>
  <si>
    <t>Al-Khidhir</t>
  </si>
  <si>
    <t>Al-hay al-askary</t>
  </si>
  <si>
    <t>Albo Resha</t>
  </si>
  <si>
    <t>البو ريشة</t>
  </si>
  <si>
    <t>Hay Alshuhada</t>
  </si>
  <si>
    <t>Al-Rumaitha</t>
  </si>
  <si>
    <t>Al Hilal</t>
  </si>
  <si>
    <t>الهلال</t>
  </si>
  <si>
    <t>Al Warkaa-Hay Al Zahra</t>
  </si>
  <si>
    <t>حي الزهراء-الوركاء</t>
  </si>
  <si>
    <t>Al Zahra</t>
  </si>
  <si>
    <t>الزهراء</t>
  </si>
  <si>
    <t>Al-Hala</t>
  </si>
  <si>
    <t>الحله</t>
  </si>
  <si>
    <t>Al-Muthlem Village</t>
  </si>
  <si>
    <t>قرية المظلم</t>
  </si>
  <si>
    <t>Al-Warka-Al-Shuhada</t>
  </si>
  <si>
    <t>Hay al-hussain</t>
  </si>
  <si>
    <t>Al-Samawa</t>
  </si>
  <si>
    <t>Al Mamlaha</t>
  </si>
  <si>
    <t>المملحة</t>
  </si>
  <si>
    <t>Al-Samawa-Al Maaly</t>
  </si>
  <si>
    <t>ال معالي</t>
  </si>
  <si>
    <t>Al-Samawa-Al-Hay Al-Askary</t>
  </si>
  <si>
    <t>Al-Samawa-Hay Al-Hakim</t>
  </si>
  <si>
    <t>حي الحكيم</t>
  </si>
  <si>
    <t>Al-Shuhada</t>
  </si>
  <si>
    <t>Hay 270 Dar</t>
  </si>
  <si>
    <t>270 حي دار</t>
  </si>
  <si>
    <t>Hay 9 Nissan</t>
  </si>
  <si>
    <t>حي 9 نيسان</t>
  </si>
  <si>
    <t>Hay Al Bani</t>
  </si>
  <si>
    <t>حي ال باني</t>
  </si>
  <si>
    <t xml:space="preserve">Hay Al Gharbi </t>
  </si>
  <si>
    <t>حي الغربي</t>
  </si>
  <si>
    <t>Hay Al Jarboaia</t>
  </si>
  <si>
    <t>الجربوعية</t>
  </si>
  <si>
    <t>Hay Al Tamiem</t>
  </si>
  <si>
    <t>حي التاميم</t>
  </si>
  <si>
    <t>Hay Alabeiad</t>
  </si>
  <si>
    <t>حي ال عبيد</t>
  </si>
  <si>
    <t>Hay Alhussein</t>
  </si>
  <si>
    <t>Hay Alnadhem</t>
  </si>
  <si>
    <t>حي الناظم</t>
  </si>
  <si>
    <t>Hay Dor Al Shareka</t>
  </si>
  <si>
    <t>حي دور الشركة</t>
  </si>
  <si>
    <t>Hay Saed Jabar</t>
  </si>
  <si>
    <t>حي سيد جبار</t>
  </si>
  <si>
    <t>Al-Manathera</t>
  </si>
  <si>
    <t>Al Mishkhab</t>
  </si>
  <si>
    <t>المشخاب</t>
  </si>
  <si>
    <t>Al-Muhajeer</t>
  </si>
  <si>
    <t>المحاجير</t>
  </si>
  <si>
    <t>Al-Muhajerah</t>
  </si>
  <si>
    <t>حي المحجره</t>
  </si>
  <si>
    <t>Hay almatat</t>
  </si>
  <si>
    <t>حي المطاط</t>
  </si>
  <si>
    <t>Suq Shaalan</t>
  </si>
  <si>
    <t>سوق شعلان</t>
  </si>
  <si>
    <t>Kufa</t>
  </si>
  <si>
    <t>Al Abassiyah-Al Resalah 3</t>
  </si>
  <si>
    <t>العباسية حي الرسالة الثالثة</t>
  </si>
  <si>
    <t>Al Abassiyah-Al-Zaidi</t>
  </si>
  <si>
    <t>العباسية-الزيدي</t>
  </si>
  <si>
    <t>Al Abassiyah-Hay Al muntadher</t>
  </si>
  <si>
    <t>العباسية-حي المنتظر</t>
  </si>
  <si>
    <t>Al Abassiyah-Hay Al Resalah 2</t>
  </si>
  <si>
    <t>العباسية حي الرسالة الثانية</t>
  </si>
  <si>
    <t>Al Barakiya</t>
  </si>
  <si>
    <t>البراكية</t>
  </si>
  <si>
    <t>Al Hureya</t>
  </si>
  <si>
    <t>الحرية</t>
  </si>
  <si>
    <t>Al Kreishat 1</t>
  </si>
  <si>
    <t>الكريشات 1</t>
  </si>
  <si>
    <t>Al Kreishat 2</t>
  </si>
  <si>
    <t>الكريشات 2</t>
  </si>
  <si>
    <t>Al Kreishat Al Jinobiya</t>
  </si>
  <si>
    <t>الكريشات الجنوبية</t>
  </si>
  <si>
    <t>Al Kreishat Al Shimaliya</t>
  </si>
  <si>
    <t>الكريشات الشمالية</t>
  </si>
  <si>
    <t>Al Sahla</t>
  </si>
  <si>
    <t>السهله</t>
  </si>
  <si>
    <t>Al Suhailiya 1</t>
  </si>
  <si>
    <t>السهيليه 1</t>
  </si>
  <si>
    <t>Al Suhailiya 2</t>
  </si>
  <si>
    <t>السهيليه 2</t>
  </si>
  <si>
    <t>Albu Hadary</t>
  </si>
  <si>
    <t>البو حداري</t>
  </si>
  <si>
    <t>Albu Noman</t>
  </si>
  <si>
    <t>البو نعمان</t>
  </si>
  <si>
    <t>Alwat Al Fahal</t>
  </si>
  <si>
    <t>علوة الفحل</t>
  </si>
  <si>
    <t>Hay alfurat</t>
  </si>
  <si>
    <t>حي الفرات</t>
  </si>
  <si>
    <t>Hay missan 230</t>
  </si>
  <si>
    <t>حي ميسان 230</t>
  </si>
  <si>
    <t>Hay missan 232</t>
  </si>
  <si>
    <t>حي ميسان 232</t>
  </si>
  <si>
    <t>Hay missan 234</t>
  </si>
  <si>
    <t>حي ميسان 234</t>
  </si>
  <si>
    <t>Hay missan 236</t>
  </si>
  <si>
    <t>حي ميسان 236</t>
  </si>
  <si>
    <t>Hay missan block 238</t>
  </si>
  <si>
    <t>حي ميسان 238</t>
  </si>
  <si>
    <t>Hay missan block 242</t>
  </si>
  <si>
    <t>حي ميسان 242</t>
  </si>
  <si>
    <t>Maytham Al Tamar</t>
  </si>
  <si>
    <t>حي ميثم التمار</t>
  </si>
  <si>
    <t>Sader 3</t>
  </si>
  <si>
    <t>الصدر الثالث</t>
  </si>
  <si>
    <t>Al bory</t>
  </si>
  <si>
    <t>قرية البوري</t>
  </si>
  <si>
    <t>Al Jamiaa 3</t>
  </si>
  <si>
    <t>الجامعة 3</t>
  </si>
  <si>
    <t>Al Jazair 2-B</t>
  </si>
  <si>
    <t>الجزائر 2-B</t>
  </si>
  <si>
    <t>Al Jazair 3</t>
  </si>
  <si>
    <t>الجزائر 3</t>
  </si>
  <si>
    <t>Al Jazair 4</t>
  </si>
  <si>
    <t>الجزائر 4</t>
  </si>
  <si>
    <t>AL JEDAIDA</t>
  </si>
  <si>
    <t>الجديدة 4</t>
  </si>
  <si>
    <t>النور</t>
  </si>
  <si>
    <t>Al Quds 22</t>
  </si>
  <si>
    <t>القدس 22</t>
  </si>
  <si>
    <t>Al Radhawiyah 3</t>
  </si>
  <si>
    <t>الرضوية 3</t>
  </si>
  <si>
    <t>Al Radhawiyah 7</t>
  </si>
  <si>
    <t>الرضوية 7</t>
  </si>
  <si>
    <t>Al Rehab</t>
  </si>
  <si>
    <t>Al Salam Camp</t>
  </si>
  <si>
    <t>مخيم السلام</t>
  </si>
  <si>
    <t>AL-Ajdaa</t>
  </si>
  <si>
    <t>الاجدع</t>
  </si>
  <si>
    <t>Al-Ameriya</t>
  </si>
  <si>
    <t>العامرية</t>
  </si>
  <si>
    <t>Al-Ansar</t>
  </si>
  <si>
    <t>Al-Fao</t>
  </si>
  <si>
    <t>الفاو</t>
  </si>
  <si>
    <t>Al-Ghadeer Village complex</t>
  </si>
  <si>
    <t>مجمع قرية الغدير</t>
  </si>
  <si>
    <t>Al-Hurriya Camp</t>
  </si>
  <si>
    <t>مخيم الحرية</t>
  </si>
  <si>
    <t>Al-Jihad 5</t>
  </si>
  <si>
    <t>الجهاد 5</t>
  </si>
  <si>
    <t>Al-Jihad 6</t>
  </si>
  <si>
    <t>الجهاد 6</t>
  </si>
  <si>
    <t>Al-Mazara 2</t>
  </si>
  <si>
    <t>المزارع الثانية</t>
  </si>
  <si>
    <t>Al-Mazarea AL-Westa</t>
  </si>
  <si>
    <t>المزارع الوسطى</t>
  </si>
  <si>
    <t>Al-Nidaa</t>
  </si>
  <si>
    <t>النداء</t>
  </si>
  <si>
    <t>Al-Qasim</t>
  </si>
  <si>
    <t>القاسم</t>
  </si>
  <si>
    <t>Al-Qasim 2</t>
  </si>
  <si>
    <t>حي القاسم 2</t>
  </si>
  <si>
    <t>Al-Qasim 3</t>
  </si>
  <si>
    <t>حي القاسم 3</t>
  </si>
  <si>
    <t>AL-RADHAWIYA</t>
  </si>
  <si>
    <t>الرضوية 1</t>
  </si>
  <si>
    <t>Al-Risala 2</t>
  </si>
  <si>
    <t>الرسالة 2</t>
  </si>
  <si>
    <t>Al-Shaheed Al-Sadar 1</t>
  </si>
  <si>
    <t>حي الشهيد الصدر 1</t>
  </si>
  <si>
    <t>Al-Shaheed Al-Sadar 5</t>
  </si>
  <si>
    <t>حي الشهيد الصدر 5</t>
  </si>
  <si>
    <t>Al-Shaheed Al-Sadar-Shareet</t>
  </si>
  <si>
    <t>حي الشهيد الصدر-الشريط</t>
  </si>
  <si>
    <t>Aljadidah althalthah</t>
  </si>
  <si>
    <t>الجديدة الثالثة</t>
  </si>
  <si>
    <t>Aljadidah althanyah</t>
  </si>
  <si>
    <t>الجديدة الثانية</t>
  </si>
  <si>
    <t>Aljadidah alulah</t>
  </si>
  <si>
    <t>الجديدة الاولى</t>
  </si>
  <si>
    <t>Fadak Village</t>
  </si>
  <si>
    <t>قرية فدك</t>
  </si>
  <si>
    <t>Hay aby taleb</t>
  </si>
  <si>
    <t>حي ابو طالب</t>
  </si>
  <si>
    <t>Hay Al Ameer</t>
  </si>
  <si>
    <t>Hay Al Rahma</t>
  </si>
  <si>
    <t>حي الرحمة</t>
  </si>
  <si>
    <t>Hay Al Tahadi</t>
  </si>
  <si>
    <t>Hay Al Yarmook 326</t>
  </si>
  <si>
    <t>حي اليرموك 326</t>
  </si>
  <si>
    <t>Hay Al Yarmuk-332</t>
  </si>
  <si>
    <t>حي اليرموك 332</t>
  </si>
  <si>
    <t>Hay Al zahraa-Al Haidariyah</t>
  </si>
  <si>
    <t>حي الزهراء-الحيدرية</t>
  </si>
  <si>
    <t>Hay alsalam 131</t>
  </si>
  <si>
    <t>حي السلام 131</t>
  </si>
  <si>
    <t>Hay Tabok</t>
  </si>
  <si>
    <t>حي تبوك</t>
  </si>
  <si>
    <t>Mafraq Al-Kefal</t>
  </si>
  <si>
    <t>مفرك الجفل</t>
  </si>
  <si>
    <t>Markaz Alhaidariya</t>
  </si>
  <si>
    <t>مركز الحيدرية</t>
  </si>
  <si>
    <t>Mazara Al-Hawli</t>
  </si>
  <si>
    <t>مزارع الحولي</t>
  </si>
  <si>
    <t>Shareet Noor-Tabook</t>
  </si>
  <si>
    <t>شريط نور-تبوك</t>
  </si>
  <si>
    <t>Shawafi Village</t>
  </si>
  <si>
    <t>الشوافع</t>
  </si>
  <si>
    <t>Akre</t>
  </si>
  <si>
    <t>عقرة</t>
  </si>
  <si>
    <t>Amiyanook</t>
  </si>
  <si>
    <t>آميانوك</t>
  </si>
  <si>
    <t>Amyan</t>
  </si>
  <si>
    <t>اميان</t>
  </si>
  <si>
    <t>Banasur</t>
  </si>
  <si>
    <t>بانسور</t>
  </si>
  <si>
    <t>Bardarash</t>
  </si>
  <si>
    <t>بردرش</t>
  </si>
  <si>
    <t>Bardarash Bchok</t>
  </si>
  <si>
    <t>بردرش بجوك</t>
  </si>
  <si>
    <t>Big Dogondan</t>
  </si>
  <si>
    <t>دوكندان كبيرة</t>
  </si>
  <si>
    <t>Big Topzawa</t>
  </si>
  <si>
    <t>توبزاوة كبيرة</t>
  </si>
  <si>
    <t>Bishryan</t>
  </si>
  <si>
    <t>بشريان</t>
  </si>
  <si>
    <t>Bjil</t>
  </si>
  <si>
    <t>بجيل</t>
  </si>
  <si>
    <t>Daratu</t>
  </si>
  <si>
    <t>دارتو</t>
  </si>
  <si>
    <t>Dinarta</t>
  </si>
  <si>
    <t>دينارته</t>
  </si>
  <si>
    <t>Gawilan</t>
  </si>
  <si>
    <t>كويلان</t>
  </si>
  <si>
    <t>Gawrasoor</t>
  </si>
  <si>
    <t>كورا صور</t>
  </si>
  <si>
    <t>Grdasin</t>
  </si>
  <si>
    <t>كردسين</t>
  </si>
  <si>
    <t>Husseini</t>
  </si>
  <si>
    <t>حسيني</t>
  </si>
  <si>
    <t>Ismawa</t>
  </si>
  <si>
    <t>ايسماوة</t>
  </si>
  <si>
    <t>Kalak</t>
  </si>
  <si>
    <t>كلكك</t>
  </si>
  <si>
    <t>Kani Lan</t>
  </si>
  <si>
    <t>كاني لان</t>
  </si>
  <si>
    <t>Kawnapak</t>
  </si>
  <si>
    <t>كوناباك</t>
  </si>
  <si>
    <t>Khalilkan</t>
  </si>
  <si>
    <t>خليلكان</t>
  </si>
  <si>
    <t>Mam Wa Zina</t>
  </si>
  <si>
    <t>مم و زينا</t>
  </si>
  <si>
    <t>Mamilian Camp</t>
  </si>
  <si>
    <t>مخيم مامليان</t>
  </si>
  <si>
    <t>Roviya</t>
  </si>
  <si>
    <t>روفيا</t>
  </si>
  <si>
    <t>Yakmala</t>
  </si>
  <si>
    <t>يكمالا</t>
  </si>
  <si>
    <t>Zanganan</t>
  </si>
  <si>
    <t>زنكنان</t>
  </si>
  <si>
    <t>Zawi Rash</t>
  </si>
  <si>
    <t>زوي رش</t>
  </si>
  <si>
    <t>Zimzimuk</t>
  </si>
  <si>
    <t>زمزموك</t>
  </si>
  <si>
    <t>Al-Hamdaniya</t>
  </si>
  <si>
    <t>Al-Adla Village</t>
  </si>
  <si>
    <t>قرية العدلة</t>
  </si>
  <si>
    <t>Al-Salamiyah Village</t>
  </si>
  <si>
    <t>قرية السلامية</t>
  </si>
  <si>
    <t>مخيم السلامية 1</t>
  </si>
  <si>
    <t>مخيم السلامية 2</t>
  </si>
  <si>
    <t>مخيم حسن شامي U2</t>
  </si>
  <si>
    <t>مخيم حسن شامي U3</t>
  </si>
  <si>
    <t>Ibrahim Alkhalil Village</t>
  </si>
  <si>
    <t>قرية ابراهيم الخليل</t>
  </si>
  <si>
    <t>مخيم الخازر M1</t>
  </si>
  <si>
    <t>مخيم السلامية نمرود</t>
  </si>
  <si>
    <t>Al-Shikhan</t>
  </si>
  <si>
    <t>Almaman</t>
  </si>
  <si>
    <t>آلممان</t>
  </si>
  <si>
    <t>Atrush</t>
  </si>
  <si>
    <t>أتروش</t>
  </si>
  <si>
    <t>Baadre</t>
  </si>
  <si>
    <t>باعدري</t>
  </si>
  <si>
    <t>Berstik</t>
  </si>
  <si>
    <t>بيرستيك</t>
  </si>
  <si>
    <t>Betnar</t>
  </si>
  <si>
    <t>بيتنار</t>
  </si>
  <si>
    <t>Bldisha</t>
  </si>
  <si>
    <t>بلديشا</t>
  </si>
  <si>
    <t>Chira</t>
  </si>
  <si>
    <t>جرة</t>
  </si>
  <si>
    <t>Doshvan</t>
  </si>
  <si>
    <t>دوشفان</t>
  </si>
  <si>
    <t>مخيم ايسيان</t>
  </si>
  <si>
    <t>Esiyan Village</t>
  </si>
  <si>
    <t>قرية ايسيان</t>
  </si>
  <si>
    <t>Kalakchi</t>
  </si>
  <si>
    <t>كلكجي</t>
  </si>
  <si>
    <t>Lalish</t>
  </si>
  <si>
    <t>لالش</t>
  </si>
  <si>
    <t>Mahad</t>
  </si>
  <si>
    <t>مهد</t>
  </si>
  <si>
    <t>مخيم مام رشان</t>
  </si>
  <si>
    <t>Mamrashan</t>
  </si>
  <si>
    <t>مام رشان</t>
  </si>
  <si>
    <t>Mlkishan</t>
  </si>
  <si>
    <t>ملكيشان</t>
  </si>
  <si>
    <t>New Zinava</t>
  </si>
  <si>
    <t>زينافا جديدة</t>
  </si>
  <si>
    <t>Pirbob</t>
  </si>
  <si>
    <t>بيربوب</t>
  </si>
  <si>
    <t>Qasrok</t>
  </si>
  <si>
    <t>قسروك</t>
  </si>
  <si>
    <t>Sheikhan Camp</t>
  </si>
  <si>
    <t>مخيم شيخان</t>
  </si>
  <si>
    <t>Shekhan</t>
  </si>
  <si>
    <t>شيخان</t>
  </si>
  <si>
    <t>Tal Jumal</t>
  </si>
  <si>
    <t>تل جومل</t>
  </si>
  <si>
    <t>Zelkan</t>
  </si>
  <si>
    <t>زيلكان</t>
  </si>
  <si>
    <t>Hatra</t>
  </si>
  <si>
    <t>Tal abta</t>
  </si>
  <si>
    <t>تل عبطة</t>
  </si>
  <si>
    <t>Mosul</t>
  </si>
  <si>
    <t>7-Nisan</t>
  </si>
  <si>
    <t>حي 7 نيسان</t>
  </si>
  <si>
    <t>Abu Arayis Village</t>
  </si>
  <si>
    <t>قرية أبوعرايس</t>
  </si>
  <si>
    <t>Ahijlah village</t>
  </si>
  <si>
    <t>قرية اجحلة</t>
  </si>
  <si>
    <t>Al Haj Ali</t>
  </si>
  <si>
    <t>الحاج علي</t>
  </si>
  <si>
    <t>Al Harmaat</t>
  </si>
  <si>
    <t>الهرمات</t>
  </si>
  <si>
    <t>AL Jawana</t>
  </si>
  <si>
    <t>حي الجزائر</t>
  </si>
  <si>
    <t>Al rasheediya</t>
  </si>
  <si>
    <t>Al tahreer</t>
  </si>
  <si>
    <t>Al Tanak</t>
  </si>
  <si>
    <t>التنك</t>
  </si>
  <si>
    <t>Al-Akhaa</t>
  </si>
  <si>
    <t>الاخاء</t>
  </si>
  <si>
    <t>Al-Amil</t>
  </si>
  <si>
    <t>العامل</t>
  </si>
  <si>
    <t>Al-Andalus</t>
  </si>
  <si>
    <t>حي الاندلس</t>
  </si>
  <si>
    <t>Al-Areej Village</t>
  </si>
  <si>
    <t>قرية العريج</t>
  </si>
  <si>
    <t>Al-Ausaja Village</t>
  </si>
  <si>
    <t>قرية العوسجة</t>
  </si>
  <si>
    <t>Al-Baath</t>
  </si>
  <si>
    <t>حي البعث</t>
  </si>
  <si>
    <t>Al-Baladyat</t>
  </si>
  <si>
    <t>البلديات</t>
  </si>
  <si>
    <t>Al-Bareed</t>
  </si>
  <si>
    <t>البريد</t>
  </si>
  <si>
    <t>Al-Derbas Village</t>
  </si>
  <si>
    <t>قرية الدرباس</t>
  </si>
  <si>
    <t>Al-Falah</t>
  </si>
  <si>
    <t>حي الفلاح</t>
  </si>
  <si>
    <t>Al-farsia olya Village</t>
  </si>
  <si>
    <t>قرية الفارسية عليا</t>
  </si>
  <si>
    <t>Al-Hadbaa</t>
  </si>
  <si>
    <t>الحدباء</t>
  </si>
  <si>
    <t>Al-Harmat 2</t>
  </si>
  <si>
    <t>الهرمات الثانية</t>
  </si>
  <si>
    <t>Al-Hasya Village</t>
  </si>
  <si>
    <t>قرية الحصية</t>
  </si>
  <si>
    <t>Al-Hood Village</t>
  </si>
  <si>
    <t>قرية الحود</t>
  </si>
  <si>
    <t>Al-Jmesa Village</t>
  </si>
  <si>
    <t>قرية الجمسة</t>
  </si>
  <si>
    <t>Al-Kafaat 2nd</t>
  </si>
  <si>
    <t>الكفاءات الثانية</t>
  </si>
  <si>
    <t>Al-Karama village</t>
  </si>
  <si>
    <t>قرية الكرامة</t>
  </si>
  <si>
    <t>Al-Karamah</t>
  </si>
  <si>
    <t>الكرامة</t>
  </si>
  <si>
    <t>Al-Khadraa</t>
  </si>
  <si>
    <t>الخضراء</t>
  </si>
  <si>
    <t>Al-Maamon</t>
  </si>
  <si>
    <t>المامون</t>
  </si>
  <si>
    <t>AL-Mahattah Al-ghaziyah Village</t>
  </si>
  <si>
    <t>قرية المحطة الغازية</t>
  </si>
  <si>
    <t>Al-Mansour</t>
  </si>
  <si>
    <t>المنصور</t>
  </si>
  <si>
    <t>Al-Masarif</t>
  </si>
  <si>
    <t>حي المصارف</t>
  </si>
  <si>
    <t>Al-Methaq</t>
  </si>
  <si>
    <t>الميثاق</t>
  </si>
  <si>
    <t>Al-Moalemen</t>
  </si>
  <si>
    <t>Al-Mothana</t>
  </si>
  <si>
    <t>Al-Muhandiseen</t>
  </si>
  <si>
    <t>Al-Muharibeen</t>
  </si>
  <si>
    <t>Al-Nahda</t>
  </si>
  <si>
    <t>حي النهضة</t>
  </si>
  <si>
    <t>Al-Noor</t>
  </si>
  <si>
    <t>Al-Numaniyah</t>
  </si>
  <si>
    <t>النعمانية</t>
  </si>
  <si>
    <t>Al-Qahira</t>
  </si>
  <si>
    <t>القاهرة</t>
  </si>
  <si>
    <t>Al-Qayyarah Center</t>
  </si>
  <si>
    <t>مركز القيارة</t>
  </si>
  <si>
    <t>Al-Quds</t>
  </si>
  <si>
    <t>القدس</t>
  </si>
  <si>
    <t>AL-Refaq</t>
  </si>
  <si>
    <t>Al-Shaymaa</t>
  </si>
  <si>
    <t>الشيماء</t>
  </si>
  <si>
    <t>Al-sukar</t>
  </si>
  <si>
    <t>حي السكر</t>
  </si>
  <si>
    <t>Al-Swais</t>
  </si>
  <si>
    <t>السويس</t>
  </si>
  <si>
    <t>Al-Wahda</t>
  </si>
  <si>
    <t>Al-Yarmuk</t>
  </si>
  <si>
    <t>اليرموك</t>
  </si>
  <si>
    <t>Al-zakrotiyah Village</t>
  </si>
  <si>
    <t>قرية الزكروطية</t>
  </si>
  <si>
    <t>Al-Zuhor</t>
  </si>
  <si>
    <t>Alqadisiya Al-thaniya</t>
  </si>
  <si>
    <t>القادسية الثانية</t>
  </si>
  <si>
    <t>Alshuhadaa</t>
  </si>
  <si>
    <t>Arbajiyah</t>
  </si>
  <si>
    <t>اربجية</t>
  </si>
  <si>
    <t>Arkaba village</t>
  </si>
  <si>
    <t>قرية الركبة</t>
  </si>
  <si>
    <t>Bab Nergal</t>
  </si>
  <si>
    <t>باب نركال</t>
  </si>
  <si>
    <t>Bower Albo Hmad Village</t>
  </si>
  <si>
    <t>قرية بوير البوحمد</t>
  </si>
  <si>
    <t>Bysan</t>
  </si>
  <si>
    <t>بيسان</t>
  </si>
  <si>
    <t xml:space="preserve">Dhala Village </t>
  </si>
  <si>
    <t>قرية دحلة</t>
  </si>
  <si>
    <t>Dur-AlQaeda</t>
  </si>
  <si>
    <t>دور القاعدة</t>
  </si>
  <si>
    <t>مخيم الحاج علي</t>
  </si>
  <si>
    <t>Hamam Alaleel Center</t>
  </si>
  <si>
    <t>مركز حمام العليل</t>
  </si>
  <si>
    <t>مخيم حمام العليل 2</t>
  </si>
  <si>
    <t>Hay 30 July</t>
  </si>
  <si>
    <t>حي 30 تموز</t>
  </si>
  <si>
    <t>Hay Al Arabi</t>
  </si>
  <si>
    <t>حي العربي</t>
  </si>
  <si>
    <t>Hay Al Intisar</t>
  </si>
  <si>
    <t>الانتصار</t>
  </si>
  <si>
    <t>Hay Al Islah Al Zirai</t>
  </si>
  <si>
    <t>حي الاصلاح الزراعي</t>
  </si>
  <si>
    <t>Hay Al Nahrawan</t>
  </si>
  <si>
    <t>حي النهروان</t>
  </si>
  <si>
    <t>Hay Al Samah</t>
  </si>
  <si>
    <t>حي السماح</t>
  </si>
  <si>
    <t>Hay Al Tammem</t>
  </si>
  <si>
    <t>التاميم</t>
  </si>
  <si>
    <t>Hay Al-Baker</t>
  </si>
  <si>
    <t>Hay Alalam</t>
  </si>
  <si>
    <t>حي الاعلام</t>
  </si>
  <si>
    <t>Hay alsedeeq</t>
  </si>
  <si>
    <t>Hay Nablus</t>
  </si>
  <si>
    <t>حي نابلس</t>
  </si>
  <si>
    <t>HAY-FALISTINE</t>
  </si>
  <si>
    <t>حي فلسطين</t>
  </si>
  <si>
    <t>HAY-SUMMER</t>
  </si>
  <si>
    <t>حي سومر</t>
  </si>
  <si>
    <t>Imam Village</t>
  </si>
  <si>
    <t>قرية الامام</t>
  </si>
  <si>
    <t>Jahuni Village</t>
  </si>
  <si>
    <t>قرية جهوني</t>
  </si>
  <si>
    <t>Karaj-Alshimal</t>
  </si>
  <si>
    <t>كراج الشمال</t>
  </si>
  <si>
    <t>Khirbt Shmam Village</t>
  </si>
  <si>
    <t>قرية خربة شمام</t>
  </si>
  <si>
    <t>knetrah Village</t>
  </si>
  <si>
    <t>قرية كنيطرة</t>
  </si>
  <si>
    <t>Mosul Jadida</t>
  </si>
  <si>
    <t>موصل الجديدة</t>
  </si>
  <si>
    <t>Nabi Younis</t>
  </si>
  <si>
    <t>حي النبي يونس</t>
  </si>
  <si>
    <t>Qayyarah Airstrip</t>
  </si>
  <si>
    <t>مخيم قاعدة القيارة الجوية</t>
  </si>
  <si>
    <t>Sahaji</t>
  </si>
  <si>
    <t>السحاجي</t>
  </si>
  <si>
    <t>Wadi Hajar</t>
  </si>
  <si>
    <t>وادي حجر</t>
  </si>
  <si>
    <t>Yarmjah</t>
  </si>
  <si>
    <t>يارمجة</t>
  </si>
  <si>
    <t>Yarmjah Al-sharqiya</t>
  </si>
  <si>
    <t>يارمجة الشرقية</t>
  </si>
  <si>
    <t>Zanjili</t>
  </si>
  <si>
    <t>الزنجيلي</t>
  </si>
  <si>
    <t>Sinjar</t>
  </si>
  <si>
    <t>Adika</t>
  </si>
  <si>
    <t>اديكا</t>
  </si>
  <si>
    <t>Ashti &amp; Heriko</t>
  </si>
  <si>
    <t>اشتي و هريكو</t>
  </si>
  <si>
    <t xml:space="preserve">Bakera </t>
  </si>
  <si>
    <t>بكرا</t>
  </si>
  <si>
    <t>Balif</t>
  </si>
  <si>
    <t>بليف</t>
  </si>
  <si>
    <t>Barah</t>
  </si>
  <si>
    <t>باره</t>
  </si>
  <si>
    <t>Bayevok</t>
  </si>
  <si>
    <t>بايفوك</t>
  </si>
  <si>
    <t>Bir Adam</t>
  </si>
  <si>
    <t>بير ادم</t>
  </si>
  <si>
    <t xml:space="preserve">بورك </t>
  </si>
  <si>
    <t>Cheyl mira</t>
  </si>
  <si>
    <t>جيل ميرا</t>
  </si>
  <si>
    <t>Darki Qawala</t>
  </si>
  <si>
    <t>داركي قوالا</t>
  </si>
  <si>
    <t>Dokri</t>
  </si>
  <si>
    <t>دوكري</t>
  </si>
  <si>
    <t>Guhbal and shorka</t>
  </si>
  <si>
    <t>كهبل +شوركا  </t>
  </si>
  <si>
    <t>Haliqye</t>
  </si>
  <si>
    <t>حليقي</t>
  </si>
  <si>
    <t>Hay Al Naser</t>
  </si>
  <si>
    <t>Hay AlQabail</t>
  </si>
  <si>
    <t>حي القبائل</t>
  </si>
  <si>
    <t>Hay Alqadseya</t>
  </si>
  <si>
    <t>Hay barbaroj</t>
  </si>
  <si>
    <t>حي بربروش</t>
  </si>
  <si>
    <t xml:space="preserve">Karsi </t>
  </si>
  <si>
    <t>كرسي</t>
  </si>
  <si>
    <t>Khana sor</t>
  </si>
  <si>
    <t>خانصور</t>
  </si>
  <si>
    <t>Kolka</t>
  </si>
  <si>
    <t>كولكا</t>
  </si>
  <si>
    <t>Melik</t>
  </si>
  <si>
    <t>ملك</t>
  </si>
  <si>
    <t>Osiva</t>
  </si>
  <si>
    <t>اوسفا</t>
  </si>
  <si>
    <t>Quwasi</t>
  </si>
  <si>
    <t>قويسي</t>
  </si>
  <si>
    <t>Rozh Halat</t>
  </si>
  <si>
    <t>حي روز هلات</t>
  </si>
  <si>
    <t>Sardashty</t>
  </si>
  <si>
    <t>سردشتي</t>
  </si>
  <si>
    <t>Semi-Hester</t>
  </si>
  <si>
    <t>سمي هيستر</t>
  </si>
  <si>
    <t>Sharaf Alddin</t>
  </si>
  <si>
    <t>شرف الدين</t>
  </si>
  <si>
    <t>Shyebl Qasim</t>
  </si>
  <si>
    <t>شيبل قاسم</t>
  </si>
  <si>
    <t>Sinuni center</t>
  </si>
  <si>
    <t>مركز سنوني</t>
  </si>
  <si>
    <t>Trbeka</t>
  </si>
  <si>
    <t>تربكة</t>
  </si>
  <si>
    <t>Wary Bahdo</t>
  </si>
  <si>
    <t>واري بهدو</t>
  </si>
  <si>
    <t>Zorava and zirwa</t>
  </si>
  <si>
    <t xml:space="preserve">زورافا+زيروا </t>
  </si>
  <si>
    <t>Telafar</t>
  </si>
  <si>
    <t>Abu hajarah</t>
  </si>
  <si>
    <t>ابو حجرة</t>
  </si>
  <si>
    <t>Abu Hajira vilage</t>
  </si>
  <si>
    <t>قرية ابو حجيرة</t>
  </si>
  <si>
    <t>abu khushub</t>
  </si>
  <si>
    <t>abu wni</t>
  </si>
  <si>
    <t>قرية أبو وني</t>
  </si>
  <si>
    <t>Al baswna vilage</t>
  </si>
  <si>
    <t>قرية البزونة</t>
  </si>
  <si>
    <t>Al Muthalatha village</t>
  </si>
  <si>
    <t>المثلثة</t>
  </si>
  <si>
    <t>Albarghlih</t>
  </si>
  <si>
    <t>قرية البرغليه</t>
  </si>
  <si>
    <t>Albughuh</t>
  </si>
  <si>
    <t>قرية البوغه</t>
  </si>
  <si>
    <t>Almawmi vilage</t>
  </si>
  <si>
    <t>قرية المومي</t>
  </si>
  <si>
    <t xml:space="preserve">am Kahayef </t>
  </si>
  <si>
    <t>ام كهيف</t>
  </si>
  <si>
    <t>amla</t>
  </si>
  <si>
    <t>قرية عمله</t>
  </si>
  <si>
    <t>Bayr alhulu</t>
  </si>
  <si>
    <t>قرية بئر الحلو</t>
  </si>
  <si>
    <t>قرية بئر عكلة</t>
  </si>
  <si>
    <t>Domez complex</t>
  </si>
  <si>
    <t>مجمع دوميز</t>
  </si>
  <si>
    <t>Ewaynat vilage</t>
  </si>
  <si>
    <t>قرية عوينات</t>
  </si>
  <si>
    <t>Hay Al Arbaeen</t>
  </si>
  <si>
    <t>حي الاربعين</t>
  </si>
  <si>
    <t>Hay Al Askari</t>
  </si>
  <si>
    <t>Hay Al laban</t>
  </si>
  <si>
    <t>حي اللبن</t>
  </si>
  <si>
    <t>Hay Al Qadisya</t>
  </si>
  <si>
    <t>Hay Al Sikak</t>
  </si>
  <si>
    <t>Hay Alasreya</t>
  </si>
  <si>
    <t>Hay althahabe</t>
  </si>
  <si>
    <t>الحي الذهبي</t>
  </si>
  <si>
    <t>Hdeimh</t>
  </si>
  <si>
    <t>قرية هضمية</t>
  </si>
  <si>
    <t>Kakhirta</t>
  </si>
  <si>
    <t>كاخرتة</t>
  </si>
  <si>
    <t>Karsur vilage</t>
  </si>
  <si>
    <t>قرية كرصور</t>
  </si>
  <si>
    <t>Khrmer</t>
  </si>
  <si>
    <t>قرية خرمر</t>
  </si>
  <si>
    <t>kirver village</t>
  </si>
  <si>
    <t>قرية كرفر</t>
  </si>
  <si>
    <t>Mushah vilage</t>
  </si>
  <si>
    <t>قرية موشة</t>
  </si>
  <si>
    <t>Qasabat Zummar</t>
  </si>
  <si>
    <t>قصبة زمار</t>
  </si>
  <si>
    <t>Sahal albawghuh</t>
  </si>
  <si>
    <t>قرية سحل البوغه</t>
  </si>
  <si>
    <t>Tal alhuaa</t>
  </si>
  <si>
    <t>Tal Hial vilage</t>
  </si>
  <si>
    <t>قرية تل حيال</t>
  </si>
  <si>
    <t>Tal Ismair</t>
  </si>
  <si>
    <t>Tal Mus</t>
  </si>
  <si>
    <t>قرية تل موس</t>
  </si>
  <si>
    <t>Tal Talab vilage</t>
  </si>
  <si>
    <t>قرية تل طلب</t>
  </si>
  <si>
    <t>Tal wardan vilage</t>
  </si>
  <si>
    <t>قرية تل وردان</t>
  </si>
  <si>
    <t>Tel Reem</t>
  </si>
  <si>
    <t>تل الريم</t>
  </si>
  <si>
    <t>Tilkaif</t>
  </si>
  <si>
    <t>Ain Baqara</t>
  </si>
  <si>
    <t>عين بقرة</t>
  </si>
  <si>
    <t>Al Qawsiyat</t>
  </si>
  <si>
    <t>القوسيات</t>
  </si>
  <si>
    <t>Alqosh</t>
  </si>
  <si>
    <t>القوش</t>
  </si>
  <si>
    <t>Baawiza</t>
  </si>
  <si>
    <t>بعويزة</t>
  </si>
  <si>
    <t>Bahindawa</t>
  </si>
  <si>
    <t>بندوايا</t>
  </si>
  <si>
    <t>Beban</t>
  </si>
  <si>
    <t>قرية بيبان</t>
  </si>
  <si>
    <t>Beerzwa</t>
  </si>
  <si>
    <t>بيروزواة</t>
  </si>
  <si>
    <t>Bozan</t>
  </si>
  <si>
    <t>قرية بوزان</t>
  </si>
  <si>
    <t>Dahkan</t>
  </si>
  <si>
    <t xml:space="preserve">دهكان كبير </t>
  </si>
  <si>
    <t>Dashqutan</t>
  </si>
  <si>
    <t>داشقوتان</t>
  </si>
  <si>
    <t>Doghat</t>
  </si>
  <si>
    <t>قرية دوغات</t>
  </si>
  <si>
    <t>مخيم كرماوه</t>
  </si>
  <si>
    <t>Hatara</t>
  </si>
  <si>
    <t>حتارة</t>
  </si>
  <si>
    <t>Jambour Village</t>
  </si>
  <si>
    <t>قرية جمبور</t>
  </si>
  <si>
    <t>Jarahiya</t>
  </si>
  <si>
    <t>الجراحية</t>
  </si>
  <si>
    <t>Kabara</t>
  </si>
  <si>
    <t>قرية كابارة</t>
  </si>
  <si>
    <t>Kalata Farhan village</t>
  </si>
  <si>
    <t>قرية كلاتة فرحان(طماشة)</t>
  </si>
  <si>
    <t>Karanjik</t>
  </si>
  <si>
    <t>كرنجوك</t>
  </si>
  <si>
    <t>Karmawa</t>
  </si>
  <si>
    <t>كرماوة</t>
  </si>
  <si>
    <t>Khorazan</t>
  </si>
  <si>
    <t>قرية خورازان</t>
  </si>
  <si>
    <t>Khoshaba</t>
  </si>
  <si>
    <t xml:space="preserve">قرية خوشابا </t>
  </si>
  <si>
    <t>منارة</t>
  </si>
  <si>
    <t>Nasiriah</t>
  </si>
  <si>
    <t>النصيرية</t>
  </si>
  <si>
    <t>Sarishka</t>
  </si>
  <si>
    <t>قرية سريشكا</t>
  </si>
  <si>
    <t>Sharafiya</t>
  </si>
  <si>
    <t>قرية الشرفية</t>
  </si>
  <si>
    <t>Shaykhaka</t>
  </si>
  <si>
    <t>قرية شيخكة</t>
  </si>
  <si>
    <t>Tafteyan</t>
  </si>
  <si>
    <t>قرية تفتيان</t>
  </si>
  <si>
    <t>Tal Adas</t>
  </si>
  <si>
    <t>تل عدس</t>
  </si>
  <si>
    <t>Tilkaif Center</t>
  </si>
  <si>
    <t>مركز تلكيف</t>
  </si>
  <si>
    <t>wanna center</t>
  </si>
  <si>
    <t>مركز وانة</t>
  </si>
  <si>
    <t>Afaq</t>
  </si>
  <si>
    <t>Al Atawah Village</t>
  </si>
  <si>
    <t>قرية العطاوة</t>
  </si>
  <si>
    <t>AL-Qati</t>
  </si>
  <si>
    <t>القاطع</t>
  </si>
  <si>
    <t>Al-Sabkaia</t>
  </si>
  <si>
    <t>الصبخاية</t>
  </si>
  <si>
    <t>Al-sadaa al-muhania village</t>
  </si>
  <si>
    <t>قرية السادة المحانية</t>
  </si>
  <si>
    <t>Al-shariaa village</t>
  </si>
  <si>
    <t>قرية الشريعة</t>
  </si>
  <si>
    <t>Hay Al Askary 2</t>
  </si>
  <si>
    <t>حي العسكري2</t>
  </si>
  <si>
    <t>Hay Al Jumhoriyah</t>
  </si>
  <si>
    <t xml:space="preserve">حي الجمهورية </t>
  </si>
  <si>
    <t>Hay Al-Hakeem</t>
  </si>
  <si>
    <t>Hay Al-Hussein</t>
  </si>
  <si>
    <t>Hay al-jihad</t>
  </si>
  <si>
    <t>Hay Al-Sadrain</t>
  </si>
  <si>
    <t>Hay Al-sakban</t>
  </si>
  <si>
    <t>حي الصكبان</t>
  </si>
  <si>
    <t>Hay Al-Waili</t>
  </si>
  <si>
    <t>حي الوائلي</t>
  </si>
  <si>
    <t>Mantaqet Alsooq</t>
  </si>
  <si>
    <t>منطقة السوق</t>
  </si>
  <si>
    <t>Tajamo Al-Mohajreen</t>
  </si>
  <si>
    <t>تجمع المهاجرين</t>
  </si>
  <si>
    <t>Tajamo Al-Shara</t>
  </si>
  <si>
    <t>تجمع الشرع</t>
  </si>
  <si>
    <t>Tajamo Zamel</t>
  </si>
  <si>
    <t>تجمع زامل</t>
  </si>
  <si>
    <t>Al-Shamiya</t>
  </si>
  <si>
    <t>Ager village</t>
  </si>
  <si>
    <t>قرية عكر</t>
  </si>
  <si>
    <t>Al-Asaia Village</t>
  </si>
  <si>
    <t>قرية العصية</t>
  </si>
  <si>
    <t>Al-ghrabia</t>
  </si>
  <si>
    <t>الغرابية</t>
  </si>
  <si>
    <t>Ghammas Al-Garb</t>
  </si>
  <si>
    <t>غماس الغرب</t>
  </si>
  <si>
    <t>Ghammas Al-Sharq</t>
  </si>
  <si>
    <t>غماس الشرق</t>
  </si>
  <si>
    <t>Hawy Village</t>
  </si>
  <si>
    <t>قرية حاوي</t>
  </si>
  <si>
    <t>Hay Al Tabqa</t>
  </si>
  <si>
    <t>حي الطبكة</t>
  </si>
  <si>
    <t>Hay Al-aaskary al-gharby</t>
  </si>
  <si>
    <t>حي العسكري الغربي</t>
  </si>
  <si>
    <t>Hay Al-aaskary al-sharqy</t>
  </si>
  <si>
    <t xml:space="preserve">حي العسكري الشرقي </t>
  </si>
  <si>
    <t>Hay Al-Hakim</t>
  </si>
  <si>
    <t>Hay al-husien</t>
  </si>
  <si>
    <t>Hay al-joumhoury</t>
  </si>
  <si>
    <t xml:space="preserve">حي الجمهوري </t>
  </si>
  <si>
    <t>Hay al-mualamien</t>
  </si>
  <si>
    <t>Hay Al-Shuhada</t>
  </si>
  <si>
    <t>حي الشهادة</t>
  </si>
  <si>
    <t>Hay Al-Sifana</t>
  </si>
  <si>
    <t>حي السيفانه</t>
  </si>
  <si>
    <t>Mahlat al-souq</t>
  </si>
  <si>
    <t>محلة السوق</t>
  </si>
  <si>
    <t>Mahlat Al-Souq</t>
  </si>
  <si>
    <t>Mantaket Al Hezam Al Akhdhar</t>
  </si>
  <si>
    <t xml:space="preserve">منطقة الحزام الاخضر </t>
  </si>
  <si>
    <t>Mantaket Al-Aagmai</t>
  </si>
  <si>
    <t>منطقة العجمية</t>
  </si>
  <si>
    <t>Said Rafie village</t>
  </si>
  <si>
    <t>قرية سيد رافع</t>
  </si>
  <si>
    <t>Um Showareef village</t>
  </si>
  <si>
    <t>قرية ام شواريف</t>
  </si>
  <si>
    <t>Diwaniya</t>
  </si>
  <si>
    <t>Al hamad village</t>
  </si>
  <si>
    <t>قرية الحمد</t>
  </si>
  <si>
    <t>Al himran village</t>
  </si>
  <si>
    <t>قرية الحمران</t>
  </si>
  <si>
    <t>Al Mojamaa Al Sakani</t>
  </si>
  <si>
    <t>المجمع السكني</t>
  </si>
  <si>
    <t>Al-ataa village</t>
  </si>
  <si>
    <t>قرية العطاء</t>
  </si>
  <si>
    <t>Al-bu hwelaa Village</t>
  </si>
  <si>
    <t>قرية البو حويله</t>
  </si>
  <si>
    <t>Al-bu jamal Village</t>
  </si>
  <si>
    <t>قرية البو جمال</t>
  </si>
  <si>
    <t>Al-Hacham Village</t>
  </si>
  <si>
    <t>قرية الحجام</t>
  </si>
  <si>
    <t>Al-Jabaar village</t>
  </si>
  <si>
    <t>قرية ال جبار</t>
  </si>
  <si>
    <t>AL-Jamiyah 2</t>
  </si>
  <si>
    <t>الجمعية الثانية</t>
  </si>
  <si>
    <t>Al-Jasem Village</t>
  </si>
  <si>
    <t>قرية الجاسم</t>
  </si>
  <si>
    <t>Al-Jazaair 1</t>
  </si>
  <si>
    <t>الجزائر الاولى</t>
  </si>
  <si>
    <t>Al-Jazaair 2</t>
  </si>
  <si>
    <t>الجزائر الثانية</t>
  </si>
  <si>
    <t>al-khalifa village</t>
  </si>
  <si>
    <t>قرية الخليفة</t>
  </si>
  <si>
    <t>Al-khozaal Village</t>
  </si>
  <si>
    <t>قرية الخزاعل</t>
  </si>
  <si>
    <t>Al-Mawqee Al-Askary</t>
  </si>
  <si>
    <t>الموقع العسكري</t>
  </si>
  <si>
    <t>Al-Sadiq(2)</t>
  </si>
  <si>
    <t>الصادق الثانية</t>
  </si>
  <si>
    <t>Al-Taamem-2</t>
  </si>
  <si>
    <t>التأميم الثانية</t>
  </si>
  <si>
    <t>Al-Taqiya 2</t>
  </si>
  <si>
    <t>التقية الثانية</t>
  </si>
  <si>
    <t>Al-Taqiya 3</t>
  </si>
  <si>
    <t>التقية الثالثه</t>
  </si>
  <si>
    <t>Al-tharwa al-alhaiwaniya</t>
  </si>
  <si>
    <t>الثروة الحيوانية</t>
  </si>
  <si>
    <t>Al-Zawad village</t>
  </si>
  <si>
    <t>قرية الزواد</t>
  </si>
  <si>
    <t>Albo Hasan village</t>
  </si>
  <si>
    <t>قرية البو حسن</t>
  </si>
  <si>
    <t>Albu Khnefis village</t>
  </si>
  <si>
    <t>قرية البو خنيفس</t>
  </si>
  <si>
    <t>Ataiwarev Village</t>
  </si>
  <si>
    <t>قرية الطواريف</t>
  </si>
  <si>
    <t>Hay Al Furat-1</t>
  </si>
  <si>
    <t>حي الفرات الاولى</t>
  </si>
  <si>
    <t>Hay Al Furat-2</t>
  </si>
  <si>
    <t>حي الفرات الثانية</t>
  </si>
  <si>
    <t>Hay Al Ghadir</t>
  </si>
  <si>
    <t>Hay Al Hurriya</t>
  </si>
  <si>
    <t>Hay Al Jamiaa</t>
  </si>
  <si>
    <t>حي الجامعة</t>
  </si>
  <si>
    <t>Hay Al Jamiaa-Al-Hawli</t>
  </si>
  <si>
    <t>حي الجامعة-الحولي</t>
  </si>
  <si>
    <t>Hay Al Jumhori Al Sharqi</t>
  </si>
  <si>
    <t>حي الجمهوري الشرقي</t>
  </si>
  <si>
    <t>Hay Al Mulmeen</t>
  </si>
  <si>
    <t>Hay Al Nahda 3</t>
  </si>
  <si>
    <t>حي النهضة 3</t>
  </si>
  <si>
    <t>Hay Al Sadir 1</t>
  </si>
  <si>
    <t>حي الصدر الاول</t>
  </si>
  <si>
    <t>Hay Al Sadir 2</t>
  </si>
  <si>
    <t>حي الصدر الثاني</t>
  </si>
  <si>
    <t>Hay Al Sadir 3</t>
  </si>
  <si>
    <t>حي الصدر الثالث</t>
  </si>
  <si>
    <t xml:space="preserve">حي السلام </t>
  </si>
  <si>
    <t>Hay Al Shahada</t>
  </si>
  <si>
    <t xml:space="preserve">حي الشهداء </t>
  </si>
  <si>
    <t>Hay Al Shomos</t>
  </si>
  <si>
    <t>حي الشموس</t>
  </si>
  <si>
    <t>Hay Al Thuqlayn</t>
  </si>
  <si>
    <t>حي الثقلين</t>
  </si>
  <si>
    <t>Hay Al Waely</t>
  </si>
  <si>
    <t>Hay Al Wihda 1</t>
  </si>
  <si>
    <t>حي الوحده الاولى</t>
  </si>
  <si>
    <t>Hay Al Wihda 2</t>
  </si>
  <si>
    <t>حي الوحدة الثانية</t>
  </si>
  <si>
    <t>Hay Al Wihda 3</t>
  </si>
  <si>
    <t>حي الوحده الثالثه</t>
  </si>
  <si>
    <t>Hay Al-Amin 1</t>
  </si>
  <si>
    <t>حي الامين 1</t>
  </si>
  <si>
    <t>Hay Al-Amin 2</t>
  </si>
  <si>
    <t>حي الامين 2</t>
  </si>
  <si>
    <t>Hay Al-Askaary</t>
  </si>
  <si>
    <t>Hay Al-Asry-118</t>
  </si>
  <si>
    <t>حي العصري محلة 118</t>
  </si>
  <si>
    <t>Hay Al-Dhubat 2</t>
  </si>
  <si>
    <t>حي الضباط الثاني</t>
  </si>
  <si>
    <t>Hay Al-Hadarah</t>
  </si>
  <si>
    <t>حي الحضارة</t>
  </si>
  <si>
    <t>Hay AL-Hussian</t>
  </si>
  <si>
    <t>Hay Al-Karar</t>
  </si>
  <si>
    <t>Hay al-muaalmien</t>
  </si>
  <si>
    <t>Hay Al-Nahtha 1</t>
  </si>
  <si>
    <t>حي النهضة 1</t>
  </si>
  <si>
    <t>Hay Al-Naseej</t>
  </si>
  <si>
    <t>حي النسيج</t>
  </si>
  <si>
    <t>Hay Al-Sadir 4</t>
  </si>
  <si>
    <t>حي الصدر الرابعة</t>
  </si>
  <si>
    <t>Hay Al-Shurta</t>
  </si>
  <si>
    <t>Hay Al-Zaieem</t>
  </si>
  <si>
    <t>حي الزعيم</t>
  </si>
  <si>
    <t>Kadoory village</t>
  </si>
  <si>
    <t>قرية قدوري</t>
  </si>
  <si>
    <t>Mantaket Al-Jethaa</t>
  </si>
  <si>
    <t>منطقة الجذع</t>
  </si>
  <si>
    <t>Qaryat Al Ensaf</t>
  </si>
  <si>
    <t>قرية الانصاف</t>
  </si>
  <si>
    <t>Sader Al-Daghara</t>
  </si>
  <si>
    <t>صدر الدغارة</t>
  </si>
  <si>
    <t>Salman Hlis Village</t>
  </si>
  <si>
    <t>قرية سلمان هليس</t>
  </si>
  <si>
    <t>Sayed Talib Village</t>
  </si>
  <si>
    <t>قرية سيد طالب</t>
  </si>
  <si>
    <t>Um Abasiyat</t>
  </si>
  <si>
    <t>ام عباسيات</t>
  </si>
  <si>
    <t>Um Al Khail 2</t>
  </si>
  <si>
    <t>ام الخيل الثانية</t>
  </si>
  <si>
    <t>Um Al Khail 3</t>
  </si>
  <si>
    <t>ام الخيل الثالثه</t>
  </si>
  <si>
    <t>Um tibashi village</t>
  </si>
  <si>
    <t>قرية ام طباشي</t>
  </si>
  <si>
    <t>Hamza</t>
  </si>
  <si>
    <t>القرية العصرية</t>
  </si>
  <si>
    <t>Al-Marshad village</t>
  </si>
  <si>
    <t>قرية المرشد</t>
  </si>
  <si>
    <t>AL-Marsoul village</t>
  </si>
  <si>
    <t>قرية المرسول</t>
  </si>
  <si>
    <t>Al-Saada Alimyal village</t>
  </si>
  <si>
    <t>قرية السادة الاميال</t>
  </si>
  <si>
    <t>Al-sabah village</t>
  </si>
  <si>
    <t>قرية الصباح</t>
  </si>
  <si>
    <t>Al-suraa village</t>
  </si>
  <si>
    <t>قرية السورة</t>
  </si>
  <si>
    <t>Al-Taraf Al-Sharqi</t>
  </si>
  <si>
    <t>الطرف الشرقي</t>
  </si>
  <si>
    <t>Ali Al-Salman Village</t>
  </si>
  <si>
    <t>قرية علي السلمان</t>
  </si>
  <si>
    <t>Hay Al-Hur</t>
  </si>
  <si>
    <t>حي الحر</t>
  </si>
  <si>
    <t>Hay Hussain</t>
  </si>
  <si>
    <t>Mantaket Al-Giwam</t>
  </si>
  <si>
    <t>منطقة الكوام</t>
  </si>
  <si>
    <t>Salim village</t>
  </si>
  <si>
    <t>قرية سالم</t>
  </si>
  <si>
    <t>Tabu</t>
  </si>
  <si>
    <t>الطابو</t>
  </si>
  <si>
    <t>Al-Daur</t>
  </si>
  <si>
    <t>Al Mujammaa Al Sakani</t>
  </si>
  <si>
    <t>Hay Al Aboor</t>
  </si>
  <si>
    <t>حي العبور</t>
  </si>
  <si>
    <t>Hay Tal Al Banat</t>
  </si>
  <si>
    <t>حي تل البنات</t>
  </si>
  <si>
    <t>Al-Fares</t>
  </si>
  <si>
    <t>14 Ramadhan</t>
  </si>
  <si>
    <t>قرية 14 رمضان</t>
  </si>
  <si>
    <t>Al Sejla village</t>
  </si>
  <si>
    <t>قرية السجلة</t>
  </si>
  <si>
    <t>Al Zuheari Village</t>
  </si>
  <si>
    <t>قرية الزهيري</t>
  </si>
  <si>
    <t>Hay Al Hussien</t>
  </si>
  <si>
    <t>Hay Al Wihda Mahala 102</t>
  </si>
  <si>
    <t>محلة 102</t>
  </si>
  <si>
    <t>Hay al Zahraa 204</t>
  </si>
  <si>
    <t>حي الزهراء م(9-تل مسكين)محلة 204</t>
  </si>
  <si>
    <t>Markaz Al-Dujeel-Al Shabab village</t>
  </si>
  <si>
    <t>قرية الشباب</t>
  </si>
  <si>
    <t>Markaz Al-Dujeel-Hay Al Wihda Mahala 101</t>
  </si>
  <si>
    <t>محلة 101</t>
  </si>
  <si>
    <t>Markaz Al-Dujeel-Hay Al Wihda Mahala 103</t>
  </si>
  <si>
    <t>محلة 103</t>
  </si>
  <si>
    <t>Al-Shirqat</t>
  </si>
  <si>
    <t>Al Fajir village(Al Tasni)</t>
  </si>
  <si>
    <t>قرية الفجر</t>
  </si>
  <si>
    <t>حي الجميلة</t>
  </si>
  <si>
    <t>Al Khadraniyah</t>
  </si>
  <si>
    <t>قرية الخضرانية</t>
  </si>
  <si>
    <t>Al Khanuga village</t>
  </si>
  <si>
    <t>قرية الخانوكة</t>
  </si>
  <si>
    <t>Al Khasim Al-Jaded village-Al qlisat</t>
  </si>
  <si>
    <t>قرية الخصم الجديدة(القليصات)</t>
  </si>
  <si>
    <t>Al-Ayitha Village</t>
  </si>
  <si>
    <t>قريةالعيثة(جرناف شرقي)</t>
  </si>
  <si>
    <t>Al-Horya Al-Qadema village</t>
  </si>
  <si>
    <t>قرية الحورية القديمة</t>
  </si>
  <si>
    <t>قرية الخصم القديمة</t>
  </si>
  <si>
    <t>Al-Qalaa Village</t>
  </si>
  <si>
    <t>Al-Qudus</t>
  </si>
  <si>
    <t>Al-Swedan Village</t>
  </si>
  <si>
    <t>قرية سويدان</t>
  </si>
  <si>
    <t>حاوي بعاجه حاوي-حضر</t>
  </si>
  <si>
    <t>Hay Al Qasbah</t>
  </si>
  <si>
    <t>حي القصبة</t>
  </si>
  <si>
    <t>Hay Al Ziraa</t>
  </si>
  <si>
    <t>حي الزراعه</t>
  </si>
  <si>
    <t>Hay Al-Baladyat</t>
  </si>
  <si>
    <t>حي البلديات</t>
  </si>
  <si>
    <t>Hay Tal Baajah</t>
  </si>
  <si>
    <t>حي تل بعاجة</t>
  </si>
  <si>
    <t>Huriyah al jazerah-Al-Aboud</t>
  </si>
  <si>
    <t>قرية العبود</t>
  </si>
  <si>
    <t>Qaryat Al Sabkha</t>
  </si>
  <si>
    <t>قرية الصبخة</t>
  </si>
  <si>
    <t>Tal Al Jumiala area</t>
  </si>
  <si>
    <t xml:space="preserve">تل بعاجة 1 وتل اجميلة </t>
  </si>
  <si>
    <t>Baiji</t>
  </si>
  <si>
    <t>Al Hamra village</t>
  </si>
  <si>
    <t>قرية الحمرة</t>
  </si>
  <si>
    <t>Al Hejaj Village-13</t>
  </si>
  <si>
    <t>Al Mazraa Village</t>
  </si>
  <si>
    <t>قرية المزرعة</t>
  </si>
  <si>
    <t>Qaryat Al Sareen</t>
  </si>
  <si>
    <t>Balad</t>
  </si>
  <si>
    <t>Al Hardaniyah</t>
  </si>
  <si>
    <t xml:space="preserve">قرية الحردانية </t>
  </si>
  <si>
    <t>Al Mashrooa Village</t>
  </si>
  <si>
    <t>Al-Duloeyah-Hay Al Jubor</t>
  </si>
  <si>
    <t>محلة الجبور الاولى</t>
  </si>
  <si>
    <t>Al-Duloeyah-Hay khazraj</t>
  </si>
  <si>
    <t>محلة خزرج</t>
  </si>
  <si>
    <t>قرية الجبور والحويجة ا</t>
  </si>
  <si>
    <t>Albu Farraj Village</t>
  </si>
  <si>
    <t>قرية البو فراج</t>
  </si>
  <si>
    <t>Albu Jewari</t>
  </si>
  <si>
    <t>محلة البو جواري</t>
  </si>
  <si>
    <t>Beshakan village</t>
  </si>
  <si>
    <t>قرية بيشكان</t>
  </si>
  <si>
    <t>Eshaqi Camp</t>
  </si>
  <si>
    <t>مخيم الاسحاقي</t>
  </si>
  <si>
    <t>Gbeabah Village</t>
  </si>
  <si>
    <t>قرية كبيبه</t>
  </si>
  <si>
    <t>Mahalla-Abu Sefa-1</t>
  </si>
  <si>
    <t>محلة ابو صفة م(15)محلة ابو صفة-1</t>
  </si>
  <si>
    <t>Samarra</t>
  </si>
  <si>
    <t>Al Armushia(Mahala 332)</t>
  </si>
  <si>
    <t>حي الشرطة م(25-عرموشية)محلة 332</t>
  </si>
  <si>
    <t>Al Jibariya Mahala 316</t>
  </si>
  <si>
    <t>حي الواثق(22-جبيرية)محلة 316</t>
  </si>
  <si>
    <t>Al Jubairiyah Al Thalitha</t>
  </si>
  <si>
    <t>حي الواثق(22-جبيرية)الجبيرية الثالثة</t>
  </si>
  <si>
    <t>Al Mahalla Al Gharbiah</t>
  </si>
  <si>
    <t>المحلة الغربية</t>
  </si>
  <si>
    <t>Al Qala-Mahal 201</t>
  </si>
  <si>
    <t>مقاطعة 4 القلعة محلة 201</t>
  </si>
  <si>
    <t>Al Sayoya-Mahala 1</t>
  </si>
  <si>
    <t>Al-Abasiya Village</t>
  </si>
  <si>
    <t>قرية العباسية</t>
  </si>
  <si>
    <t>Al-Efraz area</t>
  </si>
  <si>
    <t>حي الافراز</t>
  </si>
  <si>
    <t>Al-Hewaish area</t>
  </si>
  <si>
    <t>Al-Jamiaa Area</t>
  </si>
  <si>
    <t>Al-Shuhadaa-Mahalla 324</t>
  </si>
  <si>
    <t>حي الشهداءم(25-عرموشية)محلة 324</t>
  </si>
  <si>
    <t>Al-Sikak-111</t>
  </si>
  <si>
    <t>حي السكك(الشرقية)محلة 111</t>
  </si>
  <si>
    <t>Hay Al Baladiya-104</t>
  </si>
  <si>
    <t>م ق سامراء حي ابن سينا محلة 104</t>
  </si>
  <si>
    <t>Hay Al Dhubbat-Mahalla 334</t>
  </si>
  <si>
    <t>حي الضباط م(25-عرموشية)محلة 334</t>
  </si>
  <si>
    <t>Hay Al Dubhat-Mahalla 336</t>
  </si>
  <si>
    <t>حي الضباط م(25-عرموشية)محلة 336</t>
  </si>
  <si>
    <t>Hay Al Hady 101</t>
  </si>
  <si>
    <t>حي الهادي(غربية)محلة 101</t>
  </si>
  <si>
    <t>Hay Al imam-103</t>
  </si>
  <si>
    <t>حي الامام محلة 103</t>
  </si>
  <si>
    <t>Hay Al Mulmeen-109</t>
  </si>
  <si>
    <t>حي المعلمين-109</t>
  </si>
  <si>
    <t>Hay Al Mutasim-mahala 105</t>
  </si>
  <si>
    <t>محلة 105</t>
  </si>
  <si>
    <t>Hay Al Muthanna-Mahalla 312</t>
  </si>
  <si>
    <t>حي المثنى-محلة 312</t>
  </si>
  <si>
    <t>Hay Al Rasheed-Mahalla 326</t>
  </si>
  <si>
    <t>حي الرشيد م(22-جبيرية)محلة 326</t>
  </si>
  <si>
    <t>Hay Al Wathiq-Mahala 314</t>
  </si>
  <si>
    <t>حي الواثق(22-جبيرية)محلة 314</t>
  </si>
  <si>
    <t>Hay Al Zuhoor(Al qala 4)Mahala 202</t>
  </si>
  <si>
    <t>حي الزهور(4-القلعة)محلة 202</t>
  </si>
  <si>
    <t>Hay Al-Khathraa Mahala 322</t>
  </si>
  <si>
    <t>حي الخضراء م(25-عرموشية)محلة 322</t>
  </si>
  <si>
    <t>Hay Al-Ziraa(Sharqiyah)113</t>
  </si>
  <si>
    <t>حي الزراعة(شرقية)محلة 113</t>
  </si>
  <si>
    <t>Hay Albu Rahman</t>
  </si>
  <si>
    <t>حي البو رحمن</t>
  </si>
  <si>
    <t>Hay Alqadisiya-320</t>
  </si>
  <si>
    <t>حي القادسية م(25-عرموشية)محلة 320</t>
  </si>
  <si>
    <t>Hay Salah Al-Din(Mahala 302)</t>
  </si>
  <si>
    <t>حي صلاح الدين محلة 302</t>
  </si>
  <si>
    <t>Mahalla Makeshfa</t>
  </si>
  <si>
    <t>Tikrit</t>
  </si>
  <si>
    <t>حي المطاردة(قادسية2)مقاطعة 7 محله 218 – قطعه 500</t>
  </si>
  <si>
    <t>Al Ahad Al Jadid village</t>
  </si>
  <si>
    <t>قرية العهد الجديد</t>
  </si>
  <si>
    <t xml:space="preserve">Al Auja village </t>
  </si>
  <si>
    <t>قرية العوجة</t>
  </si>
  <si>
    <t>Al Bzikhah Village</t>
  </si>
  <si>
    <t>قرية البزيخة</t>
  </si>
  <si>
    <t>Al Haweja village-AlAbady</t>
  </si>
  <si>
    <t>قرية الحويجة-العبادي</t>
  </si>
  <si>
    <t>Al khuzamiya Village</t>
  </si>
  <si>
    <t>قرية الخزامية</t>
  </si>
  <si>
    <t>Al Mahzam village</t>
  </si>
  <si>
    <t>قرية المحزم</t>
  </si>
  <si>
    <t>Al Shaheed Abdulla village</t>
  </si>
  <si>
    <t>قرية الشهيد عبدالله جباره</t>
  </si>
  <si>
    <t>Al Zallayah village</t>
  </si>
  <si>
    <t>قرية الزلاية</t>
  </si>
  <si>
    <t>Al-Dibsa Village</t>
  </si>
  <si>
    <t>قرية الدبسة</t>
  </si>
  <si>
    <t>Al-Muskarat</t>
  </si>
  <si>
    <t>منطقة المعسكرات</t>
  </si>
  <si>
    <t>Al-Mutaradah 204</t>
  </si>
  <si>
    <t>حي الشهداء مقاطعة 7-المطاردة محلة 204</t>
  </si>
  <si>
    <t>قرية الصافية</t>
  </si>
  <si>
    <t>Al-Shahama Camp</t>
  </si>
  <si>
    <t>مخيم الشهامة</t>
  </si>
  <si>
    <t>Al-Shahama Village</t>
  </si>
  <si>
    <t>قرية الشهامة</t>
  </si>
  <si>
    <t>Aldleimat Village</t>
  </si>
  <si>
    <t>قرية الدليمات</t>
  </si>
  <si>
    <t>Awajealah Quarter</t>
  </si>
  <si>
    <t>حي عويجيلية-م(27-الخرجة والعالي)</t>
  </si>
  <si>
    <t>قرية حماد شهاب</t>
  </si>
  <si>
    <t>حي الاربعين-محله 414</t>
  </si>
  <si>
    <t>Hay Al Asry Al Jadid-404</t>
  </si>
  <si>
    <t>Hay Al baladiyah</t>
  </si>
  <si>
    <t>حي البلدية-م(27-الخرجة والعالي)</t>
  </si>
  <si>
    <t>Hay Al Jamiyah</t>
  </si>
  <si>
    <t>حي الجمعية-2</t>
  </si>
  <si>
    <t>حي الجمعية-محله 418</t>
  </si>
  <si>
    <t>Hay Al sinay-Al samad</t>
  </si>
  <si>
    <t>Hay Al-Quthat</t>
  </si>
  <si>
    <t>حي القضاة</t>
  </si>
  <si>
    <t>Hay Al-Sikak</t>
  </si>
  <si>
    <t>Hay Al-Wihda</t>
  </si>
  <si>
    <t>Hay Alfirdous</t>
  </si>
  <si>
    <t>حي الفردوس(البو عبيد)مقاطعة-5 محلة 428</t>
  </si>
  <si>
    <t>Hay Alkahrbaa</t>
  </si>
  <si>
    <t>حي الكهرباء</t>
  </si>
  <si>
    <t>Hay Alqalaa</t>
  </si>
  <si>
    <t>حي القلعة(6-تكريت)محلة 405</t>
  </si>
  <si>
    <t>حي التجنيد</t>
  </si>
  <si>
    <t>Hay Alziraa</t>
  </si>
  <si>
    <t>حي سلمى التغلبيه-محله 401</t>
  </si>
  <si>
    <t>حي شيشين-مقاطعة 5-وادي شيشين محلة 408</t>
  </si>
  <si>
    <t>Mahalla Al Aed</t>
  </si>
  <si>
    <t>حي العائد(27-الخرجة والعالي)محلة العائد</t>
  </si>
  <si>
    <t>Mahalla Al muwadafeen</t>
  </si>
  <si>
    <t>حي الموظفين(27الخرجة والعالي)محلة الموظفين</t>
  </si>
  <si>
    <t>Qaryat Erbaidha</t>
  </si>
  <si>
    <t>قرية أربيضة</t>
  </si>
  <si>
    <t>حي المطاردة(قادسية1)مقاطعة 7-محله 214</t>
  </si>
  <si>
    <t>حي المطاردة(قادسية2)مقاطعة 7-محله 216</t>
  </si>
  <si>
    <t>Samrah Village</t>
  </si>
  <si>
    <t>قرية سمرة</t>
  </si>
  <si>
    <t>Tal-Al Sibaat Village</t>
  </si>
  <si>
    <t>قرية تل السيباط</t>
  </si>
  <si>
    <t>Uwainat</t>
  </si>
  <si>
    <t>عوينات</t>
  </si>
  <si>
    <t>Tooz</t>
  </si>
  <si>
    <t>Hay Al Sideeq Mahalla 105</t>
  </si>
  <si>
    <t>Hay Garmian</t>
  </si>
  <si>
    <t>حي كرميان</t>
  </si>
  <si>
    <t>Hay Komari-120</t>
  </si>
  <si>
    <t>حي كوماري م(5-الطوز)محلة 120</t>
  </si>
  <si>
    <t>Hay Rizgari-114</t>
  </si>
  <si>
    <t>حي رزكاري م(5-الطوز)محلة 114</t>
  </si>
  <si>
    <t>Hay Shoraw-1</t>
  </si>
  <si>
    <t>مقاطعة 1 شوراو</t>
  </si>
  <si>
    <t>Markaz Tooz-Hay Al Askari</t>
  </si>
  <si>
    <t>Markaz Tooz-Hay Al Hussien 124</t>
  </si>
  <si>
    <t>محلة 124 الحسين</t>
  </si>
  <si>
    <t>Markaz Tooz-Hay Al Taiyar 122</t>
  </si>
  <si>
    <t>محلة 122</t>
  </si>
  <si>
    <t>Markaz Tooz-Hay Brayati</t>
  </si>
  <si>
    <t>محلة برايتي</t>
  </si>
  <si>
    <t>Markaz Tooz-Jesir Dara</t>
  </si>
  <si>
    <t>جسر دارا</t>
  </si>
  <si>
    <t>Nawjool area</t>
  </si>
  <si>
    <t>منطقة نوجول</t>
  </si>
  <si>
    <t>Sankur</t>
  </si>
  <si>
    <t>سنكور</t>
  </si>
  <si>
    <t>Shaikh Abd village</t>
  </si>
  <si>
    <t>قرية شيخ عبد</t>
  </si>
  <si>
    <t>Tal Al Naqqar</t>
  </si>
  <si>
    <t>تل النقار</t>
  </si>
  <si>
    <t>Tooz-Hay Al Teen</t>
  </si>
  <si>
    <t>حي الطين</t>
  </si>
  <si>
    <t>Unformal Shelter</t>
  </si>
  <si>
    <t>سكن غير رسمي</t>
  </si>
  <si>
    <t>Chamchamal</t>
  </si>
  <si>
    <t>Asuda</t>
  </si>
  <si>
    <t>اسودة</t>
  </si>
  <si>
    <t>ازادى</t>
  </si>
  <si>
    <t>Bekas</t>
  </si>
  <si>
    <t>بيكس</t>
  </si>
  <si>
    <t>Chamchamal-Raparin</t>
  </si>
  <si>
    <t>جمجمال-رابرين</t>
  </si>
  <si>
    <t>Chamchamal-Rizgari</t>
  </si>
  <si>
    <t>جمجمال-رزكاري</t>
  </si>
  <si>
    <t>Dallawa kurdan</t>
  </si>
  <si>
    <t>دالاوا كوردان</t>
  </si>
  <si>
    <t>Farqanikan</t>
  </si>
  <si>
    <t>فرقانيكان</t>
  </si>
  <si>
    <t>Galnaghag</t>
  </si>
  <si>
    <t>كةلناغاج</t>
  </si>
  <si>
    <t>Gird khabar</t>
  </si>
  <si>
    <t>كرد خةبةر</t>
  </si>
  <si>
    <t>Goptaya</t>
  </si>
  <si>
    <t>كوبتةية</t>
  </si>
  <si>
    <t>Handreen</t>
  </si>
  <si>
    <t>هندرين</t>
  </si>
  <si>
    <t>Hassan kanawesh</t>
  </si>
  <si>
    <t>حسن كةنةويش</t>
  </si>
  <si>
    <t>Hazar kani</t>
  </si>
  <si>
    <t>هزار كاني</t>
  </si>
  <si>
    <t>Iskandar Bk</t>
  </si>
  <si>
    <t>اسكندر بك</t>
  </si>
  <si>
    <t>Jarmo City</t>
  </si>
  <si>
    <t>جرمو ستى</t>
  </si>
  <si>
    <t>Kala rashi</t>
  </si>
  <si>
    <t>كلة راشي</t>
  </si>
  <si>
    <t>Kani Spika</t>
  </si>
  <si>
    <t>كاني سبيكة</t>
  </si>
  <si>
    <t>Khdri</t>
  </si>
  <si>
    <t>خدري</t>
  </si>
  <si>
    <t>Kichan</t>
  </si>
  <si>
    <t>كيجان</t>
  </si>
  <si>
    <t>Kirpchina</t>
  </si>
  <si>
    <t>كيربجينا</t>
  </si>
  <si>
    <t>Mayla</t>
  </si>
  <si>
    <t>مايلة</t>
  </si>
  <si>
    <t>MOFARIAKAN</t>
  </si>
  <si>
    <t>موفريكان</t>
  </si>
  <si>
    <t>Piryadi</t>
  </si>
  <si>
    <t>بيريادى</t>
  </si>
  <si>
    <t>Pura Gulla</t>
  </si>
  <si>
    <t>بوره كوله</t>
  </si>
  <si>
    <t>Qadir Kir Mikan</t>
  </si>
  <si>
    <t>قادركرميكان</t>
  </si>
  <si>
    <t>Qarahanjiriakan</t>
  </si>
  <si>
    <t>قرهنجيريكان</t>
  </si>
  <si>
    <t>Sangawi kon</t>
  </si>
  <si>
    <t>سنكاوي كون</t>
  </si>
  <si>
    <t>SANGAWIAKAN</t>
  </si>
  <si>
    <t>سنكاويكان</t>
  </si>
  <si>
    <t>Sharwani</t>
  </si>
  <si>
    <t>Shekh Palawan</t>
  </si>
  <si>
    <t>شيخ بالةوان</t>
  </si>
  <si>
    <t>Shekhanikan</t>
  </si>
  <si>
    <t>شيخانيكان</t>
  </si>
  <si>
    <t>Takya-Ashty</t>
  </si>
  <si>
    <t>تكية-اشتى</t>
  </si>
  <si>
    <t>Takya-Azadi</t>
  </si>
  <si>
    <t>تكية-ازادى</t>
  </si>
  <si>
    <t>Takya-Rizgari</t>
  </si>
  <si>
    <t>تكية-رزكاري</t>
  </si>
  <si>
    <t>Takya-Sharawny</t>
  </si>
  <si>
    <t>تكية-شاروانى</t>
  </si>
  <si>
    <t>Tawkal</t>
  </si>
  <si>
    <t>تةوكةل</t>
  </si>
  <si>
    <t>Darbandikhan</t>
  </si>
  <si>
    <t>Campe khwarw</t>
  </si>
  <si>
    <t>كمبى خوارو</t>
  </si>
  <si>
    <t>Hawara barza</t>
  </si>
  <si>
    <t>هواربرزة</t>
  </si>
  <si>
    <t>Kani mil</t>
  </si>
  <si>
    <t>كاني ميل</t>
  </si>
  <si>
    <t>Kanisard</t>
  </si>
  <si>
    <t>كانى سارد</t>
  </si>
  <si>
    <t>Kanito</t>
  </si>
  <si>
    <t>كانى توو</t>
  </si>
  <si>
    <t>Khelan</t>
  </si>
  <si>
    <t>خيلان</t>
  </si>
  <si>
    <t>Raparine</t>
  </si>
  <si>
    <t>Roshambiran</t>
  </si>
  <si>
    <t>روشمبيران</t>
  </si>
  <si>
    <t>Sara</t>
  </si>
  <si>
    <t>سرا</t>
  </si>
  <si>
    <t>Shoresh</t>
  </si>
  <si>
    <t>Zarayan Kon</t>
  </si>
  <si>
    <t>زرايان كون</t>
  </si>
  <si>
    <t>Dokan</t>
  </si>
  <si>
    <t>Asos</t>
  </si>
  <si>
    <t>اسوس</t>
  </si>
  <si>
    <t>Banwan</t>
  </si>
  <si>
    <t>بانوان</t>
  </si>
  <si>
    <t>Chami rezan</t>
  </si>
  <si>
    <t>جةمي ريزان</t>
  </si>
  <si>
    <t>Charmaga + Gapa</t>
  </si>
  <si>
    <t>جةرمكا + كةبة</t>
  </si>
  <si>
    <t>Chawa spy</t>
  </si>
  <si>
    <t>جوسبى</t>
  </si>
  <si>
    <t>Dakani Suro</t>
  </si>
  <si>
    <t>دكانى سرو</t>
  </si>
  <si>
    <t>Darbaroo</t>
  </si>
  <si>
    <t>داربةروو</t>
  </si>
  <si>
    <t>Farmanbaran</t>
  </si>
  <si>
    <t>فرمانبران</t>
  </si>
  <si>
    <t>Grda baroo</t>
  </si>
  <si>
    <t>كردة بةروو</t>
  </si>
  <si>
    <t>Hasan Tapa</t>
  </si>
  <si>
    <t>حسن تبة</t>
  </si>
  <si>
    <t>Kalawanan</t>
  </si>
  <si>
    <t>كةلةوانان</t>
  </si>
  <si>
    <t>Kani Khan</t>
  </si>
  <si>
    <t>كاني خان</t>
  </si>
  <si>
    <t>Kani Mazoo</t>
  </si>
  <si>
    <t>كاني مازوو</t>
  </si>
  <si>
    <t>Kani Witman</t>
  </si>
  <si>
    <t>كاني وتمان</t>
  </si>
  <si>
    <t>Kosrat</t>
  </si>
  <si>
    <t>كوسرت</t>
  </si>
  <si>
    <t>Kotal</t>
  </si>
  <si>
    <t>كوتال</t>
  </si>
  <si>
    <t>Mergapan</t>
  </si>
  <si>
    <t>ميركبان</t>
  </si>
  <si>
    <t>Pishowa</t>
  </si>
  <si>
    <t>بيشوا</t>
  </si>
  <si>
    <t>Qaigen</t>
  </si>
  <si>
    <t>قايكةن</t>
  </si>
  <si>
    <t>Qamchugha</t>
  </si>
  <si>
    <t>قمجوغة</t>
  </si>
  <si>
    <t>سارا</t>
  </si>
  <si>
    <t>Sarcham</t>
  </si>
  <si>
    <t>سرجم</t>
  </si>
  <si>
    <t>Shaheedan</t>
  </si>
  <si>
    <t>شاروانى</t>
  </si>
  <si>
    <t>Shekh Mansourian</t>
  </si>
  <si>
    <t>شيخ منصوريان</t>
  </si>
  <si>
    <t>Soose</t>
  </si>
  <si>
    <t>سوسي</t>
  </si>
  <si>
    <t>Surdash</t>
  </si>
  <si>
    <t>سورداش</t>
  </si>
  <si>
    <t>Taramar</t>
  </si>
  <si>
    <t>تةرةمار</t>
  </si>
  <si>
    <t>Timar</t>
  </si>
  <si>
    <t>تيمار</t>
  </si>
  <si>
    <t>Tokma</t>
  </si>
  <si>
    <t>توكمة</t>
  </si>
  <si>
    <t>Topzawa</t>
  </si>
  <si>
    <t>توبزاوا</t>
  </si>
  <si>
    <t>Yaran Bak</t>
  </si>
  <si>
    <t>ياران بةك</t>
  </si>
  <si>
    <t>Halabja</t>
  </si>
  <si>
    <t>Ardalan</t>
  </si>
  <si>
    <t>اردلان</t>
  </si>
  <si>
    <t>Bakhtyari</t>
  </si>
  <si>
    <t>بختيارى</t>
  </si>
  <si>
    <t>Barkew</t>
  </si>
  <si>
    <t>بركيو</t>
  </si>
  <si>
    <t>Dalani</t>
  </si>
  <si>
    <t>دالاني</t>
  </si>
  <si>
    <t>Darwazay Shar</t>
  </si>
  <si>
    <t>دروازي شار</t>
  </si>
  <si>
    <t>Gamesh tapa village</t>
  </si>
  <si>
    <t>قرية كاميش تبه</t>
  </si>
  <si>
    <t>Goran City</t>
  </si>
  <si>
    <t>كوران ستي</t>
  </si>
  <si>
    <t>Grda naze village</t>
  </si>
  <si>
    <t>قرية كرد نازى</t>
  </si>
  <si>
    <t>كولان</t>
  </si>
  <si>
    <t>Hassar</t>
  </si>
  <si>
    <t>حسار</t>
  </si>
  <si>
    <t>Hawaran</t>
  </si>
  <si>
    <t>هواران</t>
  </si>
  <si>
    <t>Kani panka village</t>
  </si>
  <si>
    <t>قرية كاني بانكه</t>
  </si>
  <si>
    <t>Kani Qulka</t>
  </si>
  <si>
    <t>كاني قولكه</t>
  </si>
  <si>
    <t>Mamostaian</t>
  </si>
  <si>
    <t>Marzboto</t>
  </si>
  <si>
    <t>مرزى بوتو</t>
  </si>
  <si>
    <t>Mordana</t>
  </si>
  <si>
    <t>موردانه</t>
  </si>
  <si>
    <t>Mwan village</t>
  </si>
  <si>
    <t>قرية موان</t>
  </si>
  <si>
    <t>Nasir</t>
  </si>
  <si>
    <t>نصر</t>
  </si>
  <si>
    <t>Qaragul</t>
  </si>
  <si>
    <t>قرة كول</t>
  </si>
  <si>
    <t>Qlija village</t>
  </si>
  <si>
    <t>قرية قليجه</t>
  </si>
  <si>
    <t>Qumash village</t>
  </si>
  <si>
    <t>قرية قوماش</t>
  </si>
  <si>
    <t>Rezgari</t>
  </si>
  <si>
    <t>رزكارى</t>
  </si>
  <si>
    <t>Saraw village</t>
  </si>
  <si>
    <t>قرية سراو</t>
  </si>
  <si>
    <t>Sarray</t>
  </si>
  <si>
    <t>ساراى</t>
  </si>
  <si>
    <t>Sharstani</t>
  </si>
  <si>
    <t>شارستانى</t>
  </si>
  <si>
    <t>Shikhan</t>
  </si>
  <si>
    <t>Soreen</t>
  </si>
  <si>
    <t>سورين</t>
  </si>
  <si>
    <t>Tapa kura</t>
  </si>
  <si>
    <t>تةبة كورة</t>
  </si>
  <si>
    <t>Kalar</t>
  </si>
  <si>
    <t>Ali Khalaf</t>
  </si>
  <si>
    <t>علي خلف</t>
  </si>
  <si>
    <t>Andaziaran</t>
  </si>
  <si>
    <t>ئةندازياران</t>
  </si>
  <si>
    <t>Awarakan</t>
  </si>
  <si>
    <t>ئاواراكان</t>
  </si>
  <si>
    <t>Awbara</t>
  </si>
  <si>
    <t>اوبارة</t>
  </si>
  <si>
    <t>Awbarik</t>
  </si>
  <si>
    <t>اوباريك</t>
  </si>
  <si>
    <t>Ban Asiaw</t>
  </si>
  <si>
    <t>بان اسياو</t>
  </si>
  <si>
    <t>Ban sindooq</t>
  </si>
  <si>
    <t>بان سندوق</t>
  </si>
  <si>
    <t>Barda Sur</t>
  </si>
  <si>
    <t>بردسور</t>
  </si>
  <si>
    <t>Bingrd</t>
  </si>
  <si>
    <t>بنكرد</t>
  </si>
  <si>
    <t>Garmyan</t>
  </si>
  <si>
    <t>كرميان</t>
  </si>
  <si>
    <t>Gomar</t>
  </si>
  <si>
    <t>كومار</t>
  </si>
  <si>
    <t>Goran</t>
  </si>
  <si>
    <t>كوران</t>
  </si>
  <si>
    <t>Grda Gozina</t>
  </si>
  <si>
    <t>كرده كوزينه</t>
  </si>
  <si>
    <t>Hamren</t>
  </si>
  <si>
    <t>حمرين</t>
  </si>
  <si>
    <t>Hamrin</t>
  </si>
  <si>
    <t>Kalar Kon</t>
  </si>
  <si>
    <t>كلار كون</t>
  </si>
  <si>
    <t>Kalari New</t>
  </si>
  <si>
    <t>كلارى نوى</t>
  </si>
  <si>
    <t>Khornawazan</t>
  </si>
  <si>
    <t>خورنوازان</t>
  </si>
  <si>
    <t>Kogiz</t>
  </si>
  <si>
    <t>كوكز</t>
  </si>
  <si>
    <t>Kulajo</t>
  </si>
  <si>
    <t>كلجو</t>
  </si>
  <si>
    <t>Nawrooz</t>
  </si>
  <si>
    <t>Pebaz</t>
  </si>
  <si>
    <t>بيباز</t>
  </si>
  <si>
    <t>Qarablagh</t>
  </si>
  <si>
    <t>قربلاغ</t>
  </si>
  <si>
    <t>Raparin</t>
  </si>
  <si>
    <t>Rizgare</t>
  </si>
  <si>
    <t>Said midrey</t>
  </si>
  <si>
    <t>سيد مدري</t>
  </si>
  <si>
    <t>Sangaw</t>
  </si>
  <si>
    <t>سنكاو</t>
  </si>
  <si>
    <t>Sarkawtin</t>
  </si>
  <si>
    <t>سةركةوتن</t>
  </si>
  <si>
    <t>Shakal</t>
  </si>
  <si>
    <t>شاكال</t>
  </si>
  <si>
    <t>Sharawani</t>
  </si>
  <si>
    <t>Shaykh Lankar</t>
  </si>
  <si>
    <t>شيخ لنكر</t>
  </si>
  <si>
    <t>Sherwana</t>
  </si>
  <si>
    <t>شيروانة</t>
  </si>
  <si>
    <t>Sirwan</t>
  </si>
  <si>
    <t>سيروان</t>
  </si>
  <si>
    <t>Taza shar</t>
  </si>
  <si>
    <t>تازة شار</t>
  </si>
  <si>
    <t>Tazade Camp</t>
  </si>
  <si>
    <t>تازة دي كمب</t>
  </si>
  <si>
    <t>Zhalla</t>
  </si>
  <si>
    <t>زالا</t>
  </si>
  <si>
    <t>Penjwin</t>
  </si>
  <si>
    <t>Pshdar</t>
  </si>
  <si>
    <t>Ashty-Qaladiza</t>
  </si>
  <si>
    <t>اشتي-قلادزي</t>
  </si>
  <si>
    <t>Basta stin</t>
  </si>
  <si>
    <t>بةستةستين</t>
  </si>
  <si>
    <t>Ganjara</t>
  </si>
  <si>
    <t>كةنجارة</t>
  </si>
  <si>
    <t>Garfen</t>
  </si>
  <si>
    <t>كارفين</t>
  </si>
  <si>
    <t>Hawarei new</t>
  </si>
  <si>
    <t>Karaba-Qaladiza</t>
  </si>
  <si>
    <t>كارةبا-قلادزي</t>
  </si>
  <si>
    <t>Khanaqa-Qaladiza</t>
  </si>
  <si>
    <t>خانقا-قلادزي</t>
  </si>
  <si>
    <t>Qanaa</t>
  </si>
  <si>
    <t>قانع</t>
  </si>
  <si>
    <t>Raparine-Qaladiza</t>
  </si>
  <si>
    <t>رابرين-قلادزي</t>
  </si>
  <si>
    <t>Shahidan-Qaladiza</t>
  </si>
  <si>
    <t>شهيدان-قلادزي</t>
  </si>
  <si>
    <t>Zharawa</t>
  </si>
  <si>
    <t>زاراوا</t>
  </si>
  <si>
    <t>Rania</t>
  </si>
  <si>
    <t>Azadi 1</t>
  </si>
  <si>
    <t>ازادي 1</t>
  </si>
  <si>
    <t>Azadi 2</t>
  </si>
  <si>
    <t>ازادي 2</t>
  </si>
  <si>
    <t>Bosken</t>
  </si>
  <si>
    <t>بوسكين</t>
  </si>
  <si>
    <t>Chwarchra</t>
  </si>
  <si>
    <t>جوارجرا</t>
  </si>
  <si>
    <t>Gilinjan</t>
  </si>
  <si>
    <t>كلنجان</t>
  </si>
  <si>
    <t>Girdjan</t>
  </si>
  <si>
    <t>كردجان</t>
  </si>
  <si>
    <t>Karokh</t>
  </si>
  <si>
    <t>كاروخ</t>
  </si>
  <si>
    <t>Kewa Rash</t>
  </si>
  <si>
    <t>كيوره ش</t>
  </si>
  <si>
    <t>Koling city</t>
  </si>
  <si>
    <t>كولين ستي</t>
  </si>
  <si>
    <t>kurdistan</t>
  </si>
  <si>
    <t>Makok</t>
  </si>
  <si>
    <t>ماكوك</t>
  </si>
  <si>
    <t>بيشاسازي</t>
  </si>
  <si>
    <t>Qandil</t>
  </si>
  <si>
    <t>قنديل</t>
  </si>
  <si>
    <t>Qula</t>
  </si>
  <si>
    <t>قولة</t>
  </si>
  <si>
    <t>Rania New</t>
  </si>
  <si>
    <t>رانيا نوي</t>
  </si>
  <si>
    <t>Rasha merk</t>
  </si>
  <si>
    <t>رةشتة ميرك</t>
  </si>
  <si>
    <t>Rozh City</t>
  </si>
  <si>
    <t>روز ستي</t>
  </si>
  <si>
    <t>Rozhhalat</t>
  </si>
  <si>
    <t>روزهلات</t>
  </si>
  <si>
    <t>Saraa</t>
  </si>
  <si>
    <t>سراا</t>
  </si>
  <si>
    <t>Sarkapkan</t>
  </si>
  <si>
    <t>سركبكان</t>
  </si>
  <si>
    <t>Shishar</t>
  </si>
  <si>
    <t>شيشار</t>
  </si>
  <si>
    <t>Srra</t>
  </si>
  <si>
    <t>سةرا</t>
  </si>
  <si>
    <t>Taqolan</t>
  </si>
  <si>
    <t>تاقولان</t>
  </si>
  <si>
    <t>Tekoshar</t>
  </si>
  <si>
    <t>تيكوشر</t>
  </si>
  <si>
    <t>Titoka</t>
  </si>
  <si>
    <t>تيتوكة</t>
  </si>
  <si>
    <t>Yakiati</t>
  </si>
  <si>
    <t>يكيتي</t>
  </si>
  <si>
    <t>Sharbazher</t>
  </si>
  <si>
    <t>Gapilon</t>
  </si>
  <si>
    <t>كابيلون</t>
  </si>
  <si>
    <t>Sitak</t>
  </si>
  <si>
    <t>سيتك</t>
  </si>
  <si>
    <t>Tagaran</t>
  </si>
  <si>
    <t>تكران</t>
  </si>
  <si>
    <t>Sulaymaniya</t>
  </si>
  <si>
    <t>Ali Kamal</t>
  </si>
  <si>
    <t>علي كمال</t>
  </si>
  <si>
    <t>Arbat IDP Camp</t>
  </si>
  <si>
    <t>عربت كمب للنازحين</t>
  </si>
  <si>
    <t>Arbat-Arbat Kon</t>
  </si>
  <si>
    <t>عربت كون</t>
  </si>
  <si>
    <t>Arbat-Ashty</t>
  </si>
  <si>
    <t>Arbat-Chwartaq</t>
  </si>
  <si>
    <t>عربت-جوارتاق</t>
  </si>
  <si>
    <t>Arbat-Kharajian</t>
  </si>
  <si>
    <t>عربت-خرجيان</t>
  </si>
  <si>
    <t>Arbat-Koza raqa</t>
  </si>
  <si>
    <t>عربت-كوزة رقا</t>
  </si>
  <si>
    <t>Arbat-Qalat</t>
  </si>
  <si>
    <t>Arbat-Raparine</t>
  </si>
  <si>
    <t>عربت-رابرين</t>
  </si>
  <si>
    <t>Arbat-Raziana</t>
  </si>
  <si>
    <t>عربيت-رازيانا</t>
  </si>
  <si>
    <t>Arbat-Sarwaran</t>
  </si>
  <si>
    <t>عربت-سةروران</t>
  </si>
  <si>
    <t>Arbat-Shahidan</t>
  </si>
  <si>
    <t>Arbat-Shorsh</t>
  </si>
  <si>
    <t>عربت-شورش</t>
  </si>
  <si>
    <t>Arbat-Zhalai khwarw</t>
  </si>
  <si>
    <t>عربت-زالةي خوارو</t>
  </si>
  <si>
    <t>Arbat-Zhalai sarw</t>
  </si>
  <si>
    <t>عربت-زالةي سرو</t>
  </si>
  <si>
    <t>Asaish 323+325</t>
  </si>
  <si>
    <t>اسايش 323+325</t>
  </si>
  <si>
    <t>Ashti IDP Camp</t>
  </si>
  <si>
    <t>اشتي كمب للنازحين</t>
  </si>
  <si>
    <t>Ashty-Bazyan</t>
  </si>
  <si>
    <t>اشتي-بازيان</t>
  </si>
  <si>
    <t>Azadi-Bazyan</t>
  </si>
  <si>
    <t>ازادي-بازيان</t>
  </si>
  <si>
    <t>Azmar 217</t>
  </si>
  <si>
    <t>ازمر 217</t>
  </si>
  <si>
    <t>Badinan 124</t>
  </si>
  <si>
    <t>بادينان 124</t>
  </si>
  <si>
    <t>Bakhtawary</t>
  </si>
  <si>
    <t>بختةواري</t>
  </si>
  <si>
    <t>Bakhtiary 111</t>
  </si>
  <si>
    <t>بختياري 111</t>
  </si>
  <si>
    <t>Bakhtiary New 117</t>
  </si>
  <si>
    <t>بختيارى نوي 117</t>
  </si>
  <si>
    <t>Bakrajo-Qularaese Taza</t>
  </si>
  <si>
    <t>قولريسى تاره</t>
  </si>
  <si>
    <t>Bakrajo-Sardawa</t>
  </si>
  <si>
    <t>بكرجو-سرداراوا</t>
  </si>
  <si>
    <t>Balambo 324</t>
  </si>
  <si>
    <t>بلامبو 324</t>
  </si>
  <si>
    <t>Bardakar</t>
  </si>
  <si>
    <t>برده كر</t>
  </si>
  <si>
    <t>Bardaqaraman-darkazen</t>
  </si>
  <si>
    <t>دةركةزين-بردةقارمان</t>
  </si>
  <si>
    <t>Bardaqaraman-mortka</t>
  </si>
  <si>
    <t>مورتكة-بردةقارمان</t>
  </si>
  <si>
    <t>Bardaqaraman-Piramerd</t>
  </si>
  <si>
    <t>بيرميرد-بردةقارمان</t>
  </si>
  <si>
    <t>Bardaqaraman-sarchaw</t>
  </si>
  <si>
    <t>سرجاوه-بردةقارمان</t>
  </si>
  <si>
    <t>Bardaqaraman-Sharawani</t>
  </si>
  <si>
    <t>شارواني-بردةقارمان</t>
  </si>
  <si>
    <t>Bardaqarman-gopala</t>
  </si>
  <si>
    <t>كوباله-بردةقارمان</t>
  </si>
  <si>
    <t>Bardaqarman-Kupala</t>
  </si>
  <si>
    <t>كوبله-بردةقارمان</t>
  </si>
  <si>
    <t>Bardaqarman-Qala</t>
  </si>
  <si>
    <t>قلا-بردةقارمان</t>
  </si>
  <si>
    <t>Barez City</t>
  </si>
  <si>
    <t>بريز ستى</t>
  </si>
  <si>
    <t>Barika</t>
  </si>
  <si>
    <t>باريكه</t>
  </si>
  <si>
    <t>Bastan 160</t>
  </si>
  <si>
    <t>باستان 160</t>
  </si>
  <si>
    <t>Bazergani 201</t>
  </si>
  <si>
    <t>بازركاني 201</t>
  </si>
  <si>
    <t>Bazian-Allaye</t>
  </si>
  <si>
    <t>اللاهى</t>
  </si>
  <si>
    <t>Bazian-Brayati</t>
  </si>
  <si>
    <t>برايتى</t>
  </si>
  <si>
    <t>Bazian-peshwa</t>
  </si>
  <si>
    <t>Bazian-Sharwani</t>
  </si>
  <si>
    <t>Bazian-Surgrma</t>
  </si>
  <si>
    <t>سركرما</t>
  </si>
  <si>
    <t>Bazyan-bagajani</t>
  </si>
  <si>
    <t>بازيان-بةكةجاني</t>
  </si>
  <si>
    <t>Bazyan-Dare kale</t>
  </si>
  <si>
    <t>بازيان-داري كةلي</t>
  </si>
  <si>
    <t>Bazyan-Gawani</t>
  </si>
  <si>
    <t>بازيان-كاواني</t>
  </si>
  <si>
    <t>Bazyan-gomatakach</t>
  </si>
  <si>
    <t>بازيان-كومةتكج</t>
  </si>
  <si>
    <t>Bazyan-Haley haji rasheed</t>
  </si>
  <si>
    <t>بازيان-هالةي حاجي رشيد</t>
  </si>
  <si>
    <t>Bazyan-Haley mam qadir</t>
  </si>
  <si>
    <t>بازيان-هالةي مام قادر</t>
  </si>
  <si>
    <t>Bazyan-Haley sarchaw</t>
  </si>
  <si>
    <t>بازيان-هالةي سةرجاو</t>
  </si>
  <si>
    <t>Bazyan-hormzyar</t>
  </si>
  <si>
    <t>بازيان-هورمزيار</t>
  </si>
  <si>
    <t>Bazyan-koyek</t>
  </si>
  <si>
    <t>بازيان-كويك</t>
  </si>
  <si>
    <t>Bazyan-mahmoodya</t>
  </si>
  <si>
    <t>بازيان-محمودية</t>
  </si>
  <si>
    <t>Bazyan-paroyee</t>
  </si>
  <si>
    <t>بازيان-بارويي</t>
  </si>
  <si>
    <t>Bazyan-qoshqaya</t>
  </si>
  <si>
    <t>بازيان-قوشقاية</t>
  </si>
  <si>
    <t>Bazyan-shwankara</t>
  </si>
  <si>
    <t>بازيان-شوانكارة</t>
  </si>
  <si>
    <t>Bazyan-zika</t>
  </si>
  <si>
    <t>بازيان-زيكة</t>
  </si>
  <si>
    <t>bekas</t>
  </si>
  <si>
    <t>Besarani 122</t>
  </si>
  <si>
    <t>بيساراني 122</t>
  </si>
  <si>
    <t>Chaqlawa</t>
  </si>
  <si>
    <t>جقلاوة</t>
  </si>
  <si>
    <t xml:space="preserve">Chnarok </t>
  </si>
  <si>
    <t>جناروك</t>
  </si>
  <si>
    <t>Chrakhan 322</t>
  </si>
  <si>
    <t>جراخان 322</t>
  </si>
  <si>
    <t>Chwar Chra</t>
  </si>
  <si>
    <t>Chya 316</t>
  </si>
  <si>
    <t>جيا 316</t>
  </si>
  <si>
    <t>Daban 201</t>
  </si>
  <si>
    <t>دابان 201</t>
  </si>
  <si>
    <t>Dabashan 116</t>
  </si>
  <si>
    <t>داباشان 116</t>
  </si>
  <si>
    <t>Damrkan</t>
  </si>
  <si>
    <t>دمركان</t>
  </si>
  <si>
    <t>Dargazen</t>
  </si>
  <si>
    <t>دركزين</t>
  </si>
  <si>
    <t>Degulan</t>
  </si>
  <si>
    <t>ديكولان</t>
  </si>
  <si>
    <t>Dilan City</t>
  </si>
  <si>
    <t>ديلان ستى</t>
  </si>
  <si>
    <t>Diya City</t>
  </si>
  <si>
    <t>دييه ستى</t>
  </si>
  <si>
    <t>Dullani Khwaro</t>
  </si>
  <si>
    <t>دولاني خوارو</t>
  </si>
  <si>
    <t>Gopita</t>
  </si>
  <si>
    <t>كوبيتة</t>
  </si>
  <si>
    <t>Goran 104</t>
  </si>
  <si>
    <t>كوران 104</t>
  </si>
  <si>
    <t>Goyzha City</t>
  </si>
  <si>
    <t>كويزة ستى</t>
  </si>
  <si>
    <t>Grdi Joga</t>
  </si>
  <si>
    <t>كردي جوجا</t>
  </si>
  <si>
    <t>Grdi Sarchnar</t>
  </si>
  <si>
    <t>كردى سرجنار</t>
  </si>
  <si>
    <t>Green City</t>
  </si>
  <si>
    <t>كرين ستي</t>
  </si>
  <si>
    <t>Guezhay Kun</t>
  </si>
  <si>
    <t>كويزة كون</t>
  </si>
  <si>
    <t>Gula bakh 335</t>
  </si>
  <si>
    <t>كولة باخ 335</t>
  </si>
  <si>
    <t>Gulli Shar</t>
  </si>
  <si>
    <t>كولي شار</t>
  </si>
  <si>
    <t>Gundy Almany</t>
  </si>
  <si>
    <t>كوندى المانى</t>
  </si>
  <si>
    <t>Hakary 113</t>
  </si>
  <si>
    <t>هكاري 113</t>
  </si>
  <si>
    <t>Handren 109</t>
  </si>
  <si>
    <t>هندرين 109</t>
  </si>
  <si>
    <t>Haware Shar</t>
  </si>
  <si>
    <t>هوارى شار</t>
  </si>
  <si>
    <t>Hawari Taza</t>
  </si>
  <si>
    <t>هوارى تازة</t>
  </si>
  <si>
    <t>Hemn 146</t>
  </si>
  <si>
    <t>هيمن 146</t>
  </si>
  <si>
    <t>Hewa 311</t>
  </si>
  <si>
    <t>هيوا 311</t>
  </si>
  <si>
    <t>Hwana</t>
  </si>
  <si>
    <t>هوانة</t>
  </si>
  <si>
    <t>Ibrahim Ahmad</t>
  </si>
  <si>
    <t>ابراهيم احمد</t>
  </si>
  <si>
    <t>Ibrahim pasha</t>
  </si>
  <si>
    <t>ابراهيم باشا</t>
  </si>
  <si>
    <t>Jihan</t>
  </si>
  <si>
    <t>جيهان</t>
  </si>
  <si>
    <t>Kalakn 158</t>
  </si>
  <si>
    <t>كلكن 158</t>
  </si>
  <si>
    <t>Kanakawa</t>
  </si>
  <si>
    <t>كنكوة</t>
  </si>
  <si>
    <t>Kanda Sura</t>
  </si>
  <si>
    <t>كنه سوره</t>
  </si>
  <si>
    <t>Kani 317</t>
  </si>
  <si>
    <t>كاني 317</t>
  </si>
  <si>
    <t>Kani Bardina</t>
  </si>
  <si>
    <t>كاني بةردينا</t>
  </si>
  <si>
    <t>Kani Goma</t>
  </si>
  <si>
    <t>كاني كومه</t>
  </si>
  <si>
    <t>Kani goran</t>
  </si>
  <si>
    <t>كانى كوران</t>
  </si>
  <si>
    <t>Kani Iskan</t>
  </si>
  <si>
    <t>كانيسكان</t>
  </si>
  <si>
    <t>Kani shaitan-Kani Shaitan</t>
  </si>
  <si>
    <t>كاني شيطان</t>
  </si>
  <si>
    <t>Kani Spika 130</t>
  </si>
  <si>
    <t>كاني سبيكة 130</t>
  </si>
  <si>
    <t>Kania ba 318</t>
  </si>
  <si>
    <t>كاني با 318</t>
  </si>
  <si>
    <t>Karezawshk</t>
  </si>
  <si>
    <t>كاريزوشك</t>
  </si>
  <si>
    <t>kela spi</t>
  </si>
  <si>
    <t>كيلة سبي</t>
  </si>
  <si>
    <t>Kewstan</t>
  </si>
  <si>
    <t>كويستان</t>
  </si>
  <si>
    <t>Khak</t>
  </si>
  <si>
    <t>خاك</t>
  </si>
  <si>
    <t>Khalif awa village</t>
  </si>
  <si>
    <t>كوندي خليف اوا</t>
  </si>
  <si>
    <t>Khewata</t>
  </si>
  <si>
    <t>خيويتا</t>
  </si>
  <si>
    <t>Khwar kurdsat 134</t>
  </si>
  <si>
    <t>خوار كوردسات 134</t>
  </si>
  <si>
    <t>Koshki Sarw</t>
  </si>
  <si>
    <t>كوشكي سرو</t>
  </si>
  <si>
    <t>Kostay Cham</t>
  </si>
  <si>
    <t>كوستى جم</t>
  </si>
  <si>
    <t>Kurd city</t>
  </si>
  <si>
    <t>كورد ستى</t>
  </si>
  <si>
    <t>Kurdi 402</t>
  </si>
  <si>
    <t>كوردى 402</t>
  </si>
  <si>
    <t>Kurdsat 138+136</t>
  </si>
  <si>
    <t>كوردسات 136+138</t>
  </si>
  <si>
    <t>Lebanon City</t>
  </si>
  <si>
    <t>لبنان ستي</t>
  </si>
  <si>
    <t>Mahwe 404</t>
  </si>
  <si>
    <t>محوى 404</t>
  </si>
  <si>
    <t>Majeed Bag</t>
  </si>
  <si>
    <t>مجيد بك</t>
  </si>
  <si>
    <t>Mala Dawud</t>
  </si>
  <si>
    <t>ملا داود</t>
  </si>
  <si>
    <t>Malik mahmood 401</t>
  </si>
  <si>
    <t>مليك محمود 401</t>
  </si>
  <si>
    <t>Malkanidy</t>
  </si>
  <si>
    <t>ملكندى</t>
  </si>
  <si>
    <t>MAMOSTAYAN</t>
  </si>
  <si>
    <t>Mardin 327</t>
  </si>
  <si>
    <t>ماردين 327</t>
  </si>
  <si>
    <t>Mashkhalan</t>
  </si>
  <si>
    <t>مشخلان</t>
  </si>
  <si>
    <t>Muaskar Al-Salam</t>
  </si>
  <si>
    <t>معسكر سلام</t>
  </si>
  <si>
    <t>Naghda</t>
  </si>
  <si>
    <t>ناغدا</t>
  </si>
  <si>
    <t>Nali 101</t>
  </si>
  <si>
    <t>نالى 101</t>
  </si>
  <si>
    <t>Naw Gardan</t>
  </si>
  <si>
    <t>ناوكردان</t>
  </si>
  <si>
    <t>Nergiz</t>
  </si>
  <si>
    <t>نيركز</t>
  </si>
  <si>
    <t>Newroz</t>
  </si>
  <si>
    <t>Pary 315</t>
  </si>
  <si>
    <t>باري 315</t>
  </si>
  <si>
    <t>Peshasazy</t>
  </si>
  <si>
    <t>Peshawa 301</t>
  </si>
  <si>
    <t>بيشوا 301</t>
  </si>
  <si>
    <t>Pyramagroon</t>
  </si>
  <si>
    <t>بيرمكرون</t>
  </si>
  <si>
    <t>Qaiwan</t>
  </si>
  <si>
    <t>قيوان</t>
  </si>
  <si>
    <t>Qaradagh</t>
  </si>
  <si>
    <t>قرداغ</t>
  </si>
  <si>
    <t>Qaraman</t>
  </si>
  <si>
    <t>قارمان</t>
  </si>
  <si>
    <t>Qaratughan</t>
  </si>
  <si>
    <t>قرتوغان</t>
  </si>
  <si>
    <t>Qazanqaia</t>
  </si>
  <si>
    <t>قازانقايا</t>
  </si>
  <si>
    <t>Qazi mohammed 110</t>
  </si>
  <si>
    <t>قازي محمد 110</t>
  </si>
  <si>
    <t>Qirga 331+329</t>
  </si>
  <si>
    <t>قركة 331+329</t>
  </si>
  <si>
    <t>Qularaese Kon</t>
  </si>
  <si>
    <t>قولريسى كون</t>
  </si>
  <si>
    <t>Rizgari 412</t>
  </si>
  <si>
    <t>رزكاري 412</t>
  </si>
  <si>
    <t>Rizgari-Arbat</t>
  </si>
  <si>
    <t>Roz city</t>
  </si>
  <si>
    <t>روز ستى</t>
  </si>
  <si>
    <t>Runaki City</t>
  </si>
  <si>
    <t>روناكى ستى</t>
  </si>
  <si>
    <t>Sabun karan Qt</t>
  </si>
  <si>
    <t>صابن كران</t>
  </si>
  <si>
    <t>Saib City</t>
  </si>
  <si>
    <t>صائب ستي</t>
  </si>
  <si>
    <t>Saiwan 301</t>
  </si>
  <si>
    <t>سيوان 301</t>
  </si>
  <si>
    <t>Samawat</t>
  </si>
  <si>
    <t>سماوات</t>
  </si>
  <si>
    <t>Sana 313</t>
  </si>
  <si>
    <t>سانا313</t>
  </si>
  <si>
    <t>Sarchea 705</t>
  </si>
  <si>
    <t>سةرجيا 705</t>
  </si>
  <si>
    <t>Sarchnar</t>
  </si>
  <si>
    <t>سرجنار</t>
  </si>
  <si>
    <t>Sardam City</t>
  </si>
  <si>
    <t>سردم ستى</t>
  </si>
  <si>
    <t>Sardaw 140</t>
  </si>
  <si>
    <t>سارداو 140</t>
  </si>
  <si>
    <t>Sarshaqam 310</t>
  </si>
  <si>
    <t>سرشقام 310</t>
  </si>
  <si>
    <t>Sarwary 142</t>
  </si>
  <si>
    <t>سرورى 142</t>
  </si>
  <si>
    <t>Saya City</t>
  </si>
  <si>
    <t>سايه ستى</t>
  </si>
  <si>
    <t>Shahidan 103</t>
  </si>
  <si>
    <t>شهيدان 103</t>
  </si>
  <si>
    <t>Shakraka</t>
  </si>
  <si>
    <t>شكركه</t>
  </si>
  <si>
    <t>Sharaf khan</t>
  </si>
  <si>
    <t>شرف خان</t>
  </si>
  <si>
    <t>Sharawane 102</t>
  </si>
  <si>
    <t>شاروانى 102</t>
  </si>
  <si>
    <t>Shari Pzishkan</t>
  </si>
  <si>
    <t>شاري بزيشكان</t>
  </si>
  <si>
    <t>Shari Spi</t>
  </si>
  <si>
    <t>شاري سبي</t>
  </si>
  <si>
    <t>Shirwana 115</t>
  </si>
  <si>
    <t>شيروانة 115</t>
  </si>
  <si>
    <t>Shniar City</t>
  </si>
  <si>
    <t>شنيار ستى</t>
  </si>
  <si>
    <t>Shoqakani Farmanbaran</t>
  </si>
  <si>
    <t>شوقكاني فرمانبران</t>
  </si>
  <si>
    <t>Slemani taza</t>
  </si>
  <si>
    <t>سليماني تازة</t>
  </si>
  <si>
    <t>Soreen 120</t>
  </si>
  <si>
    <t>سورين 120</t>
  </si>
  <si>
    <t>Srosht 333</t>
  </si>
  <si>
    <t>سروشت 333</t>
  </si>
  <si>
    <t>Tanjaro 314</t>
  </si>
  <si>
    <t>تانجرو 314</t>
  </si>
  <si>
    <t>Tasluja</t>
  </si>
  <si>
    <t>طاسلوجة</t>
  </si>
  <si>
    <t>Tavan</t>
  </si>
  <si>
    <t>تافان</t>
  </si>
  <si>
    <t>Tavga</t>
  </si>
  <si>
    <t>تافكا</t>
  </si>
  <si>
    <t>Toospy</t>
  </si>
  <si>
    <t>تووسبي</t>
  </si>
  <si>
    <t>Toy malik</t>
  </si>
  <si>
    <t>توملك</t>
  </si>
  <si>
    <t>Village 120</t>
  </si>
  <si>
    <t>قرية 120</t>
  </si>
  <si>
    <t>Wluba 326</t>
  </si>
  <si>
    <t>ولوبه 326</t>
  </si>
  <si>
    <t>Zanko 202</t>
  </si>
  <si>
    <t>زانكو 202</t>
  </si>
  <si>
    <t>Zargata 126</t>
  </si>
  <si>
    <t>زركتة 126</t>
  </si>
  <si>
    <t>Zargwez</t>
  </si>
  <si>
    <t>زركويز</t>
  </si>
  <si>
    <t>Zereen 144</t>
  </si>
  <si>
    <t>زيرين 144</t>
  </si>
  <si>
    <t>Zirak</t>
  </si>
  <si>
    <t>زيراك</t>
  </si>
  <si>
    <t>Al-Chibayish</t>
  </si>
  <si>
    <t>Markaz Al Fohod</t>
  </si>
  <si>
    <t>مركز الفهود</t>
  </si>
  <si>
    <t>Markaz AL Hmar</t>
  </si>
  <si>
    <t>مركز الحمار</t>
  </si>
  <si>
    <t>Al-Rifa'i</t>
  </si>
  <si>
    <t>Jiser Al Rifay</t>
  </si>
  <si>
    <t>جسر الرفاعي</t>
  </si>
  <si>
    <t>Markaz Al Nasr</t>
  </si>
  <si>
    <t>مركز النصر</t>
  </si>
  <si>
    <t>Markaz Qal at Sukhar</t>
  </si>
  <si>
    <t>مركز قلعة سكر</t>
  </si>
  <si>
    <t>Refai</t>
  </si>
  <si>
    <t xml:space="preserve">مركز الرفاعي </t>
  </si>
  <si>
    <t>Al-Shatra</t>
  </si>
  <si>
    <t>14 Ramadan</t>
  </si>
  <si>
    <t>حي 14 رمضان</t>
  </si>
  <si>
    <t>Al awad</t>
  </si>
  <si>
    <t>ال عواد</t>
  </si>
  <si>
    <t>Al Mustashfa St</t>
  </si>
  <si>
    <t>شارع المستشفى</t>
  </si>
  <si>
    <t>Al Shomali</t>
  </si>
  <si>
    <t>الشوملي</t>
  </si>
  <si>
    <t>Al-fatahiyah</t>
  </si>
  <si>
    <t>حي الفتاحية</t>
  </si>
  <si>
    <t>Al-hawi</t>
  </si>
  <si>
    <t>حي الحاوي</t>
  </si>
  <si>
    <t>albedaa</t>
  </si>
  <si>
    <t xml:space="preserve">البدعة </t>
  </si>
  <si>
    <t>Hay al Zahraa</t>
  </si>
  <si>
    <t>Markaz Al Dawaya</t>
  </si>
  <si>
    <t>مركز الدواية</t>
  </si>
  <si>
    <t>Markaz Al Gharraf</t>
  </si>
  <si>
    <t>مركز الغراف</t>
  </si>
  <si>
    <t>Nassriya</t>
  </si>
  <si>
    <t>Al Aker</t>
  </si>
  <si>
    <t>العكر</t>
  </si>
  <si>
    <t>Al Aoeh</t>
  </si>
  <si>
    <t>قرية العوية</t>
  </si>
  <si>
    <t>Al Asrriyah Village</t>
  </si>
  <si>
    <t>Al bohyaleh</t>
  </si>
  <si>
    <t>ال ابو حواله</t>
  </si>
  <si>
    <t>Al Dhubat</t>
  </si>
  <si>
    <t>Al Emarat</t>
  </si>
  <si>
    <t>العمارات</t>
  </si>
  <si>
    <t>Al Iskan Al Ssinaie</t>
  </si>
  <si>
    <t>الاسكان الصناعي</t>
  </si>
  <si>
    <t>Al Mahaliyah</t>
  </si>
  <si>
    <t>المحليه</t>
  </si>
  <si>
    <t>Al Saih</t>
  </si>
  <si>
    <t>منطقة السائح</t>
  </si>
  <si>
    <t>Al Sharqiya</t>
  </si>
  <si>
    <t>الشرقيه</t>
  </si>
  <si>
    <t>Al Shoula</t>
  </si>
  <si>
    <t>الشعلة</t>
  </si>
  <si>
    <t>Al Shumokh</t>
  </si>
  <si>
    <t>حي الشموخ</t>
  </si>
  <si>
    <t>Al-Berid</t>
  </si>
  <si>
    <t>Al-bjara</t>
  </si>
  <si>
    <t>قرية البجاري</t>
  </si>
  <si>
    <t>Al-Salhiya</t>
  </si>
  <si>
    <t>حي الصالحية</t>
  </si>
  <si>
    <t>Al-shofah</t>
  </si>
  <si>
    <t>قرية الشوفة</t>
  </si>
  <si>
    <t>Al-Thawrah</t>
  </si>
  <si>
    <t>الثوره</t>
  </si>
  <si>
    <t>Al-zielat</t>
  </si>
  <si>
    <t>الزعيلات</t>
  </si>
  <si>
    <t>Aredo</t>
  </si>
  <si>
    <t>حي اريدو</t>
  </si>
  <si>
    <t>Baghdad Street</t>
  </si>
  <si>
    <t>شارع بغداد</t>
  </si>
  <si>
    <t>Hay Al Al Ghadeer</t>
  </si>
  <si>
    <t>Hay Al Fidaa</t>
  </si>
  <si>
    <t>حي الفداء</t>
  </si>
  <si>
    <t>Hay Al Khadraa</t>
  </si>
  <si>
    <t>Hay Al Mualimeen</t>
  </si>
  <si>
    <t>Hay Al Shoula 1</t>
  </si>
  <si>
    <t>حي الشعله 1</t>
  </si>
  <si>
    <t>Hay Al Tadhihiya</t>
  </si>
  <si>
    <t>حي التضحية</t>
  </si>
  <si>
    <t>Hay AL-Hussain</t>
  </si>
  <si>
    <t xml:space="preserve">حي الحسين </t>
  </si>
  <si>
    <t>Hay AL-Mansouria</t>
  </si>
  <si>
    <t xml:space="preserve">المنصورية </t>
  </si>
  <si>
    <t>Hay al-shohadaa</t>
  </si>
  <si>
    <t>Hay Mehidiya</t>
  </si>
  <si>
    <t>حي المهيديه</t>
  </si>
  <si>
    <t>Hey Al Amen Al Dakhlei 2</t>
  </si>
  <si>
    <t>الامن الداخلي 2</t>
  </si>
  <si>
    <t>Hey Al-Ariml</t>
  </si>
  <si>
    <t>حي الارامل</t>
  </si>
  <si>
    <t>Hey Al-Mtanzh</t>
  </si>
  <si>
    <t>حي المتنزة</t>
  </si>
  <si>
    <t>Hey Al-Rafdeen</t>
  </si>
  <si>
    <t>Markaz Al Batha</t>
  </si>
  <si>
    <t>مركز البطحاء</t>
  </si>
  <si>
    <t>Markaz Syied Dakhil</t>
  </si>
  <si>
    <t>مركز سيد دخيل</t>
  </si>
  <si>
    <t>Nassriya-Hey 400</t>
  </si>
  <si>
    <t>حي 400</t>
  </si>
  <si>
    <t>Sadir City</t>
  </si>
  <si>
    <t>حي مدينة الصدر</t>
  </si>
  <si>
    <t>Sayid khudair</t>
  </si>
  <si>
    <t>سيد خضير</t>
  </si>
  <si>
    <t>Sharaa Al-hklas</t>
  </si>
  <si>
    <t>شارع الاخلاص</t>
  </si>
  <si>
    <t>Share Eshreen</t>
  </si>
  <si>
    <t>شارع عشرين</t>
  </si>
  <si>
    <t>Sindaliyah-Sidenaweyah</t>
  </si>
  <si>
    <t>حي السديناويه</t>
  </si>
  <si>
    <t>The Abu Athm</t>
  </si>
  <si>
    <t>منطقة ال ابو عظم</t>
  </si>
  <si>
    <t>Um Al Dood</t>
  </si>
  <si>
    <t>ام الدود</t>
  </si>
  <si>
    <t>Ur</t>
  </si>
  <si>
    <t>حي اور</t>
  </si>
  <si>
    <t>Suq Al-Shoyokh</t>
  </si>
  <si>
    <t>Al Barid Street</t>
  </si>
  <si>
    <t>شارع البريد</t>
  </si>
  <si>
    <t>Al Esmaelya 2</t>
  </si>
  <si>
    <t>الاسماعيليه 2</t>
  </si>
  <si>
    <t>Al Kibla</t>
  </si>
  <si>
    <t>القبله</t>
  </si>
  <si>
    <t>الشموخ</t>
  </si>
  <si>
    <t>Al-hey Al-Askarey</t>
  </si>
  <si>
    <t>Hey Al Tahrear</t>
  </si>
  <si>
    <t>حي التحرير</t>
  </si>
  <si>
    <t>Hey al-chaoui</t>
  </si>
  <si>
    <t>حي الشاوي</t>
  </si>
  <si>
    <t>Hey al-ghadeir</t>
  </si>
  <si>
    <t>Hey al-zahraa</t>
  </si>
  <si>
    <t>Markaz Al-akaekah</t>
  </si>
  <si>
    <t>مركز العكيكه</t>
  </si>
  <si>
    <t>Markaz Karmat Bani Said</t>
  </si>
  <si>
    <t>مركز كرمة بني سعيد</t>
  </si>
  <si>
    <t>Al-Azezia</t>
  </si>
  <si>
    <t>Al Sadoniyah</t>
  </si>
  <si>
    <t>السعدونية</t>
  </si>
  <si>
    <t>Al Shabab 1</t>
  </si>
  <si>
    <t>الشباب الاولى</t>
  </si>
  <si>
    <t>Al-Azezia 150 area</t>
  </si>
  <si>
    <t>العزيزية 150</t>
  </si>
  <si>
    <t>Al-Debooni City Center</t>
  </si>
  <si>
    <t xml:space="preserve">مركز الدبوني </t>
  </si>
  <si>
    <t>Al-Khamas 2</t>
  </si>
  <si>
    <t>Al-Khamas 3</t>
  </si>
  <si>
    <t>Al-Khamas1</t>
  </si>
  <si>
    <t>الخماس الاولى</t>
  </si>
  <si>
    <t>Al-Nedhal village</t>
  </si>
  <si>
    <t>قرية النضال</t>
  </si>
  <si>
    <t>Al-Rafidain</t>
  </si>
  <si>
    <t>Al-Sarai</t>
  </si>
  <si>
    <t>السراي</t>
  </si>
  <si>
    <t>Al-Tanmeya</t>
  </si>
  <si>
    <t>التنمية</t>
  </si>
  <si>
    <t>Bader Al-Kubra</t>
  </si>
  <si>
    <t>بدر الكبرى</t>
  </si>
  <si>
    <t>City Center</t>
  </si>
  <si>
    <t>المركز</t>
  </si>
  <si>
    <t>Hay Al Quds</t>
  </si>
  <si>
    <t>Hay Al-Askari 1</t>
  </si>
  <si>
    <t>الحي العسكري الاولى</t>
  </si>
  <si>
    <t>Hay Al-Askari 3</t>
  </si>
  <si>
    <t>الحي العسكري الثالثة</t>
  </si>
  <si>
    <t>Hay Al-Oroba 2</t>
  </si>
  <si>
    <t>حي العروبة الثانية</t>
  </si>
  <si>
    <t>Taj al-dien</t>
  </si>
  <si>
    <t>تاج الدين</t>
  </si>
  <si>
    <t>Taj al-dien center 1</t>
  </si>
  <si>
    <t>مركز تاج الدين 1</t>
  </si>
  <si>
    <t>Tuliha</t>
  </si>
  <si>
    <t>طليحة</t>
  </si>
  <si>
    <t>Al-Hai</t>
  </si>
  <si>
    <t>Al Bashaer sub-district</t>
  </si>
  <si>
    <t xml:space="preserve">ناحية البشائر </t>
  </si>
  <si>
    <t>Al Muwaffaqiyah</t>
  </si>
  <si>
    <t>الموفقية</t>
  </si>
  <si>
    <t>Al-Askari Al-Thania</t>
  </si>
  <si>
    <t>حي العسكري الثانية</t>
  </si>
  <si>
    <t>Al-Askari Al-Uwla</t>
  </si>
  <si>
    <t>حي العسكري الاولى</t>
  </si>
  <si>
    <t>Al-hay al-asri</t>
  </si>
  <si>
    <t>Al-Hay Al-Asri Al-Thalitha</t>
  </si>
  <si>
    <t>الحي العصري الثالثة</t>
  </si>
  <si>
    <t>Al-Zaiton Neighborhood</t>
  </si>
  <si>
    <t>Bashaeer-Al-Imam Al-Sadiq Village</t>
  </si>
  <si>
    <t>ناحية البشائر-قرية الأمام الصادق</t>
  </si>
  <si>
    <t>Hay Al-Imam Al-Sadiq</t>
  </si>
  <si>
    <t>حي الأمام الصادق</t>
  </si>
  <si>
    <t>Hay al-muaalimen al-thaniyah</t>
  </si>
  <si>
    <t>حي المعلمين الثانية</t>
  </si>
  <si>
    <t>Hay Al-Rasol</t>
  </si>
  <si>
    <t>Hay Al-Saray</t>
  </si>
  <si>
    <t>Hay Al-Wehda(Mahala al-arab)</t>
  </si>
  <si>
    <t>حي الوحدة-محلة العرب</t>
  </si>
  <si>
    <t>Hay Saed Al-Thania</t>
  </si>
  <si>
    <t>حي سعيد الثانية</t>
  </si>
  <si>
    <t>Al-Na'maniya</t>
  </si>
  <si>
    <t>Al-Ahrar city center</t>
  </si>
  <si>
    <t>الاحرار المركز</t>
  </si>
  <si>
    <t>Al-Baqaratain Village</t>
  </si>
  <si>
    <t>قرية البقرتين</t>
  </si>
  <si>
    <t>Al-Hakeem villge</t>
  </si>
  <si>
    <t>قرية الحكيم</t>
  </si>
  <si>
    <t>Imam Rudha</t>
  </si>
  <si>
    <t>حي الأمام الرضا</t>
  </si>
  <si>
    <t>Misarhad village</t>
  </si>
  <si>
    <t>قرية مسرهد</t>
  </si>
  <si>
    <t>Said Habeeb Village</t>
  </si>
  <si>
    <t>قرية سيد حبيب</t>
  </si>
  <si>
    <t>Said malik village</t>
  </si>
  <si>
    <t>قرية سيد مالك</t>
  </si>
  <si>
    <t>Al-Suwaira</t>
  </si>
  <si>
    <t>Al-Jisir village</t>
  </si>
  <si>
    <t>قرية الجسر</t>
  </si>
  <si>
    <t>Al-Suwaira City Center</t>
  </si>
  <si>
    <t>مركز الصويره</t>
  </si>
  <si>
    <t>Al-Zubaidiya city center</t>
  </si>
  <si>
    <t>مركز الزبيدية</t>
  </si>
  <si>
    <t>Hai Al-Askari-5 Dunam</t>
  </si>
  <si>
    <t>حي العسكري-5 دونم</t>
  </si>
  <si>
    <t>Hay Al-Amer</t>
  </si>
  <si>
    <t>Hay Al-askary</t>
  </si>
  <si>
    <t>Hay Al-Furat</t>
  </si>
  <si>
    <t>Hay Al-Jameya</t>
  </si>
  <si>
    <t>Hay Al-Jihad</t>
  </si>
  <si>
    <t>Qatae Dejla</t>
  </si>
  <si>
    <t>قطاع دجلة</t>
  </si>
  <si>
    <t>Badra</t>
  </si>
  <si>
    <t>Al-Shuhadaa Village</t>
  </si>
  <si>
    <t>قرية الشهداء</t>
  </si>
  <si>
    <t>Hay Al-Imam Al-Hussein</t>
  </si>
  <si>
    <t>حي الأمام الحسين</t>
  </si>
  <si>
    <t>Jassan center</t>
  </si>
  <si>
    <t>مركز جصان</t>
  </si>
  <si>
    <t>Kut</t>
  </si>
  <si>
    <t>Al Batar village</t>
  </si>
  <si>
    <t>قرية البتار</t>
  </si>
  <si>
    <t>Al Dujily-Al zahraa</t>
  </si>
  <si>
    <t>الدجيلي-الزهراء</t>
  </si>
  <si>
    <t>Al Gardhia</t>
  </si>
  <si>
    <t>الكارضية</t>
  </si>
  <si>
    <t>Al Hakeem Al-Khdhra</t>
  </si>
  <si>
    <t>الحكيم الخضراء</t>
  </si>
  <si>
    <t>Al Hakeem Al-Thania</t>
  </si>
  <si>
    <t>الحكيم الثانيه</t>
  </si>
  <si>
    <t>Al Hakeem Al-Ula</t>
  </si>
  <si>
    <t>الحكيم الأولى</t>
  </si>
  <si>
    <t>Al Hasan Al Askari</t>
  </si>
  <si>
    <t>الحسن العسكري</t>
  </si>
  <si>
    <t>Al Hindiyah</t>
  </si>
  <si>
    <t>الهندية</t>
  </si>
  <si>
    <t>Al Hoqoqein</t>
  </si>
  <si>
    <t>الحقوقيين</t>
  </si>
  <si>
    <t>Al Maimoon</t>
  </si>
  <si>
    <t>الميمون</t>
  </si>
  <si>
    <t>Al Mantaqa Al qadima</t>
  </si>
  <si>
    <t>المنطقة القديمة</t>
  </si>
  <si>
    <t>Al Muhandseen-Al Amarat Al Sakaniyah</t>
  </si>
  <si>
    <t>المهندسين-العمارات السكنية</t>
  </si>
  <si>
    <t>Al Nahalat</t>
  </si>
  <si>
    <t>النحالات</t>
  </si>
  <si>
    <t>Al Uroba 1</t>
  </si>
  <si>
    <t>العروبة الاولى</t>
  </si>
  <si>
    <t>Al-Badreya village</t>
  </si>
  <si>
    <t>قرية البدرية</t>
  </si>
  <si>
    <t>Al-chabab</t>
  </si>
  <si>
    <t>قرية الجباب</t>
  </si>
  <si>
    <t>Al-Eza Al-Jadida</t>
  </si>
  <si>
    <t>العزة الجديدة</t>
  </si>
  <si>
    <t>Al-Eza Al-Qadima</t>
  </si>
  <si>
    <t>العزة القديمة</t>
  </si>
  <si>
    <t>Al-Hassan Al-Askari Al-Thania</t>
  </si>
  <si>
    <t>الحسن العسكري الثانيه</t>
  </si>
  <si>
    <t>Al-Jihad Al-Zahraa</t>
  </si>
  <si>
    <t>الجهاد الزهراء</t>
  </si>
  <si>
    <t>Al-Jihad-Al Shaheed Dawood</t>
  </si>
  <si>
    <t>الجهاد-الشهيد داود</t>
  </si>
  <si>
    <t>Al-Jihad-Al Thaqalain</t>
  </si>
  <si>
    <t>الجهاد-الثقلين</t>
  </si>
  <si>
    <t>Al-Jihad-Al-Sajad</t>
  </si>
  <si>
    <t>الجهاد-السجاد</t>
  </si>
  <si>
    <t>Al-Jihad-Al-Zanabra</t>
  </si>
  <si>
    <t>الجهاد-الزنابرة</t>
  </si>
  <si>
    <t>Al-Sebtain W Al-Maamel</t>
  </si>
  <si>
    <t>السبطين والمعامل</t>
  </si>
  <si>
    <t>Al-Shuhadaa 3</t>
  </si>
  <si>
    <t>الشهداء الثالثة</t>
  </si>
  <si>
    <t>Al-Shuhadaa 4</t>
  </si>
  <si>
    <t>الشهداء الرابعة</t>
  </si>
  <si>
    <t>Al-Umarat-Al-Mutamaizeen</t>
  </si>
  <si>
    <t>العمارات المتميزين</t>
  </si>
  <si>
    <t>Al-Wafdin Al-Sadrain</t>
  </si>
  <si>
    <t>الوافدين الصدرين</t>
  </si>
  <si>
    <t>Al-Zahra Al-Karavanat</t>
  </si>
  <si>
    <t>الزهراء الكرفانات</t>
  </si>
  <si>
    <t>Anwar Al Sadur</t>
  </si>
  <si>
    <t>انوار الصدر</t>
  </si>
  <si>
    <t>Anwar Al Sadur-Al-Ghader</t>
  </si>
  <si>
    <t>انوار الصدر-الغدير</t>
  </si>
  <si>
    <t>Damook 150</t>
  </si>
  <si>
    <t>داموك 150</t>
  </si>
  <si>
    <t>Damook Al-Dhbat</t>
  </si>
  <si>
    <t>داموك الضباط</t>
  </si>
  <si>
    <t>Damook-Al-Hurriya</t>
  </si>
  <si>
    <t>داموك الحرية</t>
  </si>
  <si>
    <t>Door al-Umal</t>
  </si>
  <si>
    <t>دور العمال</t>
  </si>
  <si>
    <t>Hay Al Jawadeen Al-Thalitha</t>
  </si>
  <si>
    <t>حي الجوادين الثالثه</t>
  </si>
  <si>
    <t>Hay Al Jawadeen Al-Ula</t>
  </si>
  <si>
    <t>حي الجوادين الاولى</t>
  </si>
  <si>
    <t>Hay Al Wehda</t>
  </si>
  <si>
    <t>Hay Al-Abassya</t>
  </si>
  <si>
    <t>حي العباسية</t>
  </si>
  <si>
    <t>Hay Al-Emam Ali-2</t>
  </si>
  <si>
    <t>حي الامام علي الثانيه</t>
  </si>
  <si>
    <t>Hay Al-Hawaraa 3</t>
  </si>
  <si>
    <t>حي الحوراء الثالثة</t>
  </si>
  <si>
    <t>Hay Al-Kadhraa</t>
  </si>
  <si>
    <t>Hay al-zahraa</t>
  </si>
  <si>
    <t>Khajia –Hay Al Rassol</t>
  </si>
  <si>
    <t>الخاجية حي الرسول</t>
  </si>
  <si>
    <t>Sewada Said Shati</t>
  </si>
  <si>
    <t>سوادة وسيد شاطي</t>
  </si>
  <si>
    <t>Sewada-Al-Baydhaa village</t>
  </si>
  <si>
    <t>السوادة-قرية البيضاء</t>
  </si>
  <si>
    <t>Shaikh Saad</t>
  </si>
  <si>
    <t>شيخ سعد</t>
  </si>
  <si>
    <t>Technical Institute</t>
  </si>
  <si>
    <t xml:space="preserve">معهد فني </t>
  </si>
  <si>
    <t>Um Hulail Village</t>
  </si>
  <si>
    <t>ام هليل</t>
  </si>
  <si>
    <t>Hay Alzeraee</t>
  </si>
  <si>
    <t>حي الزراعي</t>
  </si>
  <si>
    <t>NULL</t>
  </si>
  <si>
    <t>Hay Yarmok</t>
  </si>
  <si>
    <t>حي يرموك</t>
  </si>
  <si>
    <t>Darb Al-lebany</t>
  </si>
  <si>
    <t>البصرة-ابو الخصيب-درب اللباني</t>
  </si>
  <si>
    <t>البصرة-الزبير-الدرهمية 3</t>
  </si>
  <si>
    <t>Zinana</t>
  </si>
  <si>
    <t>زنانة</t>
  </si>
  <si>
    <t>Aweney Shar</t>
  </si>
  <si>
    <t>اوينا شار</t>
  </si>
  <si>
    <t>Dashti bahasht</t>
  </si>
  <si>
    <t>دشتي بهشت</t>
  </si>
  <si>
    <t>Hay missan 14</t>
  </si>
  <si>
    <t>حي ميسان 14</t>
  </si>
  <si>
    <t>Hay missan 15-A</t>
  </si>
  <si>
    <t>حي ميسان 15-أ</t>
  </si>
  <si>
    <t>Hay missan 22</t>
  </si>
  <si>
    <t>حي ميسان 22</t>
  </si>
  <si>
    <t>Hay missan 31</t>
  </si>
  <si>
    <t>حي ميسان 31</t>
  </si>
  <si>
    <t>Al-Amilah Village</t>
  </si>
  <si>
    <t>قرية الاميلح</t>
  </si>
  <si>
    <t>Zaaziaa Village</t>
  </si>
  <si>
    <t>قرية زعيزيعة</t>
  </si>
  <si>
    <t>Kahreez</t>
  </si>
  <si>
    <t>كهريز</t>
  </si>
  <si>
    <t>Al-Basateen Camp</t>
  </si>
  <si>
    <t>مخيم بساتين الشيوخ</t>
  </si>
  <si>
    <t>Bash Tapa Village</t>
  </si>
  <si>
    <t>قرية باشتبة</t>
  </si>
  <si>
    <t>Chachan Village</t>
  </si>
  <si>
    <t>قرية جيجان</t>
  </si>
  <si>
    <t>Duraji</t>
  </si>
  <si>
    <t>قرية دوراجي</t>
  </si>
  <si>
    <t>Garmik Village</t>
  </si>
  <si>
    <t>قرية كرمك</t>
  </si>
  <si>
    <t>Haidarasor</t>
  </si>
  <si>
    <t>قرية حيدرسور</t>
  </si>
  <si>
    <t>Jawry</t>
  </si>
  <si>
    <t>قرية جورى</t>
  </si>
  <si>
    <t>Lak Village</t>
  </si>
  <si>
    <t>قرية لك</t>
  </si>
  <si>
    <t>lufty Agha Village</t>
  </si>
  <si>
    <t>قرية لفتي اغا</t>
  </si>
  <si>
    <t>Milnaser Village</t>
  </si>
  <si>
    <t>قرية ميلناصر</t>
  </si>
  <si>
    <t>Namiq Village</t>
  </si>
  <si>
    <t>قرية نامق</t>
  </si>
  <si>
    <t>Nawjool Village</t>
  </si>
  <si>
    <t>قرية نوجول</t>
  </si>
  <si>
    <t>Omersufy Village</t>
  </si>
  <si>
    <t>قرية عمرسوفي</t>
  </si>
  <si>
    <t>Qala Village</t>
  </si>
  <si>
    <t>Qalkhanlu Khwar Village</t>
  </si>
  <si>
    <t>قرية قلخانلو السفلى</t>
  </si>
  <si>
    <t>Qalkhanlu Village</t>
  </si>
  <si>
    <t>قرية قلخانلو</t>
  </si>
  <si>
    <t>Qumpalk Village</t>
  </si>
  <si>
    <t>قرية قومبلك</t>
  </si>
  <si>
    <t>Waranikan Village</t>
  </si>
  <si>
    <t>قرية وارانيكان</t>
  </si>
  <si>
    <t>Bani maqan</t>
  </si>
  <si>
    <t>باني مقان</t>
  </si>
  <si>
    <t>Surdash camp</t>
  </si>
  <si>
    <t>سورداش كمب</t>
  </si>
  <si>
    <t>Hay Khalid</t>
  </si>
  <si>
    <t>حي خالد</t>
  </si>
  <si>
    <t>Badosh Al-thania Village</t>
  </si>
  <si>
    <t>قرية بادوش الثانية</t>
  </si>
  <si>
    <t>قرية تل الريس الاولى</t>
  </si>
  <si>
    <t>Pabera Complex</t>
  </si>
  <si>
    <t>مجمع بابيرة</t>
  </si>
  <si>
    <t>Tallsquf</t>
  </si>
  <si>
    <t>تللسقف</t>
  </si>
  <si>
    <t>Al Aubaidi Al Qadima</t>
  </si>
  <si>
    <t xml:space="preserve">العبيدي القديمة </t>
  </si>
  <si>
    <t>Al Masharea</t>
  </si>
  <si>
    <t>المشاريع</t>
  </si>
  <si>
    <t>Al Ubaydi-1</t>
  </si>
  <si>
    <t>العبيدي-مرحلة أولى</t>
  </si>
  <si>
    <t>Sadah</t>
  </si>
  <si>
    <t>قرية سعده</t>
  </si>
  <si>
    <t>Tiwaan</t>
  </si>
  <si>
    <t>تيوان</t>
  </si>
  <si>
    <t>Hay Al-Subhani</t>
  </si>
  <si>
    <t>Al-Mujama Al-Sakani</t>
  </si>
  <si>
    <t>Hay Al-Etfaa</t>
  </si>
  <si>
    <t>5 Kilo</t>
  </si>
  <si>
    <t>7 Killo-al-mojamaa al-sakany</t>
  </si>
  <si>
    <t>Abu Fless</t>
  </si>
  <si>
    <t>Al Sofeya</t>
  </si>
  <si>
    <t>Al Urobah</t>
  </si>
  <si>
    <t>Zoyaha Al-Thuban</t>
  </si>
  <si>
    <t>Kilo 31</t>
  </si>
  <si>
    <t>كيلو 31</t>
  </si>
  <si>
    <t>Fishkhaboor</t>
  </si>
  <si>
    <t>Al-Makareen Village</t>
  </si>
  <si>
    <t>Al-Sadah Village</t>
  </si>
  <si>
    <t>Dalli Abass-Al-Dhobat Qtr</t>
  </si>
  <si>
    <t>Dalli Abass-Al-Shuhada Qtr</t>
  </si>
  <si>
    <t>دلي عباس-حي الشهداء</t>
  </si>
  <si>
    <t>Dalli Abass-Kurd Ali</t>
  </si>
  <si>
    <t>دلي عباس-كرد علي</t>
  </si>
  <si>
    <t>Dawod Al-Salom village</t>
  </si>
  <si>
    <t>Al Faylaq-Mahala 5</t>
  </si>
  <si>
    <t>حي الفيلق-5</t>
  </si>
  <si>
    <t>Al Hurriyah</t>
  </si>
  <si>
    <t>Al Taakhi</t>
  </si>
  <si>
    <t>حي التأخي</t>
  </si>
  <si>
    <t>Al Tadamon(Hawkari)</t>
  </si>
  <si>
    <t>حي التضامن-هاوكاري-</t>
  </si>
  <si>
    <t>Al-Qadisssiya(Rabareen) first</t>
  </si>
  <si>
    <t>Al-Qadisssiya(Rabareen) seconad</t>
  </si>
  <si>
    <t>حي الانتفاضة-رابرين-(القادسية سابقا) ثاني</t>
  </si>
  <si>
    <t>Hay Al Nassir</t>
  </si>
  <si>
    <t>عرفة</t>
  </si>
  <si>
    <t>Hay Rasheed(Domiz)</t>
  </si>
  <si>
    <t>حي الرشيد-دوميز-</t>
  </si>
  <si>
    <t>بنجه علي</t>
  </si>
  <si>
    <t>رحيم اوه</t>
  </si>
  <si>
    <t>حي روناكي</t>
  </si>
  <si>
    <t>حي صاري كهيه</t>
  </si>
  <si>
    <t>مركز ناحية شوان</t>
  </si>
  <si>
    <t>الجواعنة</t>
  </si>
  <si>
    <t>Tel Al-raes Al-awola Village</t>
  </si>
  <si>
    <t>Borek</t>
  </si>
  <si>
    <t>قرية ابوخشب</t>
  </si>
  <si>
    <t>Albawtha vilage</t>
  </si>
  <si>
    <t>قرية البوثة</t>
  </si>
  <si>
    <t>Biir eakla vilage</t>
  </si>
  <si>
    <t>قرية تل الهوى</t>
  </si>
  <si>
    <t>قرية تل سمير</t>
  </si>
  <si>
    <t>Baaja</t>
  </si>
  <si>
    <t>Hay Al Jumiala</t>
  </si>
  <si>
    <t>Hay Al-Khasim Al-Qadem village</t>
  </si>
  <si>
    <t>مقاطعة 13 الحجاج والجيسات-قرية الحجاج</t>
  </si>
  <si>
    <t>Albu Tuama Village</t>
  </si>
  <si>
    <t>قرية البوطعمة</t>
  </si>
  <si>
    <t>مقاطعة 13 الحجاج والجيسات قرية الصرين</t>
  </si>
  <si>
    <t>Al-Juboor Village</t>
  </si>
  <si>
    <t>محلة الصعيوية-1</t>
  </si>
  <si>
    <t>محلة مكيشفة</t>
  </si>
  <si>
    <t>Al Baladiyat-402</t>
  </si>
  <si>
    <t>البلديات-402</t>
  </si>
  <si>
    <t>Al Karama Village</t>
  </si>
  <si>
    <t>Al Namah Al ShamaliyahVillage</t>
  </si>
  <si>
    <t>قرية الناعمة الشمالية</t>
  </si>
  <si>
    <t>Al Safiya village</t>
  </si>
  <si>
    <t>Hammad Shihab</t>
  </si>
  <si>
    <t>Hay 100 dar</t>
  </si>
  <si>
    <t>حي 100 دار</t>
  </si>
  <si>
    <t>Hay Al Anwaa Mahala 420</t>
  </si>
  <si>
    <t>حي الانواء-محلة 420</t>
  </si>
  <si>
    <t>حي العصري-محلة 404</t>
  </si>
  <si>
    <t>Hay Al Mualimeen-406</t>
  </si>
  <si>
    <t>حي المعلمين محلة-406</t>
  </si>
  <si>
    <t>حي الصناعي-م(51-المجرة وتل رجيم)قرية الصمد</t>
  </si>
  <si>
    <t>Hay AL Suqour</t>
  </si>
  <si>
    <t>Hay Al Zuhour-422</t>
  </si>
  <si>
    <t>حي الزهور محلة-422</t>
  </si>
  <si>
    <t>Hay Al-Tajneed</t>
  </si>
  <si>
    <t>Hay Alarbaen</t>
  </si>
  <si>
    <t>Hay Aldiuom</t>
  </si>
  <si>
    <t>حي الديوم-مقاطعة 211-ديوم تكريت</t>
  </si>
  <si>
    <t>Hay Aljamiyaa</t>
  </si>
  <si>
    <t>Hay Salma Altaghlubia</t>
  </si>
  <si>
    <t>Hay Sheshen Mahal 408</t>
  </si>
  <si>
    <t>Qadisya 1 Mahala 214</t>
  </si>
  <si>
    <t>Qadisya 2 500 Area</t>
  </si>
  <si>
    <t>Qadisya 2 Mahala 216</t>
  </si>
  <si>
    <t>Ain Hilwa Upper</t>
  </si>
  <si>
    <t>قرية عين حلوة العليا</t>
  </si>
  <si>
    <t>Diwasa</t>
  </si>
  <si>
    <t>قرية دواسة</t>
  </si>
  <si>
    <t>حي الاساتذة</t>
  </si>
  <si>
    <t>Al Basateen Al Gharbia</t>
  </si>
  <si>
    <t>البساتين الغربية</t>
  </si>
  <si>
    <t>Al Maredh</t>
  </si>
  <si>
    <t>المعارض</t>
  </si>
  <si>
    <t>AL-Mutasher</t>
  </si>
  <si>
    <t>ال مطشر</t>
  </si>
  <si>
    <t>Al-Sharqi</t>
  </si>
  <si>
    <t>الشرقي</t>
  </si>
  <si>
    <t>AL-Tuail</t>
  </si>
  <si>
    <t>الطوايل</t>
  </si>
  <si>
    <t>Hay 36</t>
  </si>
  <si>
    <t>حي 36</t>
  </si>
  <si>
    <t>Hay Al Jmhoori</t>
  </si>
  <si>
    <t>Al-Abar</t>
  </si>
  <si>
    <t>الابار</t>
  </si>
  <si>
    <t>حي البريد</t>
  </si>
  <si>
    <t>Al-eakedat</t>
  </si>
  <si>
    <t>حي العكيدات</t>
  </si>
  <si>
    <t>Al-Jawsaq</t>
  </si>
  <si>
    <t>الجوسق</t>
  </si>
  <si>
    <t>Al-Maghreb</t>
  </si>
  <si>
    <t>حي المغرب</t>
  </si>
  <si>
    <t>Al-Moalimen</t>
  </si>
  <si>
    <t>Al-Najjar</t>
  </si>
  <si>
    <t>النجار</t>
  </si>
  <si>
    <t>Al-Rabeea</t>
  </si>
  <si>
    <t>Al-Sihha</t>
  </si>
  <si>
    <t>حي الصحة</t>
  </si>
  <si>
    <t>Al-Sinaa Al-Qadema</t>
  </si>
  <si>
    <t>الصناعة القديمة</t>
  </si>
  <si>
    <t>Al-smood</t>
  </si>
  <si>
    <t>Door Al-Sukar</t>
  </si>
  <si>
    <t>دور السكر</t>
  </si>
  <si>
    <t>Msherfa 1</t>
  </si>
  <si>
    <t>مشيرفة 1</t>
  </si>
  <si>
    <t>Msherfa 2</t>
  </si>
  <si>
    <t>مشيرفة 2</t>
  </si>
  <si>
    <t>Tal Samer AlKaber Village</t>
  </si>
  <si>
    <t>قرية تل سمير الكبير</t>
  </si>
  <si>
    <t>Wadi Al-Ain</t>
  </si>
  <si>
    <t>وادي العين</t>
  </si>
  <si>
    <t>Hokna</t>
  </si>
  <si>
    <t>قرية حكنه</t>
  </si>
  <si>
    <t>Ry Al-Jazera</t>
  </si>
  <si>
    <t>مشروع ري الجزيره</t>
  </si>
  <si>
    <t>Al Asafeat Al Sharqy</t>
  </si>
  <si>
    <t>العسافيات الشرقي</t>
  </si>
  <si>
    <t>Al-Abrahmeiah (Al hafed)</t>
  </si>
  <si>
    <t>الابراهيمية (الحافظ)</t>
  </si>
  <si>
    <t>Al-awarah al-wastah</t>
  </si>
  <si>
    <t>العوارة الوسطى</t>
  </si>
  <si>
    <t>Al Ardhyat</t>
  </si>
  <si>
    <t>العارضيات</t>
  </si>
  <si>
    <t>Al Athar</t>
  </si>
  <si>
    <t>العذار</t>
  </si>
  <si>
    <t>Al Halaichia</t>
  </si>
  <si>
    <t>الهلايجية</t>
  </si>
  <si>
    <t>Al Jadryiaa Al Jamiaa-911</t>
  </si>
  <si>
    <t>الجادرية الجامعة-911</t>
  </si>
  <si>
    <t>Altun Kupri Center</t>
  </si>
  <si>
    <t>مركز ناحية التون كوبري</t>
  </si>
  <si>
    <t>Hay Musa AL-Kadhum</t>
  </si>
  <si>
    <t>Um AL-Housh</t>
  </si>
  <si>
    <t>ام الهوش</t>
  </si>
  <si>
    <t>Al-Khaberat Village</t>
  </si>
  <si>
    <t>قرية الخبيرات</t>
  </si>
  <si>
    <t>Dawajin</t>
  </si>
  <si>
    <t>دواجن</t>
  </si>
  <si>
    <t xml:space="preserve">Markas AlSiba </t>
  </si>
  <si>
    <t xml:space="preserve">مركز السيبة </t>
  </si>
  <si>
    <t>Al Aqssa Village</t>
  </si>
  <si>
    <t>قرية الاقصى</t>
  </si>
  <si>
    <t>Al Askary Qtr</t>
  </si>
  <si>
    <t>Dalli Abass-Al Moalmeen Qtr</t>
  </si>
  <si>
    <t>دلي عباس-حي المعلمين</t>
  </si>
  <si>
    <t>Dalli Abass-Al Rasheed Qtr</t>
  </si>
  <si>
    <t>دلي عباس-حي الرشيد</t>
  </si>
  <si>
    <t>Dalli Abass-Al Shekh Hassan Qtr</t>
  </si>
  <si>
    <t>دلي عباس-حي الشيخ حسن</t>
  </si>
  <si>
    <t>Dalli Abass-The Old Qtr</t>
  </si>
  <si>
    <t>دلي عباس-الحي القديم</t>
  </si>
  <si>
    <t>باريكة</t>
  </si>
  <si>
    <t>Kagol</t>
  </si>
  <si>
    <t>كاقول</t>
  </si>
  <si>
    <t>Qurato</t>
  </si>
  <si>
    <t>قوراتو</t>
  </si>
  <si>
    <t>Sawzablagh</t>
  </si>
  <si>
    <t>سوزة بلاغ</t>
  </si>
  <si>
    <t>Topaskar</t>
  </si>
  <si>
    <t>توبعسكر</t>
  </si>
  <si>
    <t>Al safeea1</t>
  </si>
  <si>
    <t>الصافية1</t>
  </si>
  <si>
    <t>Tal Al-Rumman</t>
  </si>
  <si>
    <t>تل الرمان</t>
  </si>
  <si>
    <t>Balad station</t>
  </si>
  <si>
    <t>محطة بلد</t>
  </si>
  <si>
    <t>Ronaki Shar</t>
  </si>
  <si>
    <t>روناكي شار</t>
  </si>
  <si>
    <t>Shahidan-Saidsadiq</t>
  </si>
  <si>
    <t>شهيدان-سيد صادق</t>
  </si>
  <si>
    <t>Ablakh 410</t>
  </si>
  <si>
    <t>ابلاخ 410</t>
  </si>
  <si>
    <t>Ali naji 103</t>
  </si>
  <si>
    <t>علي ناجي 103</t>
  </si>
  <si>
    <t>Andaziaran 105</t>
  </si>
  <si>
    <t>اندازياران 105</t>
  </si>
  <si>
    <t>Ashty 106 &amp; 104</t>
  </si>
  <si>
    <t>اشتي 106 &amp;104</t>
  </si>
  <si>
    <t>Awbarik 405 + 403</t>
  </si>
  <si>
    <t>Bakhan 108</t>
  </si>
  <si>
    <t>باخان 108</t>
  </si>
  <si>
    <t>Baranan 107</t>
  </si>
  <si>
    <t>برانان107</t>
  </si>
  <si>
    <t>Chwar Bakh 401</t>
  </si>
  <si>
    <t>جوارباخ 401</t>
  </si>
  <si>
    <t>Chwar chra New</t>
  </si>
  <si>
    <t>جوار جرا نوي</t>
  </si>
  <si>
    <t>Karezawshk 118</t>
  </si>
  <si>
    <t>كاريزوشك 118</t>
  </si>
  <si>
    <t>Mushirawa 406 &amp; 206</t>
  </si>
  <si>
    <t>موشيراوا 406&amp;206</t>
  </si>
  <si>
    <t>Rizgare 408</t>
  </si>
  <si>
    <t>رزكارى 408</t>
  </si>
  <si>
    <t>Shekh Muheden 404</t>
  </si>
  <si>
    <t>شيخ محى الدين 404</t>
  </si>
  <si>
    <t>shorsh 101</t>
  </si>
  <si>
    <t>شورش101</t>
  </si>
  <si>
    <t>Sulaymaniya-Sharawani 407</t>
  </si>
  <si>
    <t>شارواني407</t>
  </si>
  <si>
    <t>Wais 402</t>
  </si>
  <si>
    <t>ويس 402</t>
  </si>
  <si>
    <t>al-taawen</t>
  </si>
  <si>
    <t>Kani ishqan</t>
  </si>
  <si>
    <t>كاني عيشقان</t>
  </si>
  <si>
    <t>Al Sikak</t>
  </si>
  <si>
    <t>Al-Matahin</t>
  </si>
  <si>
    <t>المطاحن</t>
  </si>
  <si>
    <t>Al-Khanag village</t>
  </si>
  <si>
    <t>قرية الخنك</t>
  </si>
  <si>
    <t>Dream city complex</t>
  </si>
  <si>
    <t>مجمع دريم ستي</t>
  </si>
  <si>
    <t>Kharabandalo</t>
  </si>
  <si>
    <t>خةرةبةندةلو</t>
  </si>
  <si>
    <t>Shelter</t>
  </si>
  <si>
    <t>Critical</t>
  </si>
  <si>
    <t>Private setting</t>
  </si>
  <si>
    <t>Unknown</t>
  </si>
  <si>
    <t xml:space="preserve">Camp </t>
  </si>
  <si>
    <t>Ana</t>
  </si>
  <si>
    <t>Rayhana</t>
  </si>
  <si>
    <t>مجمع الريحانه</t>
  </si>
  <si>
    <t>Al Shams Camp</t>
  </si>
  <si>
    <t>مخيم الشمس</t>
  </si>
  <si>
    <t>Sabea Al Buor-Sakecht Al Ali</t>
  </si>
  <si>
    <t>سبع البور-ساجت العلي</t>
  </si>
  <si>
    <t>Awa Spi</t>
  </si>
  <si>
    <t>اوا سبي</t>
  </si>
  <si>
    <t>shahidan</t>
  </si>
  <si>
    <t>Al-Hawiga</t>
  </si>
  <si>
    <t>Abu-Al-Jaise</t>
  </si>
  <si>
    <t>قرية أبو الجيس</t>
  </si>
  <si>
    <t>Hilwa lower</t>
  </si>
  <si>
    <t>قرية حلوة سفلى</t>
  </si>
  <si>
    <t>Hay Dour AL-Sikak</t>
  </si>
  <si>
    <t>حي دور السكك</t>
  </si>
  <si>
    <t>Al-Nabi Sheet</t>
  </si>
  <si>
    <t>النبي شيت</t>
  </si>
  <si>
    <t>Al-Shurta</t>
  </si>
  <si>
    <t>Kokjali</t>
  </si>
  <si>
    <t>كوكجلي</t>
  </si>
  <si>
    <t xml:space="preserve">Tapa Sawz Village </t>
  </si>
  <si>
    <t>قرية تبة سوز</t>
  </si>
  <si>
    <t>hashazini</t>
  </si>
  <si>
    <t>هةشة زيني</t>
  </si>
  <si>
    <t>jamrez</t>
  </si>
  <si>
    <t>جامريز</t>
  </si>
  <si>
    <t>sarqalla</t>
  </si>
  <si>
    <t>سةرقلا</t>
  </si>
  <si>
    <t>اوباريك 405+403</t>
  </si>
  <si>
    <t>ازادي-رابرين</t>
  </si>
  <si>
    <t>Aziz Awa</t>
  </si>
  <si>
    <t>عزيز اوا</t>
  </si>
  <si>
    <t>Bazyan-Toy awlyaa</t>
  </si>
  <si>
    <t>بازيان-توي اولياء</t>
  </si>
  <si>
    <t>Goizhai New 220</t>
  </si>
  <si>
    <t>كويزة نوي 220</t>
  </si>
  <si>
    <t>Hawara barza 218</t>
  </si>
  <si>
    <t>هوارة برزة 218</t>
  </si>
  <si>
    <t>Shahidani Azadi 214</t>
  </si>
  <si>
    <t>شهيداني ازادي 214</t>
  </si>
  <si>
    <t>Row Labels</t>
  </si>
  <si>
    <t>Grand Total</t>
  </si>
  <si>
    <t>Sum of Camp</t>
  </si>
  <si>
    <t>Sum of Host families</t>
  </si>
  <si>
    <t>Sum of Informal settlements</t>
  </si>
  <si>
    <t>Sum of Other shelter type</t>
  </si>
  <si>
    <t>Sum of Religious building</t>
  </si>
  <si>
    <t>Sum of School building</t>
  </si>
  <si>
    <t>Sum of Unfinished/Abandoned building</t>
  </si>
  <si>
    <t>Sum of Unknown shelter type</t>
  </si>
  <si>
    <t>Sum of Total</t>
  </si>
  <si>
    <t>Column Labels</t>
  </si>
  <si>
    <t>Values</t>
  </si>
  <si>
    <t>Sum of Anbar</t>
  </si>
  <si>
    <t>Sum of Babylon</t>
  </si>
  <si>
    <t>Sum of Baghdad</t>
  </si>
  <si>
    <t>Sum of Diyala</t>
  </si>
  <si>
    <t>Sum of Dahuk</t>
  </si>
  <si>
    <t>Sum of Erbil</t>
  </si>
  <si>
    <t>Sum of Kirkuk</t>
  </si>
  <si>
    <t>Sum of Ninewa</t>
  </si>
  <si>
    <t>Sum of Salah al-Din</t>
  </si>
  <si>
    <t>Awlad Muslim</t>
  </si>
  <si>
    <t>اولاد مسلم</t>
  </si>
  <si>
    <t>Hay Al-Kadhum</t>
  </si>
  <si>
    <t>حي الكاظم</t>
  </si>
  <si>
    <t>5 Miles(Al Hady Al Thaniyah)</t>
  </si>
  <si>
    <t>5ميل الهادي الثانية</t>
  </si>
  <si>
    <t>Al-Dawar Al-Sharqi</t>
  </si>
  <si>
    <t>الدوار الشرقي</t>
  </si>
  <si>
    <t>Hay Al-Maghrib</t>
  </si>
  <si>
    <t>Hay Al Qadissiyah</t>
  </si>
  <si>
    <t>Awad Al Hussain village</t>
  </si>
  <si>
    <t>قرية عواد الحسين</t>
  </si>
  <si>
    <t>Mehwer Al-Gnoby</t>
  </si>
  <si>
    <t>محوير الجنوبي</t>
  </si>
  <si>
    <t>Mehwer Al-Shemaly</t>
  </si>
  <si>
    <t>Dahnok</t>
  </si>
  <si>
    <t>دهنوك</t>
  </si>
  <si>
    <t>Jekor</t>
  </si>
  <si>
    <t>جيكور</t>
  </si>
  <si>
    <t>Jelab</t>
  </si>
  <si>
    <t>جلاب</t>
  </si>
  <si>
    <t>شط العرب التنومه-حي الغدير</t>
  </si>
  <si>
    <t>Aween City</t>
  </si>
  <si>
    <t>اوين ستي</t>
  </si>
  <si>
    <t>Qliasan</t>
  </si>
  <si>
    <t>قلياسان</t>
  </si>
  <si>
    <t>Hay Al-Karama</t>
  </si>
  <si>
    <t>حي الكرامة</t>
  </si>
  <si>
    <t>Hay Al-Mwadhafeen</t>
  </si>
  <si>
    <t>Al-Qadisya Complex</t>
  </si>
  <si>
    <t>مجمع القادسية</t>
  </si>
  <si>
    <t>Azadi-tasluja</t>
  </si>
  <si>
    <t>ازادي-طاسلوجة</t>
  </si>
  <si>
    <t>Al-Rutba</t>
  </si>
  <si>
    <t>Al Haara</t>
  </si>
  <si>
    <t>حي الحارة</t>
  </si>
  <si>
    <t>Antesar</t>
  </si>
  <si>
    <t>Hay Al-Matar</t>
  </si>
  <si>
    <t>حي المطار</t>
  </si>
  <si>
    <t>Al Tadamon</t>
  </si>
  <si>
    <t>حي التضامن</t>
  </si>
  <si>
    <t>الغزالية-649</t>
  </si>
  <si>
    <t>الغزالية-651</t>
  </si>
  <si>
    <t>الغزالية-653</t>
  </si>
  <si>
    <t>الغزالية-655</t>
  </si>
  <si>
    <t>الغزالية-659</t>
  </si>
  <si>
    <t>الغزالية-665</t>
  </si>
  <si>
    <t>الغزالية-667</t>
  </si>
  <si>
    <t>Al Ummal Qtr</t>
  </si>
  <si>
    <t>حي العمال</t>
  </si>
  <si>
    <t>Al-Alam Camp</t>
  </si>
  <si>
    <t>مخيم العلم</t>
  </si>
  <si>
    <t>Al Wadi</t>
  </si>
  <si>
    <t>حي الوادي</t>
  </si>
  <si>
    <t>Hay Al Meethagh</t>
  </si>
  <si>
    <t>حي الميثاق</t>
  </si>
  <si>
    <t>Al Harthah-Hay Al Risalah</t>
  </si>
  <si>
    <t>الهارثة-حي الرسالة</t>
  </si>
  <si>
    <t>Al-abbasya</t>
  </si>
  <si>
    <t xml:space="preserve">العباسية </t>
  </si>
  <si>
    <t>Abtakh</t>
  </si>
  <si>
    <t>ابتاخ</t>
  </si>
  <si>
    <t xml:space="preserve">محوير الشمالي </t>
  </si>
  <si>
    <t>Ahmadawa</t>
  </si>
  <si>
    <t>احمد اوا</t>
  </si>
  <si>
    <t>Gundi reshen</t>
  </si>
  <si>
    <t>كوندي ريشين</t>
  </si>
  <si>
    <t>Imam Qasim-Qaladiza</t>
  </si>
  <si>
    <t>امام قاسم-قلادزي</t>
  </si>
  <si>
    <t>Bazyan-Tainal</t>
  </si>
  <si>
    <t>بازيان-تينال</t>
  </si>
  <si>
    <t>Azaban</t>
  </si>
  <si>
    <t>عازبان</t>
  </si>
  <si>
    <t>Bongla</t>
  </si>
  <si>
    <t>بونكلة</t>
  </si>
  <si>
    <t>Diwana</t>
  </si>
  <si>
    <t>ديوانة</t>
  </si>
  <si>
    <t>Jamerga</t>
  </si>
  <si>
    <t>جةمركة</t>
  </si>
  <si>
    <t>Koran Nwee</t>
  </si>
  <si>
    <t>كوران نوي</t>
  </si>
  <si>
    <t>Pasha City</t>
  </si>
  <si>
    <t>باشا ستى</t>
  </si>
  <si>
    <t>Raparin-Bawa Mrda</t>
  </si>
  <si>
    <t>رابرين-باوه مرده</t>
  </si>
  <si>
    <t>Al Askaree</t>
  </si>
  <si>
    <t>مجمع الاخاء السكني</t>
  </si>
  <si>
    <t>Al Sadir 2-571</t>
  </si>
  <si>
    <t>الصدر-571</t>
  </si>
  <si>
    <t>Darashakran</t>
  </si>
  <si>
    <t>داره شكران</t>
  </si>
  <si>
    <t>Kawergosk</t>
  </si>
  <si>
    <t>كوركوسك</t>
  </si>
  <si>
    <t>Delzyan</t>
  </si>
  <si>
    <t>دلزيان</t>
  </si>
  <si>
    <t>Hamya</t>
  </si>
  <si>
    <t>حاميه</t>
  </si>
  <si>
    <t>Hay Klisa 1</t>
  </si>
  <si>
    <t>حي كليسة 1</t>
  </si>
  <si>
    <t>Hay Runaki / Daquq</t>
  </si>
  <si>
    <t>حي روناكي \ داقوق</t>
  </si>
  <si>
    <t>Hay Al qadissiyah</t>
  </si>
  <si>
    <t>Zangal</t>
  </si>
  <si>
    <t>زنكل</t>
  </si>
  <si>
    <t>Harim</t>
  </si>
  <si>
    <t>Khabat 306+304+308</t>
  </si>
  <si>
    <t>خبات 306+304+308</t>
  </si>
  <si>
    <t>Mama yara 307+ 309</t>
  </si>
  <si>
    <t>مامة يارا 307+309</t>
  </si>
  <si>
    <t>Rozhlat 305</t>
  </si>
  <si>
    <t>روزهلات 305</t>
  </si>
  <si>
    <t>Al Homerat Vellage</t>
  </si>
  <si>
    <t>قرية الحميرات</t>
  </si>
  <si>
    <t>Al-Abassy center</t>
  </si>
  <si>
    <t>مركز العباسي</t>
  </si>
  <si>
    <t>Hawi Albsat</t>
  </si>
  <si>
    <t>مقاطعة 27 حاوى البساط</t>
  </si>
  <si>
    <t>Hotel/Motel or short-term rental</t>
  </si>
  <si>
    <t>Long term rental accommodation</t>
  </si>
  <si>
    <t>تيراوه</t>
  </si>
  <si>
    <t>Hay Al Entesar</t>
  </si>
  <si>
    <t>Al-Salhiya village</t>
  </si>
  <si>
    <t>قرية الصالحية</t>
  </si>
  <si>
    <t>Markaz AL-Hatra</t>
  </si>
  <si>
    <t>مركز الحضر</t>
  </si>
  <si>
    <t>Chwarta</t>
  </si>
  <si>
    <t>جوارتا</t>
  </si>
  <si>
    <t>Al Sajad Alshimaly</t>
  </si>
  <si>
    <t>السجاد الشمالي</t>
  </si>
  <si>
    <t>Hay Nadir 2</t>
  </si>
  <si>
    <t>نادر 2</t>
  </si>
  <si>
    <t>خرنابات الجنوبيه</t>
  </si>
  <si>
    <t>Al Hussainiya-209</t>
  </si>
  <si>
    <t>الحسينية-209</t>
  </si>
  <si>
    <t>Al Hussainiya-211</t>
  </si>
  <si>
    <t>الحسينية-211</t>
  </si>
  <si>
    <t>Al Shaab-331</t>
  </si>
  <si>
    <t>الشعب-331</t>
  </si>
  <si>
    <t>Latifiya 1 &amp; 2 Camp</t>
  </si>
  <si>
    <t>Al Rumilah Al Shamaliyah</t>
  </si>
  <si>
    <t>البصرة-الزبير-الرميلة الشمالية</t>
  </si>
  <si>
    <t>Barchi</t>
  </si>
  <si>
    <t>برجي</t>
  </si>
  <si>
    <t>Bebade</t>
  </si>
  <si>
    <t>بيبادي</t>
  </si>
  <si>
    <t>Benata</t>
  </si>
  <si>
    <t>بيناتا</t>
  </si>
  <si>
    <t>Blijanke</t>
  </si>
  <si>
    <t>بليجانكي</t>
  </si>
  <si>
    <t>Chalke</t>
  </si>
  <si>
    <t>جلكي</t>
  </si>
  <si>
    <t>Dawadia Camp</t>
  </si>
  <si>
    <t>Dawodia Village</t>
  </si>
  <si>
    <t>قرية داودية</t>
  </si>
  <si>
    <t>Dhe</t>
  </si>
  <si>
    <t>دهي</t>
  </si>
  <si>
    <t>Ghlbish</t>
  </si>
  <si>
    <t>غلبيش</t>
  </si>
  <si>
    <t>Goharze</t>
  </si>
  <si>
    <t>كوهرزي</t>
  </si>
  <si>
    <t>همزا</t>
  </si>
  <si>
    <t>Hamzike</t>
  </si>
  <si>
    <t>همزيكي</t>
  </si>
  <si>
    <t>Kanika</t>
  </si>
  <si>
    <t>كانيكا</t>
  </si>
  <si>
    <t>Merstak</t>
  </si>
  <si>
    <t>ميرستك</t>
  </si>
  <si>
    <t>Nahla Area</t>
  </si>
  <si>
    <t>منطقة نهلة</t>
  </si>
  <si>
    <t>Sayidava</t>
  </si>
  <si>
    <t>سيدافا</t>
  </si>
  <si>
    <t>Shekh Mama</t>
  </si>
  <si>
    <t>شيخ مما</t>
  </si>
  <si>
    <t>Ska</t>
  </si>
  <si>
    <t>سكة</t>
  </si>
  <si>
    <t>Spindare</t>
  </si>
  <si>
    <t>سبيندارى</t>
  </si>
  <si>
    <t>Baroshka Saadin</t>
  </si>
  <si>
    <t>بروشكا سعدين</t>
  </si>
  <si>
    <t>امينكي</t>
  </si>
  <si>
    <t>Shorash (Al Jamyah)</t>
  </si>
  <si>
    <t>شورش (الجمعية)</t>
  </si>
  <si>
    <t>Bajit Kandala</t>
  </si>
  <si>
    <t>باجت كندال</t>
  </si>
  <si>
    <t>باختمي</t>
  </si>
  <si>
    <t>Bajika</t>
  </si>
  <si>
    <t>باجيكا</t>
  </si>
  <si>
    <t>Bakorman</t>
  </si>
  <si>
    <t>باكورمان</t>
  </si>
  <si>
    <t>Berseve 1 Camp</t>
  </si>
  <si>
    <t>Berseve 2 Camp</t>
  </si>
  <si>
    <t>Bersive</t>
  </si>
  <si>
    <t>بيرسفي</t>
  </si>
  <si>
    <t>Darhozan</t>
  </si>
  <si>
    <t>دارهوزان</t>
  </si>
  <si>
    <t>Gofk</t>
  </si>
  <si>
    <t>كوفك</t>
  </si>
  <si>
    <t>Grksindi</t>
  </si>
  <si>
    <t>كركسندي</t>
  </si>
  <si>
    <t>Hizawa</t>
  </si>
  <si>
    <t>هيزاوا</t>
  </si>
  <si>
    <t>Shinava</t>
  </si>
  <si>
    <t>شينافا</t>
  </si>
  <si>
    <t>Spindarook</t>
  </si>
  <si>
    <t>سبينداروك</t>
  </si>
  <si>
    <t>Tiyan</t>
  </si>
  <si>
    <t>تيان</t>
  </si>
  <si>
    <t>Baharka</t>
  </si>
  <si>
    <t>مخيم بحركه</t>
  </si>
  <si>
    <t>Harshm *</t>
  </si>
  <si>
    <t>مخيم هرشم</t>
  </si>
  <si>
    <t>Debaga 1</t>
  </si>
  <si>
    <t>مخيم ديبكه 1</t>
  </si>
  <si>
    <t>Debaga 2</t>
  </si>
  <si>
    <t>مخيم ديبكه 2</t>
  </si>
  <si>
    <t>Badat Shareef Al Gharbiyah</t>
  </si>
  <si>
    <t>بدعة شريف الغربية</t>
  </si>
  <si>
    <t>Shuihadaa Al Amam Ali</t>
  </si>
  <si>
    <t>شهداء الامام علي</t>
  </si>
  <si>
    <t>Hay Al-Salam ( Daquq )</t>
  </si>
  <si>
    <t>حي السلام ( داقوق )</t>
  </si>
  <si>
    <t>Hay Nawroz ( Daquq)</t>
  </si>
  <si>
    <t>حي نوروز ( داقوق )</t>
  </si>
  <si>
    <t>Al-haydariyah</t>
  </si>
  <si>
    <t>الحيدريه</t>
  </si>
  <si>
    <t>Hay Al Mualmeen</t>
  </si>
  <si>
    <t>Al-Jihad 2</t>
  </si>
  <si>
    <t>الجهاد 2</t>
  </si>
  <si>
    <t>As Salamyiah 1</t>
  </si>
  <si>
    <t>As Salamyiah 2</t>
  </si>
  <si>
    <t>As Salamyiah Nimrud</t>
  </si>
  <si>
    <t>Hasansham U2</t>
  </si>
  <si>
    <t>Hasansham U3</t>
  </si>
  <si>
    <t>Khazer M1</t>
  </si>
  <si>
    <t>Essian Camp</t>
  </si>
  <si>
    <t>Mamrashan Camp</t>
  </si>
  <si>
    <t>Al-rogaae Al-shrqia Village</t>
  </si>
  <si>
    <t>قرية الركعي الشرقية</t>
  </si>
  <si>
    <t>Mmdoh Al-hassan Village</t>
  </si>
  <si>
    <t>قرية ممدوح الحسان</t>
  </si>
  <si>
    <t>Rmothaniat Al-rdin Village</t>
  </si>
  <si>
    <t>قرية رمضانيات الردن</t>
  </si>
  <si>
    <t>Ahmedat Village</t>
  </si>
  <si>
    <t>قرية حميدات</t>
  </si>
  <si>
    <t>Al-Shahed Adnan</t>
  </si>
  <si>
    <t>الشهيد عدنان</t>
  </si>
  <si>
    <t>Al-Thalja Village</t>
  </si>
  <si>
    <t>قرية الثلجة</t>
  </si>
  <si>
    <t>Alzanazil Village</t>
  </si>
  <si>
    <t>قرية الزنازل</t>
  </si>
  <si>
    <t>Haj Ali</t>
  </si>
  <si>
    <t>Hamam Al Alil 1</t>
  </si>
  <si>
    <t>مخيم حمام العليل 1</t>
  </si>
  <si>
    <t>Hamam Al Alil 2</t>
  </si>
  <si>
    <t>Qayyarah-Jadah 1</t>
  </si>
  <si>
    <t>مخيم القيارة-الجدعة</t>
  </si>
  <si>
    <t>Qayyarah-Jadah 2</t>
  </si>
  <si>
    <t>مخيم القيارة-الجدعة 2</t>
  </si>
  <si>
    <t>Qayyarah-Jadah 3</t>
  </si>
  <si>
    <t>مخيم القيارة-الجدعة 3</t>
  </si>
  <si>
    <t>Qayyarah-Jadah 4</t>
  </si>
  <si>
    <t>مخيم القيارة-الجدعة 4</t>
  </si>
  <si>
    <t>Qayyarah-Jadah 5</t>
  </si>
  <si>
    <t>مخيم القيارة-الجدعة 5</t>
  </si>
  <si>
    <t>Qayyarah-Jadah 6</t>
  </si>
  <si>
    <t>مخيم القيارة-الجدعة 6</t>
  </si>
  <si>
    <t>Garmawa</t>
  </si>
  <si>
    <t>Raparine-Arya</t>
  </si>
  <si>
    <t>رابرين-اريا</t>
  </si>
  <si>
    <t>Raparine-Azadi</t>
  </si>
  <si>
    <t>Raparine-Goran</t>
  </si>
  <si>
    <t>رابرين-كوران</t>
  </si>
  <si>
    <t>Raparine-Mahwey</t>
  </si>
  <si>
    <t>رابرين-محوي</t>
  </si>
  <si>
    <t>Raparine-Piramerd</t>
  </si>
  <si>
    <t>رابرين-بيرةميرد</t>
  </si>
  <si>
    <t>Raparine-Salim</t>
  </si>
  <si>
    <t>رابرين-سالم</t>
  </si>
  <si>
    <t>Raparine-Soran</t>
  </si>
  <si>
    <t>رابرين-سوران</t>
  </si>
  <si>
    <t>Raparine-Zanko</t>
  </si>
  <si>
    <t>رابرين-زانكو</t>
  </si>
  <si>
    <t>Sewsenan</t>
  </si>
  <si>
    <t>سيوسينان</t>
  </si>
  <si>
    <t>الخماس الثانية</t>
  </si>
  <si>
    <t>الخماس الثالثة</t>
  </si>
  <si>
    <t>DTM : IDP Master List 31-12-2018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</si>
</sst>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10409]#,###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rgb="FF4682B4"/>
      <name val="Arial Narrow"/>
      <family val="2"/>
    </font>
    <font>
      <b/>
      <sz val="10"/>
      <color rgb="FF000000"/>
      <name val="Arial Narrow"/>
      <family val="2"/>
    </font>
    <font>
      <b/>
      <sz val="10"/>
      <color rgb="FFFFFFFF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rgb="FF0070C0"/>
      <name val="Arial Narrow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8000"/>
        <bgColor rgb="FF008000"/>
      </patternFill>
    </fill>
    <fill>
      <patternFill patternType="solid">
        <fgColor rgb="FF0000FF"/>
        <bgColor rgb="FF0000FF"/>
      </patternFill>
    </fill>
    <fill>
      <patternFill patternType="solid">
        <fgColor rgb="FF800000"/>
        <bgColor rgb="FF800000"/>
      </patternFill>
    </fill>
    <fill>
      <patternFill patternType="solid">
        <fgColor rgb="FF000080"/>
        <bgColor rgb="FF000080"/>
      </patternFill>
    </fill>
    <fill>
      <patternFill patternType="solid">
        <fgColor rgb="FF92D050"/>
        <bgColor rgb="FF800000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CDCDC"/>
      </left>
      <right/>
      <top style="thin">
        <color rgb="FFDCDCDC"/>
      </top>
      <bottom style="thin">
        <color rgb="FFD3D3D3"/>
      </bottom>
      <diagonal/>
    </border>
    <border>
      <left/>
      <right style="thin">
        <color rgb="FFDCDCDC"/>
      </right>
      <top style="thin">
        <color rgb="FFDCDCDC"/>
      </top>
      <bottom style="thin">
        <color rgb="FFD3D3D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">
    <xf numFmtId="0" fontId="0" fillId="0" borderId="0"/>
    <xf numFmtId="0" fontId="2" fillId="0" borderId="0"/>
    <xf numFmtId="0" fontId="9" fillId="0" borderId="0">
      <alignment wrapText="1"/>
    </xf>
    <xf numFmtId="0" fontId="2" fillId="0" borderId="0"/>
    <xf numFmtId="0" fontId="2" fillId="0" borderId="0"/>
    <xf numFmtId="0" fontId="2" fillId="0" borderId="0"/>
    <xf numFmtId="0" fontId="10" fillId="0" borderId="4" applyFont="0">
      <alignment horizontal="center"/>
    </xf>
    <xf numFmtId="0" fontId="11" fillId="0" borderId="5">
      <alignment horizontal="center"/>
    </xf>
    <xf numFmtId="0" fontId="9" fillId="0" borderId="0">
      <alignment wrapText="1"/>
    </xf>
    <xf numFmtId="0" fontId="1" fillId="7" borderId="0" applyNumberFormat="0" applyBorder="0" applyAlignment="0" applyProtection="0"/>
  </cellStyleXfs>
  <cellXfs count="73">
    <xf numFmtId="0" fontId="3" fillId="0" borderId="0" xfId="0" applyFont="1" applyFill="1" applyBorder="1"/>
    <xf numFmtId="0" fontId="7" fillId="0" borderId="1" xfId="0" applyNumberFormat="1" applyFont="1" applyFill="1" applyBorder="1" applyAlignment="1">
      <alignment vertical="top" wrapText="1" readingOrder="1"/>
    </xf>
    <xf numFmtId="164" fontId="7" fillId="0" borderId="1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164" fontId="5" fillId="0" borderId="3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164" fontId="5" fillId="0" borderId="1" xfId="0" applyNumberFormat="1" applyFont="1" applyFill="1" applyBorder="1" applyAlignment="1">
      <alignment vertical="top" wrapText="1" readingOrder="1"/>
    </xf>
    <xf numFmtId="0" fontId="3" fillId="0" borderId="0" xfId="0" applyFont="1" applyFill="1" applyBorder="1"/>
    <xf numFmtId="164" fontId="8" fillId="0" borderId="1" xfId="0" applyNumberFormat="1" applyFont="1" applyFill="1" applyBorder="1" applyAlignment="1">
      <alignment vertical="top" wrapText="1" readingOrder="1"/>
    </xf>
    <xf numFmtId="0" fontId="3" fillId="0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164" fontId="12" fillId="0" borderId="6" xfId="0" applyNumberFormat="1" applyFont="1" applyFill="1" applyBorder="1" applyAlignment="1">
      <alignment horizontal="center" vertical="top" wrapText="1" readingOrder="1"/>
    </xf>
    <xf numFmtId="0" fontId="6" fillId="5" borderId="1" xfId="0" applyNumberFormat="1" applyFont="1" applyFill="1" applyBorder="1" applyAlignment="1">
      <alignment horizontal="center" vertical="top" wrapText="1" readingOrder="1"/>
    </xf>
    <xf numFmtId="0" fontId="6" fillId="2" borderId="1" xfId="0" applyNumberFormat="1" applyFont="1" applyFill="1" applyBorder="1" applyAlignment="1">
      <alignment horizontal="center" vertical="top" wrapText="1" readingOrder="1"/>
    </xf>
    <xf numFmtId="0" fontId="6" fillId="3" borderId="1" xfId="0" applyNumberFormat="1" applyFont="1" applyFill="1" applyBorder="1" applyAlignment="1">
      <alignment horizontal="center" vertical="top" wrapText="1" readingOrder="1"/>
    </xf>
    <xf numFmtId="0" fontId="6" fillId="6" borderId="1" xfId="0" applyNumberFormat="1" applyFont="1" applyFill="1" applyBorder="1" applyAlignment="1">
      <alignment horizontal="center" vertical="top" wrapText="1" readingOrder="1"/>
    </xf>
    <xf numFmtId="0" fontId="6" fillId="5" borderId="7" xfId="0" applyNumberFormat="1" applyFont="1" applyFill="1" applyBorder="1" applyAlignment="1">
      <alignment vertical="center" readingOrder="1"/>
    </xf>
    <xf numFmtId="0" fontId="6" fillId="5" borderId="3" xfId="0" applyNumberFormat="1" applyFont="1" applyFill="1" applyBorder="1" applyAlignment="1">
      <alignment horizontal="center" vertical="center" readingOrder="1"/>
    </xf>
    <xf numFmtId="0" fontId="7" fillId="0" borderId="6" xfId="0" applyNumberFormat="1" applyFont="1" applyFill="1" applyBorder="1" applyAlignment="1">
      <alignment horizontal="center" vertical="top" readingOrder="1"/>
    </xf>
    <xf numFmtId="0" fontId="7" fillId="0" borderId="6" xfId="0" applyNumberFormat="1" applyFont="1" applyFill="1" applyBorder="1" applyAlignment="1">
      <alignment vertical="top" readingOrder="1"/>
    </xf>
    <xf numFmtId="164" fontId="7" fillId="0" borderId="6" xfId="0" applyNumberFormat="1" applyFont="1" applyFill="1" applyBorder="1" applyAlignment="1">
      <alignment vertical="top" readingOrder="1"/>
    </xf>
    <xf numFmtId="164" fontId="7" fillId="0" borderId="6" xfId="0" applyNumberFormat="1" applyFont="1" applyFill="1" applyBorder="1" applyAlignment="1">
      <alignment horizontal="center" vertical="top" readingOrder="1"/>
    </xf>
    <xf numFmtId="49" fontId="6" fillId="4" borderId="1" xfId="0" applyNumberFormat="1" applyFont="1" applyFill="1" applyBorder="1" applyAlignment="1">
      <alignment horizontal="center" vertical="top" wrapText="1" readingOrder="1"/>
    </xf>
    <xf numFmtId="0" fontId="3" fillId="0" borderId="0" xfId="0" applyFont="1" applyFill="1" applyBorder="1"/>
    <xf numFmtId="0" fontId="7" fillId="0" borderId="1" xfId="0" applyNumberFormat="1" applyFont="1" applyFill="1" applyBorder="1" applyAlignment="1">
      <alignment vertical="top" wrapText="1" readingOrder="1"/>
    </xf>
    <xf numFmtId="0" fontId="3" fillId="0" borderId="0" xfId="0" applyFont="1" applyFill="1" applyBorder="1"/>
    <xf numFmtId="0" fontId="7" fillId="0" borderId="3" xfId="0" applyNumberFormat="1" applyFont="1" applyFill="1" applyBorder="1" applyAlignment="1">
      <alignment vertical="top" wrapText="1" readingOrder="1"/>
    </xf>
    <xf numFmtId="164" fontId="7" fillId="0" borderId="3" xfId="0" applyNumberFormat="1" applyFont="1" applyFill="1" applyBorder="1" applyAlignment="1">
      <alignment vertical="top" wrapText="1" readingOrder="1"/>
    </xf>
    <xf numFmtId="0" fontId="6" fillId="5" borderId="11" xfId="0" applyNumberFormat="1" applyFont="1" applyFill="1" applyBorder="1" applyAlignment="1">
      <alignment horizontal="center" vertical="center" wrapText="1" readingOrder="1"/>
    </xf>
    <xf numFmtId="0" fontId="6" fillId="5" borderId="11" xfId="0" applyNumberFormat="1" applyFont="1" applyFill="1" applyBorder="1" applyAlignment="1">
      <alignment horizontal="center" vertical="top" wrapText="1" readingOrder="1"/>
    </xf>
    <xf numFmtId="0" fontId="6" fillId="5" borderId="11" xfId="0" applyNumberFormat="1" applyFont="1" applyFill="1" applyBorder="1" applyAlignment="1">
      <alignment horizontal="center" wrapText="1" readingOrder="1"/>
    </xf>
    <xf numFmtId="49" fontId="6" fillId="5" borderId="11" xfId="0" applyNumberFormat="1" applyFont="1" applyFill="1" applyBorder="1" applyAlignment="1">
      <alignment horizontal="center" wrapText="1" readingOrder="1"/>
    </xf>
    <xf numFmtId="0" fontId="6" fillId="5" borderId="15" xfId="0" applyNumberFormat="1" applyFont="1" applyFill="1" applyBorder="1" applyAlignment="1">
      <alignment horizontal="center" vertical="center" wrapText="1" readingOrder="1"/>
    </xf>
    <xf numFmtId="0" fontId="6" fillId="5" borderId="14" xfId="0" applyNumberFormat="1" applyFont="1" applyFill="1" applyBorder="1" applyAlignment="1">
      <alignment horizontal="center" vertical="center" wrapText="1" readingOrder="1"/>
    </xf>
    <xf numFmtId="0" fontId="6" fillId="5" borderId="11" xfId="0" applyNumberFormat="1" applyFont="1" applyFill="1" applyBorder="1" applyAlignment="1">
      <alignment horizontal="center" vertical="center" wrapText="1" readingOrder="1"/>
    </xf>
    <xf numFmtId="0" fontId="6" fillId="4" borderId="2" xfId="0" applyNumberFormat="1" applyFont="1" applyFill="1" applyBorder="1" applyAlignment="1">
      <alignment horizontal="center" vertical="center" wrapText="1" readingOrder="1"/>
    </xf>
    <xf numFmtId="0" fontId="7" fillId="0" borderId="8" xfId="0" applyNumberFormat="1" applyFont="1" applyFill="1" applyBorder="1" applyAlignment="1">
      <alignment vertical="top" wrapText="1" readingOrder="1"/>
    </xf>
    <xf numFmtId="0" fontId="7" fillId="0" borderId="2" xfId="0" applyNumberFormat="1" applyFont="1" applyFill="1" applyBorder="1" applyAlignment="1">
      <alignment vertical="top" wrapText="1" readingOrder="1"/>
    </xf>
    <xf numFmtId="0" fontId="7" fillId="0" borderId="12" xfId="0" applyNumberFormat="1" applyFont="1" applyFill="1" applyBorder="1" applyAlignment="1">
      <alignment vertical="top" wrapText="1" readingOrder="1"/>
    </xf>
    <xf numFmtId="0" fontId="7" fillId="0" borderId="13" xfId="0" applyNumberFormat="1" applyFont="1" applyFill="1" applyBorder="1" applyAlignment="1">
      <alignment vertical="top" wrapText="1" readingOrder="1"/>
    </xf>
    <xf numFmtId="49" fontId="7" fillId="0" borderId="8" xfId="0" applyNumberFormat="1" applyFont="1" applyFill="1" applyBorder="1" applyAlignment="1">
      <alignment vertical="top" wrapText="1" readingOrder="1"/>
    </xf>
    <xf numFmtId="49" fontId="7" fillId="0" borderId="2" xfId="0" applyNumberFormat="1" applyFont="1" applyFill="1" applyBorder="1" applyAlignment="1">
      <alignment vertical="top" wrapText="1" readingOrder="1"/>
    </xf>
    <xf numFmtId="0" fontId="3" fillId="8" borderId="0" xfId="0" applyFont="1" applyFill="1" applyBorder="1"/>
    <xf numFmtId="0" fontId="6" fillId="5" borderId="17" xfId="0" applyNumberFormat="1" applyFont="1" applyFill="1" applyBorder="1" applyAlignment="1">
      <alignment horizontal="center" vertical="top" wrapText="1" readingOrder="1"/>
    </xf>
    <xf numFmtId="0" fontId="3" fillId="0" borderId="17" xfId="0" applyFont="1" applyFill="1" applyBorder="1"/>
    <xf numFmtId="3" fontId="3" fillId="0" borderId="17" xfId="0" applyNumberFormat="1" applyFont="1" applyFill="1" applyBorder="1"/>
    <xf numFmtId="0" fontId="13" fillId="8" borderId="0" xfId="0" applyFont="1" applyFill="1" applyBorder="1"/>
    <xf numFmtId="9" fontId="1" fillId="8" borderId="3" xfId="9" applyNumberFormat="1" applyFill="1" applyBorder="1" applyAlignment="1">
      <alignment vertical="top" wrapText="1" readingOrder="1"/>
    </xf>
    <xf numFmtId="9" fontId="1" fillId="8" borderId="1" xfId="9" applyNumberFormat="1" applyFill="1" applyBorder="1" applyAlignment="1">
      <alignment vertical="top" wrapText="1" readingOrder="1"/>
    </xf>
    <xf numFmtId="0" fontId="14" fillId="8" borderId="0" xfId="0" applyFont="1" applyFill="1" applyBorder="1"/>
    <xf numFmtId="0" fontId="3" fillId="0" borderId="0" xfId="0" pivotButton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/>
    <xf numFmtId="0" fontId="13" fillId="0" borderId="0" xfId="0" applyFont="1" applyFill="1" applyBorder="1"/>
    <xf numFmtId="9" fontId="13" fillId="0" borderId="0" xfId="0" applyNumberFormat="1" applyFont="1" applyFill="1" applyBorder="1"/>
    <xf numFmtId="0" fontId="15" fillId="0" borderId="0" xfId="0" applyFont="1" applyFill="1" applyBorder="1"/>
    <xf numFmtId="0" fontId="15" fillId="8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  <xf numFmtId="0" fontId="6" fillId="4" borderId="8" xfId="0" applyNumberFormat="1" applyFont="1" applyFill="1" applyBorder="1" applyAlignment="1">
      <alignment horizontal="center" vertical="center" wrapText="1" readingOrder="1"/>
    </xf>
    <xf numFmtId="0" fontId="6" fillId="4" borderId="16" xfId="0" applyNumberFormat="1" applyFont="1" applyFill="1" applyBorder="1" applyAlignment="1">
      <alignment horizontal="center" vertical="center" wrapText="1" readingOrder="1"/>
    </xf>
    <xf numFmtId="0" fontId="6" fillId="4" borderId="2" xfId="0" applyNumberFormat="1" applyFont="1" applyFill="1" applyBorder="1" applyAlignment="1">
      <alignment horizontal="center" vertical="center" wrapText="1" readingOrder="1"/>
    </xf>
    <xf numFmtId="0" fontId="6" fillId="6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6" fillId="5" borderId="1" xfId="0" applyNumberFormat="1" applyFont="1" applyFill="1" applyBorder="1" applyAlignment="1">
      <alignment horizontal="center" vertical="top" wrapText="1" readingOrder="1"/>
    </xf>
    <xf numFmtId="0" fontId="6" fillId="5" borderId="9" xfId="0" applyNumberFormat="1" applyFont="1" applyFill="1" applyBorder="1" applyAlignment="1">
      <alignment horizontal="center" vertical="top" wrapText="1" readingOrder="1"/>
    </xf>
    <xf numFmtId="0" fontId="6" fillId="5" borderId="10" xfId="0" applyNumberFormat="1" applyFont="1" applyFill="1" applyBorder="1" applyAlignment="1">
      <alignment horizontal="center"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vertical="top" wrapText="1"/>
    </xf>
    <xf numFmtId="0" fontId="6" fillId="5" borderId="11" xfId="0" applyNumberFormat="1" applyFont="1" applyFill="1" applyBorder="1" applyAlignment="1">
      <alignment horizontal="center" vertical="center" wrapText="1" readingOrder="1"/>
    </xf>
    <xf numFmtId="0" fontId="3" fillId="0" borderId="11" xfId="0" applyNumberFormat="1" applyFont="1" applyFill="1" applyBorder="1" applyAlignment="1">
      <alignment vertical="top" wrapText="1"/>
    </xf>
    <xf numFmtId="0" fontId="6" fillId="5" borderId="11" xfId="0" applyNumberFormat="1" applyFont="1" applyFill="1" applyBorder="1" applyAlignment="1">
      <alignment horizontal="center" vertical="top" wrapText="1" readingOrder="1"/>
    </xf>
  </cellXfs>
  <cellStyles count="10">
    <cellStyle name="60% - Accent1" xfId="9" builtinId="32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Normal 4" xfId="2" xr:uid="{00000000-0005-0000-0000-000005000000}"/>
    <cellStyle name="Normal 5" xfId="8" xr:uid="{00000000-0005-0000-0000-000006000000}"/>
    <cellStyle name="Normal 6" xfId="1" xr:uid="{00000000-0005-0000-0000-000007000000}"/>
    <cellStyle name="Style 1" xfId="6" xr:uid="{00000000-0005-0000-0000-000008000000}"/>
    <cellStyle name="Style 3" xfId="7" xr:uid="{00000000-0005-0000-0000-00000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696969"/>
      <rgbColor rgb="00008000"/>
      <rgbColor rgb="00FFFFFF"/>
      <rgbColor rgb="000000FF"/>
      <rgbColor rgb="00800000"/>
      <rgbColor rgb="00000080"/>
      <rgbColor rgb="00DCDCDC"/>
      <rgbColor rgb="0000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25B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bg1">
                    <a:lumMod val="50000"/>
                  </a:schemeClr>
                </a:solidFill>
              </a:rPr>
              <a:t>Period of Displacement by Individuals</a:t>
            </a:r>
          </a:p>
        </c:rich>
      </c:tx>
      <c:layout>
        <c:manualLayout>
          <c:xMode val="edge"/>
          <c:yMode val="edge"/>
          <c:x val="8.0405163641189396E-4"/>
          <c:y val="3.3370042031459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v>Individuals</c:v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Summary!$D$2:$D$9</c:f>
              <c:strCache>
                <c:ptCount val="8"/>
                <c:pt idx="0">
                  <c:v>Pre-June14 </c:v>
                </c:pt>
                <c:pt idx="1">
                  <c:v>June-July14 </c:v>
                </c:pt>
                <c:pt idx="2">
                  <c:v>August14</c:v>
                </c:pt>
                <c:pt idx="3">
                  <c:v>Post September14 </c:v>
                </c:pt>
                <c:pt idx="4">
                  <c:v>Post April15 </c:v>
                </c:pt>
                <c:pt idx="5">
                  <c:v>Post Mar2016</c:v>
                </c:pt>
                <c:pt idx="6">
                  <c:v>Post 17Oct2016</c:v>
                </c:pt>
                <c:pt idx="7">
                  <c:v>July 17</c:v>
                </c:pt>
              </c:strCache>
            </c:strRef>
          </c:cat>
          <c:val>
            <c:numRef>
              <c:f>Summary!$H$2:$H$9</c:f>
              <c:numCache>
                <c:formatCode>[$-10409]#,###</c:formatCode>
                <c:ptCount val="8"/>
                <c:pt idx="0">
                  <c:v>63810</c:v>
                </c:pt>
                <c:pt idx="1">
                  <c:v>308142</c:v>
                </c:pt>
                <c:pt idx="2">
                  <c:v>472644</c:v>
                </c:pt>
                <c:pt idx="3">
                  <c:v>135156</c:v>
                </c:pt>
                <c:pt idx="4">
                  <c:v>118140</c:v>
                </c:pt>
                <c:pt idx="5">
                  <c:v>79374</c:v>
                </c:pt>
                <c:pt idx="6">
                  <c:v>424944</c:v>
                </c:pt>
                <c:pt idx="7">
                  <c:v>200622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E4-44B1-8F6D-0FEAF5C4C37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5655359"/>
        <c:axId val="277144959"/>
        <c:extLst/>
      </c:barChart>
      <c:catAx>
        <c:axId val="5656553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144959"/>
        <c:crosses val="autoZero"/>
        <c:auto val="1"/>
        <c:lblAlgn val="ctr"/>
        <c:lblOffset val="100"/>
        <c:noMultiLvlLbl val="0"/>
      </c:catAx>
      <c:valAx>
        <c:axId val="27714495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[$-10409]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655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97662539657289"/>
          <c:y val="0"/>
          <c:w val="0.97594180357084992"/>
          <c:h val="0.95242516369404318"/>
        </c:manualLayout>
      </c:layout>
      <c:doughnutChart>
        <c:varyColors val="1"/>
        <c:ser>
          <c:idx val="0"/>
          <c:order val="0"/>
          <c:tx>
            <c:strRef>
              <c:f>Summary!$H$13</c:f>
              <c:strCache>
                <c:ptCount val="1"/>
                <c:pt idx="0">
                  <c:v>Long term rental accommodation</c:v>
                </c:pt>
              </c:strCache>
            </c:strRef>
          </c:tx>
          <c:spPr>
            <a:solidFill>
              <a:schemeClr val="bg1">
                <a:lumMod val="85000"/>
                <a:alpha val="87000"/>
              </a:schemeClr>
            </a:solidFill>
            <a:ln>
              <a:solidFill>
                <a:schemeClr val="bg1">
                  <a:alpha val="96000"/>
                </a:schemeClr>
              </a:solidFill>
            </a:ln>
          </c:spPr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bg1">
                    <a:alpha val="96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2D-445B-80C9-9DDD9A2DC27E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  <a:alpha val="87000"/>
                </a:schemeClr>
              </a:solidFill>
              <a:ln w="19050">
                <a:solidFill>
                  <a:schemeClr val="bg1">
                    <a:alpha val="96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2D-445B-80C9-9DDD9A2DC27E}"/>
              </c:ext>
            </c:extLst>
          </c:dPt>
          <c:cat>
            <c:strRef>
              <c:f>Summary!$B$13</c:f>
              <c:strCache>
                <c:ptCount val="1"/>
                <c:pt idx="0">
                  <c:v>Camp</c:v>
                </c:pt>
              </c:strCache>
            </c:strRef>
          </c:cat>
          <c:val>
            <c:numRef>
              <c:f>Summary!$H$33:$H$34</c:f>
              <c:numCache>
                <c:formatCode>0%</c:formatCode>
                <c:ptCount val="2"/>
                <c:pt idx="0">
                  <c:v>0.51258686333501957</c:v>
                </c:pt>
                <c:pt idx="1">
                  <c:v>0.48741313666498043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2D-445B-80C9-9DDD9A2DC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97662539657289"/>
          <c:y val="0"/>
          <c:w val="0.97594180357084992"/>
          <c:h val="0.95242516369404318"/>
        </c:manualLayout>
      </c:layout>
      <c:doughnutChart>
        <c:varyColors val="1"/>
        <c:ser>
          <c:idx val="0"/>
          <c:order val="0"/>
          <c:tx>
            <c:v>SchoolBuilding</c:v>
          </c:tx>
          <c:spPr>
            <a:solidFill>
              <a:schemeClr val="bg1">
                <a:lumMod val="85000"/>
              </a:schemeClr>
            </a:solidFill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90-4239-8054-4194E91AE927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90-4239-8054-4194E91AE927}"/>
              </c:ext>
            </c:extLst>
          </c:dPt>
          <c:val>
            <c:numRef>
              <c:f>Summary!$I$33:$I$34</c:f>
              <c:numCache>
                <c:formatCode>0%</c:formatCode>
                <c:ptCount val="2"/>
                <c:pt idx="0">
                  <c:v>2.8688197236348147E-3</c:v>
                </c:pt>
                <c:pt idx="1">
                  <c:v>0.99713118027636516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7E-4F4C-9484-594369CC0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97662539657289"/>
          <c:y val="0"/>
          <c:w val="0.97594180357084992"/>
          <c:h val="0.95242516369404318"/>
        </c:manualLayout>
      </c:layout>
      <c:doughnutChart>
        <c:varyColors val="1"/>
        <c:ser>
          <c:idx val="0"/>
          <c:order val="0"/>
          <c:tx>
            <c:strRef>
              <c:f>Summary!$I$13</c:f>
              <c:strCache>
                <c:ptCount val="1"/>
                <c:pt idx="0">
                  <c:v>School building</c:v>
                </c:pt>
              </c:strCache>
            </c:strRef>
          </c:tx>
          <c:spPr>
            <a:solidFill>
              <a:srgbClr val="00B050"/>
            </a:solidFill>
          </c:spPr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39-4D8B-BBC6-2D1AC5C700D0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261-49EB-A889-6A29526290B2}"/>
              </c:ext>
            </c:extLst>
          </c:dPt>
          <c:val>
            <c:numRef>
              <c:f>Summary!$J$33:$J$34</c:f>
              <c:numCache>
                <c:formatCode>0%</c:formatCode>
                <c:ptCount val="2"/>
                <c:pt idx="0">
                  <c:v>4.0819111264943156E-2</c:v>
                </c:pt>
                <c:pt idx="1">
                  <c:v>0.9591808887350568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61-49EB-A889-6A2952629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97662539657289"/>
          <c:y val="0"/>
          <c:w val="0.97594180357084992"/>
          <c:h val="0.95242516369404318"/>
        </c:manualLayout>
      </c:layout>
      <c:doughnutChart>
        <c:varyColors val="1"/>
        <c:ser>
          <c:idx val="0"/>
          <c:order val="0"/>
          <c:tx>
            <c:strRef>
              <c:f>Summary!$K$13</c:f>
              <c:strCache>
                <c:ptCount val="1"/>
                <c:pt idx="0">
                  <c:v>Unknown shelter type</c:v>
                </c:pt>
              </c:strCache>
            </c:strRef>
          </c:tx>
          <c:spPr>
            <a:solidFill>
              <a:schemeClr val="bg1">
                <a:lumMod val="85000"/>
                <a:alpha val="87000"/>
              </a:schemeClr>
            </a:solidFill>
            <a:ln>
              <a:solidFill>
                <a:schemeClr val="bg1">
                  <a:alpha val="96000"/>
                </a:schemeClr>
              </a:solidFill>
            </a:ln>
          </c:spPr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bg1">
                    <a:alpha val="96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AD-4A0A-A071-891E913AB7CA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  <a:alpha val="87000"/>
                </a:schemeClr>
              </a:solidFill>
              <a:ln w="19050">
                <a:solidFill>
                  <a:schemeClr val="bg1">
                    <a:alpha val="96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AD-4A0A-A071-891E913AB7CA}"/>
              </c:ext>
            </c:extLst>
          </c:dPt>
          <c:cat>
            <c:strRef>
              <c:f>Summary!$B$13</c:f>
              <c:strCache>
                <c:ptCount val="1"/>
                <c:pt idx="0">
                  <c:v>Camp</c:v>
                </c:pt>
              </c:strCache>
            </c:strRef>
          </c:cat>
          <c:val>
            <c:numRef>
              <c:f>Summary!$K$33:$K$34</c:f>
              <c:numCache>
                <c:formatCode>0%</c:formatCode>
                <c:ptCount val="2"/>
                <c:pt idx="0">
                  <c:v>4.226683351526931E-4</c:v>
                </c:pt>
                <c:pt idx="1">
                  <c:v>0.9995773316648473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AD-4A0A-A071-891E913AB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[Round107_Master_List_IDP_2018-12-31_IOM_DTM.xlsx]IDPs by Governorate of Origin!PivotTable4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chemeClr val="bg1">
                    <a:lumMod val="50000"/>
                  </a:schemeClr>
                </a:solidFill>
              </a:rPr>
              <a:t>IDPs </a:t>
            </a:r>
            <a:r>
              <a:rPr lang="en-US" sz="1400" b="1" baseline="0">
                <a:solidFill>
                  <a:schemeClr val="bg1">
                    <a:lumMod val="50000"/>
                  </a:schemeClr>
                </a:solidFill>
              </a:rPr>
              <a:t>by Governorate of Origin</a:t>
            </a:r>
          </a:p>
        </c:rich>
      </c:tx>
      <c:layout>
        <c:manualLayout>
          <c:xMode val="edge"/>
          <c:yMode val="edge"/>
          <c:x val="2.8907744203881744E-2"/>
          <c:y val="1.81069935378641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22559470507525584"/>
          <c:y val="6.8941798941798943E-2"/>
          <c:w val="0.65180967164726122"/>
          <c:h val="0.893671485508755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'IDPs by Governorate of Origin'!$B$1</c:f>
              <c:strCache>
                <c:ptCount val="1"/>
                <c:pt idx="0">
                  <c:v>Sum of Anbar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Origin'!$B$2:$B$20</c:f>
              <c:numCache>
                <c:formatCode>General</c:formatCode>
                <c:ptCount val="18"/>
                <c:pt idx="0">
                  <c:v>8813</c:v>
                </c:pt>
                <c:pt idx="1">
                  <c:v>88</c:v>
                </c:pt>
                <c:pt idx="2">
                  <c:v>6987</c:v>
                </c:pt>
                <c:pt idx="3">
                  <c:v>252</c:v>
                </c:pt>
                <c:pt idx="4">
                  <c:v>55</c:v>
                </c:pt>
                <c:pt idx="5">
                  <c:v>191</c:v>
                </c:pt>
                <c:pt idx="6">
                  <c:v>11774</c:v>
                </c:pt>
                <c:pt idx="7">
                  <c:v>100</c:v>
                </c:pt>
                <c:pt idx="8">
                  <c:v>632</c:v>
                </c:pt>
                <c:pt idx="9">
                  <c:v>27</c:v>
                </c:pt>
                <c:pt idx="10">
                  <c:v>22</c:v>
                </c:pt>
                <c:pt idx="11">
                  <c:v>14</c:v>
                </c:pt>
                <c:pt idx="12">
                  <c:v>59</c:v>
                </c:pt>
                <c:pt idx="13">
                  <c:v>21</c:v>
                </c:pt>
                <c:pt idx="14">
                  <c:v>125</c:v>
                </c:pt>
                <c:pt idx="15">
                  <c:v>4262</c:v>
                </c:pt>
                <c:pt idx="16">
                  <c:v>103</c:v>
                </c:pt>
                <c:pt idx="17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9-4283-9FA4-C132257DA960}"/>
            </c:ext>
          </c:extLst>
        </c:ser>
        <c:ser>
          <c:idx val="1"/>
          <c:order val="1"/>
          <c:tx>
            <c:strRef>
              <c:f>'IDPs by Governorate of Origin'!$C$1</c:f>
              <c:strCache>
                <c:ptCount val="1"/>
                <c:pt idx="0">
                  <c:v>Sum of Babylon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Origin'!$C$2:$C$20</c:f>
              <c:numCache>
                <c:formatCode>General</c:formatCode>
                <c:ptCount val="18"/>
                <c:pt idx="0">
                  <c:v>1219</c:v>
                </c:pt>
                <c:pt idx="1">
                  <c:v>2534</c:v>
                </c:pt>
                <c:pt idx="2">
                  <c:v>813</c:v>
                </c:pt>
                <c:pt idx="3">
                  <c:v>23</c:v>
                </c:pt>
                <c:pt idx="4">
                  <c:v>0</c:v>
                </c:pt>
                <c:pt idx="5">
                  <c:v>98</c:v>
                </c:pt>
                <c:pt idx="6">
                  <c:v>0</c:v>
                </c:pt>
                <c:pt idx="7">
                  <c:v>158</c:v>
                </c:pt>
                <c:pt idx="8">
                  <c:v>23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1703</c:v>
                </c:pt>
                <c:pt idx="16">
                  <c:v>4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B9-4283-9FA4-C132257DA960}"/>
            </c:ext>
          </c:extLst>
        </c:ser>
        <c:ser>
          <c:idx val="2"/>
          <c:order val="2"/>
          <c:tx>
            <c:strRef>
              <c:f>'IDPs by Governorate of Origin'!$D$1</c:f>
              <c:strCache>
                <c:ptCount val="1"/>
                <c:pt idx="0">
                  <c:v>Sum of Baghdad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Origin'!$D$2:$D$20</c:f>
              <c:numCache>
                <c:formatCode>General</c:formatCode>
                <c:ptCount val="18"/>
                <c:pt idx="0">
                  <c:v>10</c:v>
                </c:pt>
                <c:pt idx="1">
                  <c:v>41</c:v>
                </c:pt>
                <c:pt idx="2">
                  <c:v>81</c:v>
                </c:pt>
                <c:pt idx="3">
                  <c:v>33</c:v>
                </c:pt>
                <c:pt idx="4">
                  <c:v>0</c:v>
                </c:pt>
                <c:pt idx="5">
                  <c:v>116</c:v>
                </c:pt>
                <c:pt idx="6">
                  <c:v>778</c:v>
                </c:pt>
                <c:pt idx="7">
                  <c:v>23</c:v>
                </c:pt>
                <c:pt idx="8">
                  <c:v>139</c:v>
                </c:pt>
                <c:pt idx="9">
                  <c:v>25</c:v>
                </c:pt>
                <c:pt idx="10">
                  <c:v>21</c:v>
                </c:pt>
                <c:pt idx="11">
                  <c:v>0</c:v>
                </c:pt>
                <c:pt idx="12">
                  <c:v>0</c:v>
                </c:pt>
                <c:pt idx="13">
                  <c:v>44</c:v>
                </c:pt>
                <c:pt idx="14">
                  <c:v>0</c:v>
                </c:pt>
                <c:pt idx="15">
                  <c:v>3668</c:v>
                </c:pt>
                <c:pt idx="16">
                  <c:v>2</c:v>
                </c:pt>
                <c:pt idx="1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B9-4283-9FA4-C132257DA960}"/>
            </c:ext>
          </c:extLst>
        </c:ser>
        <c:ser>
          <c:idx val="3"/>
          <c:order val="3"/>
          <c:tx>
            <c:strRef>
              <c:f>'IDPs by Governorate of Origin'!$E$1</c:f>
              <c:strCache>
                <c:ptCount val="1"/>
                <c:pt idx="0">
                  <c:v>Sum of Dahuk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Origin'!$E$2:$E$20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B9-4283-9FA4-C132257DA960}"/>
            </c:ext>
          </c:extLst>
        </c:ser>
        <c:ser>
          <c:idx val="4"/>
          <c:order val="4"/>
          <c:tx>
            <c:strRef>
              <c:f>'IDPs by Governorate of Origin'!$F$1</c:f>
              <c:strCache>
                <c:ptCount val="1"/>
                <c:pt idx="0">
                  <c:v>Sum of Diyala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Origin'!$F$2:$F$20</c:f>
              <c:numCache>
                <c:formatCode>General</c:formatCode>
                <c:ptCount val="18"/>
                <c:pt idx="0">
                  <c:v>0</c:v>
                </c:pt>
                <c:pt idx="1">
                  <c:v>8</c:v>
                </c:pt>
                <c:pt idx="2">
                  <c:v>271</c:v>
                </c:pt>
                <c:pt idx="3">
                  <c:v>37</c:v>
                </c:pt>
                <c:pt idx="4">
                  <c:v>0</c:v>
                </c:pt>
                <c:pt idx="5">
                  <c:v>8449</c:v>
                </c:pt>
                <c:pt idx="6">
                  <c:v>68</c:v>
                </c:pt>
                <c:pt idx="7">
                  <c:v>25</c:v>
                </c:pt>
                <c:pt idx="8">
                  <c:v>770</c:v>
                </c:pt>
                <c:pt idx="9">
                  <c:v>16</c:v>
                </c:pt>
                <c:pt idx="10">
                  <c:v>5</c:v>
                </c:pt>
                <c:pt idx="11">
                  <c:v>7</c:v>
                </c:pt>
                <c:pt idx="12">
                  <c:v>0</c:v>
                </c:pt>
                <c:pt idx="13">
                  <c:v>11</c:v>
                </c:pt>
                <c:pt idx="14">
                  <c:v>241</c:v>
                </c:pt>
                <c:pt idx="15">
                  <c:v>4625</c:v>
                </c:pt>
                <c:pt idx="16">
                  <c:v>9</c:v>
                </c:pt>
                <c:pt idx="17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B9-4283-9FA4-C132257DA960}"/>
            </c:ext>
          </c:extLst>
        </c:ser>
        <c:ser>
          <c:idx val="5"/>
          <c:order val="5"/>
          <c:tx>
            <c:strRef>
              <c:f>'IDPs by Governorate of Origin'!$G$1</c:f>
              <c:strCache>
                <c:ptCount val="1"/>
                <c:pt idx="0">
                  <c:v>Sum of Erbil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Origin'!$G$2:$G$20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1660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1607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B9-4283-9FA4-C132257DA960}"/>
            </c:ext>
          </c:extLst>
        </c:ser>
        <c:ser>
          <c:idx val="6"/>
          <c:order val="6"/>
          <c:tx>
            <c:strRef>
              <c:f>'IDPs by Governorate of Origin'!$H$1</c:f>
              <c:strCache>
                <c:ptCount val="1"/>
                <c:pt idx="0">
                  <c:v>Sum of Kirkuk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Origin'!$H$2:$H$20</c:f>
              <c:numCache>
                <c:formatCode>General</c:formatCode>
                <c:ptCount val="18"/>
                <c:pt idx="0">
                  <c:v>0</c:v>
                </c:pt>
                <c:pt idx="1">
                  <c:v>2</c:v>
                </c:pt>
                <c:pt idx="2">
                  <c:v>74</c:v>
                </c:pt>
                <c:pt idx="3">
                  <c:v>114</c:v>
                </c:pt>
                <c:pt idx="4">
                  <c:v>9</c:v>
                </c:pt>
                <c:pt idx="5">
                  <c:v>23</c:v>
                </c:pt>
                <c:pt idx="6">
                  <c:v>2082</c:v>
                </c:pt>
                <c:pt idx="7">
                  <c:v>43</c:v>
                </c:pt>
                <c:pt idx="8">
                  <c:v>10442</c:v>
                </c:pt>
                <c:pt idx="9">
                  <c:v>91</c:v>
                </c:pt>
                <c:pt idx="10">
                  <c:v>16</c:v>
                </c:pt>
                <c:pt idx="11">
                  <c:v>1</c:v>
                </c:pt>
                <c:pt idx="12">
                  <c:v>833</c:v>
                </c:pt>
                <c:pt idx="13">
                  <c:v>243</c:v>
                </c:pt>
                <c:pt idx="14">
                  <c:v>2696</c:v>
                </c:pt>
                <c:pt idx="15">
                  <c:v>1624</c:v>
                </c:pt>
                <c:pt idx="16">
                  <c:v>85</c:v>
                </c:pt>
                <c:pt idx="17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B9-4283-9FA4-C132257DA960}"/>
            </c:ext>
          </c:extLst>
        </c:ser>
        <c:ser>
          <c:idx val="7"/>
          <c:order val="7"/>
          <c:tx>
            <c:strRef>
              <c:f>'IDPs by Governorate of Origin'!$I$1</c:f>
              <c:strCache>
                <c:ptCount val="1"/>
                <c:pt idx="0">
                  <c:v>Sum of Ninewa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Origin'!$I$2:$I$20</c:f>
              <c:numCache>
                <c:formatCode>General</c:formatCode>
                <c:ptCount val="18"/>
                <c:pt idx="0">
                  <c:v>72</c:v>
                </c:pt>
                <c:pt idx="1">
                  <c:v>419</c:v>
                </c:pt>
                <c:pt idx="2">
                  <c:v>2474</c:v>
                </c:pt>
                <c:pt idx="3">
                  <c:v>420</c:v>
                </c:pt>
                <c:pt idx="4">
                  <c:v>56109</c:v>
                </c:pt>
                <c:pt idx="5">
                  <c:v>105</c:v>
                </c:pt>
                <c:pt idx="6">
                  <c:v>15570</c:v>
                </c:pt>
                <c:pt idx="7">
                  <c:v>3314</c:v>
                </c:pt>
                <c:pt idx="8">
                  <c:v>2200</c:v>
                </c:pt>
                <c:pt idx="9">
                  <c:v>210</c:v>
                </c:pt>
                <c:pt idx="10">
                  <c:v>120</c:v>
                </c:pt>
                <c:pt idx="11">
                  <c:v>2114</c:v>
                </c:pt>
                <c:pt idx="12">
                  <c:v>89906</c:v>
                </c:pt>
                <c:pt idx="13">
                  <c:v>1534</c:v>
                </c:pt>
                <c:pt idx="14">
                  <c:v>235</c:v>
                </c:pt>
                <c:pt idx="15">
                  <c:v>2466</c:v>
                </c:pt>
                <c:pt idx="16">
                  <c:v>352</c:v>
                </c:pt>
                <c:pt idx="17">
                  <c:v>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B9-4283-9FA4-C132257DA960}"/>
            </c:ext>
          </c:extLst>
        </c:ser>
        <c:ser>
          <c:idx val="8"/>
          <c:order val="8"/>
          <c:tx>
            <c:strRef>
              <c:f>'IDPs by Governorate of Origin'!$J$1</c:f>
              <c:strCache>
                <c:ptCount val="1"/>
                <c:pt idx="0">
                  <c:v>Sum of Salah al-Din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Origin'!$J$2:$J$20</c:f>
              <c:numCache>
                <c:formatCode>General</c:formatCode>
                <c:ptCount val="18"/>
                <c:pt idx="0">
                  <c:v>0</c:v>
                </c:pt>
                <c:pt idx="1">
                  <c:v>23</c:v>
                </c:pt>
                <c:pt idx="2">
                  <c:v>834</c:v>
                </c:pt>
                <c:pt idx="3">
                  <c:v>405</c:v>
                </c:pt>
                <c:pt idx="4">
                  <c:v>93</c:v>
                </c:pt>
                <c:pt idx="5">
                  <c:v>862</c:v>
                </c:pt>
                <c:pt idx="6">
                  <c:v>3388</c:v>
                </c:pt>
                <c:pt idx="7">
                  <c:v>20</c:v>
                </c:pt>
                <c:pt idx="8">
                  <c:v>3817</c:v>
                </c:pt>
                <c:pt idx="9">
                  <c:v>58</c:v>
                </c:pt>
                <c:pt idx="10">
                  <c:v>16</c:v>
                </c:pt>
                <c:pt idx="11">
                  <c:v>7</c:v>
                </c:pt>
                <c:pt idx="12">
                  <c:v>3600</c:v>
                </c:pt>
                <c:pt idx="13">
                  <c:v>22</c:v>
                </c:pt>
                <c:pt idx="14">
                  <c:v>19645</c:v>
                </c:pt>
                <c:pt idx="15">
                  <c:v>6801</c:v>
                </c:pt>
                <c:pt idx="16">
                  <c:v>37</c:v>
                </c:pt>
                <c:pt idx="17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B9-4283-9FA4-C132257DA960}"/>
            </c:ext>
          </c:extLst>
        </c:ser>
        <c:ser>
          <c:idx val="9"/>
          <c:order val="9"/>
          <c:tx>
            <c:strRef>
              <c:f>'IDPs by Governorate of Origin'!$K$1</c:f>
              <c:strCache>
                <c:ptCount val="1"/>
                <c:pt idx="0">
                  <c:v>Sum of Total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'IDPs by Governorate of Origin'!$A$2:$A$20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'IDPs by Governorate of Origin'!$K$2:$K$20</c:f>
              <c:numCache>
                <c:formatCode>General</c:formatCode>
                <c:ptCount val="18"/>
                <c:pt idx="0">
                  <c:v>10114</c:v>
                </c:pt>
                <c:pt idx="1">
                  <c:v>3115</c:v>
                </c:pt>
                <c:pt idx="2">
                  <c:v>11534</c:v>
                </c:pt>
                <c:pt idx="3">
                  <c:v>1284</c:v>
                </c:pt>
                <c:pt idx="4">
                  <c:v>56266</c:v>
                </c:pt>
                <c:pt idx="5">
                  <c:v>9844</c:v>
                </c:pt>
                <c:pt idx="6">
                  <c:v>35320</c:v>
                </c:pt>
                <c:pt idx="7">
                  <c:v>3683</c:v>
                </c:pt>
                <c:pt idx="8">
                  <c:v>18023</c:v>
                </c:pt>
                <c:pt idx="9">
                  <c:v>432</c:v>
                </c:pt>
                <c:pt idx="10">
                  <c:v>200</c:v>
                </c:pt>
                <c:pt idx="11">
                  <c:v>2143</c:v>
                </c:pt>
                <c:pt idx="12">
                  <c:v>96005</c:v>
                </c:pt>
                <c:pt idx="13">
                  <c:v>1875</c:v>
                </c:pt>
                <c:pt idx="14">
                  <c:v>22942</c:v>
                </c:pt>
                <c:pt idx="15">
                  <c:v>25149</c:v>
                </c:pt>
                <c:pt idx="16">
                  <c:v>592</c:v>
                </c:pt>
                <c:pt idx="17">
                  <c:v>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B9-4283-9FA4-C132257DA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54573503"/>
        <c:axId val="1756469631"/>
      </c:barChart>
      <c:catAx>
        <c:axId val="17545735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469631"/>
        <c:crosses val="autoZero"/>
        <c:auto val="1"/>
        <c:lblAlgn val="ctr"/>
        <c:lblOffset val="100"/>
        <c:noMultiLvlLbl val="0"/>
      </c:catAx>
      <c:valAx>
        <c:axId val="175646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573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40933231909986E-2"/>
          <c:y val="0.33220850692239978"/>
          <c:w val="0.91051198234685415"/>
          <c:h val="0.5957193698796693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'Shelter Type by Governorate of '!$A$86</c:f>
              <c:strCache>
                <c:ptCount val="1"/>
                <c:pt idx="0">
                  <c:v>Camp </c:v>
                </c:pt>
              </c:strCache>
            </c:strRef>
          </c:tx>
          <c:spPr>
            <a:blipFill>
              <a:blip xmlns:r="http://schemas.openxmlformats.org/officeDocument/2006/relationships" r:embed="rId3">
                <a:alphaModFix amt="93000"/>
              </a:blip>
              <a:stretch>
                <a:fillRect/>
              </a:stretch>
            </a:blipFill>
            <a:ln w="12700">
              <a:noFill/>
            </a:ln>
            <a:effectLst/>
          </c:spPr>
          <c:invertIfNegative val="0"/>
          <c:pictureOptions>
            <c:pictureFormat val="stack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>
                  <a:alphaModFix amt="93000"/>
                </a:blip>
                <a:stretch>
                  <a:fillRect/>
                </a:stretch>
              </a:blipFill>
              <a:ln w="12700"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1-E350-4FD7-BF23-F9FC03B98DBC}"/>
              </c:ext>
            </c:extLst>
          </c:dPt>
          <c:dLbls>
            <c:dLbl>
              <c:idx val="0"/>
              <c:layout>
                <c:manualLayout>
                  <c:x val="-8.5784313725490204E-3"/>
                  <c:y val="0.17777777777777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50-4FD7-BF23-F9FC03B98DBC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'Shelter Type by Governorate of '!$B$86</c:f>
              <c:numCache>
                <c:formatCode>#,##0</c:formatCode>
                <c:ptCount val="1"/>
                <c:pt idx="0">
                  <c:v>91218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50-4FD7-BF23-F9FC03B98DBC}"/>
            </c:ext>
          </c:extLst>
        </c:ser>
        <c:ser>
          <c:idx val="1"/>
          <c:order val="1"/>
          <c:tx>
            <c:strRef>
              <c:f>'Shelter Type by Governorate of '!$A$87</c:f>
              <c:strCache>
                <c:ptCount val="1"/>
                <c:pt idx="0">
                  <c:v>Critical</c:v>
                </c:pt>
              </c:strCache>
            </c:strRef>
          </c:tx>
          <c:spPr>
            <a:blipFill>
              <a:blip xmlns:r="http://schemas.openxmlformats.org/officeDocument/2006/relationships" r:embed="rId4">
                <a:alphaModFix amt="93000"/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>
                  <a:alphaModFix amt="93000"/>
                </a:blip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50-4FD7-BF23-F9FC03B98DBC}"/>
              </c:ext>
            </c:extLst>
          </c:dPt>
          <c:dLbls>
            <c:dLbl>
              <c:idx val="0"/>
              <c:layout>
                <c:manualLayout>
                  <c:x val="-4.2483981781689505E-3"/>
                  <c:y val="0.1896296296296294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50-4FD7-BF23-F9FC03B98DBC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'Shelter Type by Governorate of '!$B$87</c:f>
              <c:numCache>
                <c:formatCode>#,##0</c:formatCode>
                <c:ptCount val="1"/>
                <c:pt idx="0">
                  <c:v>24084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50-4FD7-BF23-F9FC03B98DBC}"/>
            </c:ext>
          </c:extLst>
        </c:ser>
        <c:ser>
          <c:idx val="2"/>
          <c:order val="2"/>
          <c:tx>
            <c:strRef>
              <c:f>'Shelter Type by Governorate of '!$A$88</c:f>
              <c:strCache>
                <c:ptCount val="1"/>
                <c:pt idx="0">
                  <c:v>Private setting</c:v>
                </c:pt>
              </c:strCache>
            </c:strRef>
          </c:tx>
          <c:spPr>
            <a:blipFill>
              <a:blip xmlns:r="http://schemas.openxmlformats.org/officeDocument/2006/relationships" r:embed="rId5">
                <a:alphaModFix amt="93000"/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dLbls>
            <c:dLbl>
              <c:idx val="0"/>
              <c:layout>
                <c:manualLayout>
                  <c:x val="-5.5555233904586356E-3"/>
                  <c:y val="0.1837037037037035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50-4FD7-BF23-F9FC03B98DBC}"/>
                </c:ext>
              </c:extLst>
            </c:dLbl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'Shelter Type by Governorate of '!$B$88</c:f>
              <c:numCache>
                <c:formatCode>#,##0</c:formatCode>
                <c:ptCount val="1"/>
                <c:pt idx="0">
                  <c:v>185043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50-4FD7-BF23-F9FC03B98DBC}"/>
            </c:ext>
          </c:extLst>
        </c:ser>
        <c:ser>
          <c:idx val="3"/>
          <c:order val="3"/>
          <c:tx>
            <c:strRef>
              <c:f>'Shelter Type by Governorate of '!$A$89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invertIfNegative val="0"/>
          <c:dLbls>
            <c:delete val="1"/>
          </c:dLbls>
          <c:val>
            <c:numRef>
              <c:f>'Shelter Type by Governorate of '!$B$89</c:f>
              <c:numCache>
                <c:formatCode>#,##0</c:formatCode>
                <c:ptCount val="1"/>
                <c:pt idx="0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50-4FD7-BF23-F9FC03B98DB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337819992"/>
        <c:axId val="280806792"/>
      </c:barChart>
      <c:catAx>
        <c:axId val="337819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806792"/>
        <c:crosses val="autoZero"/>
        <c:auto val="1"/>
        <c:lblAlgn val="ctr"/>
        <c:lblOffset val="100"/>
        <c:noMultiLvlLbl val="0"/>
      </c:catAx>
      <c:valAx>
        <c:axId val="28080679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33781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9667249354145103E-2"/>
          <c:y val="6.584362139917696E-2"/>
          <c:w val="0.35640878878352383"/>
          <c:h val="0.15843686205890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63500" cap="flat" cmpd="sng" algn="ctr">
      <a:solidFill>
        <a:schemeClr val="tx2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[Round107_Master_List_IDP_2018-12-31_IOM_DTM.xlsx]Shelter Type by Governorate of !PivotTable3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chemeClr val="bg1">
                    <a:lumMod val="50000"/>
                  </a:schemeClr>
                </a:solidFill>
              </a:rPr>
              <a:t>Shelter</a:t>
            </a:r>
            <a:r>
              <a:rPr lang="en-US" sz="1400" b="1" baseline="0">
                <a:solidFill>
                  <a:schemeClr val="bg1">
                    <a:lumMod val="50000"/>
                  </a:schemeClr>
                </a:solidFill>
              </a:rPr>
              <a:t> Type by </a:t>
            </a:r>
            <a:r>
              <a:rPr lang="en-US" sz="1400" b="1">
                <a:solidFill>
                  <a:schemeClr val="bg1">
                    <a:lumMod val="50000"/>
                  </a:schemeClr>
                </a:solidFill>
              </a:rPr>
              <a:t>Governorate</a:t>
            </a:r>
            <a:r>
              <a:rPr lang="en-US" sz="1400" b="1" baseline="0">
                <a:solidFill>
                  <a:schemeClr val="bg1">
                    <a:lumMod val="50000"/>
                  </a:schemeClr>
                </a:solidFill>
              </a:rPr>
              <a:t> of Displacement</a:t>
            </a:r>
            <a:endParaRPr lang="en-US" sz="1400" b="1">
              <a:solidFill>
                <a:schemeClr val="bg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1.6159448213017697E-2"/>
          <c:y val="2.1786570156991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00" b="1" i="0" u="none" strike="noStrike" kern="1200" spc="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'Shelter Type by Governorate of '!$B$4:$B$5</c:f>
              <c:strCache>
                <c:ptCount val="1"/>
                <c:pt idx="0">
                  <c:v>Anbar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'!$B$6:$B$14</c:f>
              <c:numCache>
                <c:formatCode>General</c:formatCode>
                <c:ptCount val="9"/>
                <c:pt idx="0">
                  <c:v>6354</c:v>
                </c:pt>
                <c:pt idx="1">
                  <c:v>2151</c:v>
                </c:pt>
                <c:pt idx="2">
                  <c:v>1239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10114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A-4E20-B3EA-44520A6EDD4F}"/>
            </c:ext>
          </c:extLst>
        </c:ser>
        <c:ser>
          <c:idx val="1"/>
          <c:order val="1"/>
          <c:tx>
            <c:strRef>
              <c:f>'Shelter Type by Governorate of '!$C$4:$C$5</c:f>
              <c:strCache>
                <c:ptCount val="1"/>
                <c:pt idx="0">
                  <c:v>Babylon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'!$C$6:$C$14</c:f>
              <c:numCache>
                <c:formatCode>General</c:formatCode>
                <c:ptCount val="9"/>
                <c:pt idx="0">
                  <c:v>0</c:v>
                </c:pt>
                <c:pt idx="1">
                  <c:v>176</c:v>
                </c:pt>
                <c:pt idx="2">
                  <c:v>83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4-4D59-A659-C33978706F73}"/>
            </c:ext>
          </c:extLst>
        </c:ser>
        <c:ser>
          <c:idx val="2"/>
          <c:order val="2"/>
          <c:tx>
            <c:strRef>
              <c:f>'Shelter Type by Governorate of '!$D$4:$D$5</c:f>
              <c:strCache>
                <c:ptCount val="1"/>
                <c:pt idx="0">
                  <c:v>Baghdad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'!$D$6:$D$14</c:f>
              <c:numCache>
                <c:formatCode>General</c:formatCode>
                <c:ptCount val="9"/>
                <c:pt idx="0">
                  <c:v>746</c:v>
                </c:pt>
                <c:pt idx="1">
                  <c:v>4580</c:v>
                </c:pt>
                <c:pt idx="2">
                  <c:v>18</c:v>
                </c:pt>
                <c:pt idx="3">
                  <c:v>0</c:v>
                </c:pt>
                <c:pt idx="4">
                  <c:v>22</c:v>
                </c:pt>
                <c:pt idx="5">
                  <c:v>26</c:v>
                </c:pt>
                <c:pt idx="6">
                  <c:v>144</c:v>
                </c:pt>
                <c:pt idx="7">
                  <c:v>0</c:v>
                </c:pt>
                <c:pt idx="8">
                  <c:v>11534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4-4D59-A659-C33978706F73}"/>
            </c:ext>
          </c:extLst>
        </c:ser>
        <c:ser>
          <c:idx val="3"/>
          <c:order val="3"/>
          <c:tx>
            <c:strRef>
              <c:f>'Shelter Type by Governorate of '!$E$4:$E$5</c:f>
              <c:strCache>
                <c:ptCount val="1"/>
                <c:pt idx="0">
                  <c:v>Basrah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'!$E$6:$E$14</c:f>
              <c:numCache>
                <c:formatCode>General</c:formatCode>
                <c:ptCount val="9"/>
                <c:pt idx="0">
                  <c:v>0</c:v>
                </c:pt>
                <c:pt idx="1">
                  <c:v>303</c:v>
                </c:pt>
                <c:pt idx="2">
                  <c:v>118</c:v>
                </c:pt>
                <c:pt idx="3">
                  <c:v>0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24-4D59-A659-C33978706F73}"/>
            </c:ext>
          </c:extLst>
        </c:ser>
        <c:ser>
          <c:idx val="4"/>
          <c:order val="4"/>
          <c:tx>
            <c:strRef>
              <c:f>'Shelter Type by Governorate of '!$F$4:$F$5</c:f>
              <c:strCache>
                <c:ptCount val="1"/>
                <c:pt idx="0">
                  <c:v>Dahuk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'!$F$6:$F$14</c:f>
              <c:numCache>
                <c:formatCode>General</c:formatCode>
                <c:ptCount val="9"/>
                <c:pt idx="0">
                  <c:v>25356</c:v>
                </c:pt>
                <c:pt idx="1">
                  <c:v>3151</c:v>
                </c:pt>
                <c:pt idx="2">
                  <c:v>2528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5520</c:v>
                </c:pt>
                <c:pt idx="7">
                  <c:v>0</c:v>
                </c:pt>
                <c:pt idx="8">
                  <c:v>56266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24-4D59-A659-C33978706F73}"/>
            </c:ext>
          </c:extLst>
        </c:ser>
        <c:ser>
          <c:idx val="5"/>
          <c:order val="5"/>
          <c:tx>
            <c:strRef>
              <c:f>'Shelter Type by Governorate of '!$G$4:$G$5</c:f>
              <c:strCache>
                <c:ptCount val="1"/>
                <c:pt idx="0">
                  <c:v>Diyala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'!$G$6:$G$14</c:f>
              <c:numCache>
                <c:formatCode>General</c:formatCode>
                <c:ptCount val="9"/>
                <c:pt idx="0">
                  <c:v>1313</c:v>
                </c:pt>
                <c:pt idx="1">
                  <c:v>1990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6</c:v>
                </c:pt>
                <c:pt idx="6">
                  <c:v>612</c:v>
                </c:pt>
                <c:pt idx="7">
                  <c:v>0</c:v>
                </c:pt>
                <c:pt idx="8">
                  <c:v>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24-4D59-A659-C33978706F73}"/>
            </c:ext>
          </c:extLst>
        </c:ser>
        <c:ser>
          <c:idx val="6"/>
          <c:order val="6"/>
          <c:tx>
            <c:strRef>
              <c:f>'Shelter Type by Governorate of '!$H$4:$H$5</c:f>
              <c:strCache>
                <c:ptCount val="1"/>
                <c:pt idx="0">
                  <c:v>Erbil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'!$H$6:$H$14</c:f>
              <c:numCache>
                <c:formatCode>General</c:formatCode>
                <c:ptCount val="9"/>
                <c:pt idx="0">
                  <c:v>3095</c:v>
                </c:pt>
                <c:pt idx="1">
                  <c:v>443</c:v>
                </c:pt>
                <c:pt idx="2">
                  <c:v>192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55</c:v>
                </c:pt>
                <c:pt idx="7">
                  <c:v>0</c:v>
                </c:pt>
                <c:pt idx="8">
                  <c:v>35320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24-4D59-A659-C33978706F73}"/>
            </c:ext>
          </c:extLst>
        </c:ser>
        <c:ser>
          <c:idx val="7"/>
          <c:order val="7"/>
          <c:tx>
            <c:strRef>
              <c:f>'Shelter Type by Governorate of '!$I$4:$I$5</c:f>
              <c:strCache>
                <c:ptCount val="1"/>
                <c:pt idx="0">
                  <c:v>Kerbala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'!$I$6:$I$14</c:f>
              <c:numCache>
                <c:formatCode>General</c:formatCode>
                <c:ptCount val="9"/>
                <c:pt idx="0">
                  <c:v>211</c:v>
                </c:pt>
                <c:pt idx="1">
                  <c:v>72</c:v>
                </c:pt>
                <c:pt idx="2">
                  <c:v>2</c:v>
                </c:pt>
                <c:pt idx="3">
                  <c:v>58</c:v>
                </c:pt>
                <c:pt idx="4">
                  <c:v>940</c:v>
                </c:pt>
                <c:pt idx="5">
                  <c:v>0</c:v>
                </c:pt>
                <c:pt idx="6">
                  <c:v>17</c:v>
                </c:pt>
                <c:pt idx="7">
                  <c:v>0</c:v>
                </c:pt>
                <c:pt idx="8">
                  <c:v>3683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24-4D59-A659-C33978706F73}"/>
            </c:ext>
          </c:extLst>
        </c:ser>
        <c:ser>
          <c:idx val="8"/>
          <c:order val="8"/>
          <c:tx>
            <c:strRef>
              <c:f>'Shelter Type by Governorate of '!$J$4:$J$5</c:f>
              <c:strCache>
                <c:ptCount val="1"/>
                <c:pt idx="0">
                  <c:v>Kirkuk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'!$J$6:$J$14</c:f>
              <c:numCache>
                <c:formatCode>General</c:formatCode>
                <c:ptCount val="9"/>
                <c:pt idx="0">
                  <c:v>2213</c:v>
                </c:pt>
                <c:pt idx="1">
                  <c:v>705</c:v>
                </c:pt>
                <c:pt idx="2">
                  <c:v>1232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380</c:v>
                </c:pt>
                <c:pt idx="7">
                  <c:v>0</c:v>
                </c:pt>
                <c:pt idx="8">
                  <c:v>18023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24-4D59-A659-C33978706F73}"/>
            </c:ext>
          </c:extLst>
        </c:ser>
        <c:ser>
          <c:idx val="9"/>
          <c:order val="9"/>
          <c:tx>
            <c:strRef>
              <c:f>'Shelter Type by Governorate of '!$K$4:$K$5</c:f>
              <c:strCache>
                <c:ptCount val="1"/>
                <c:pt idx="0">
                  <c:v>Missan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'!$K$6:$K$14</c:f>
              <c:numCache>
                <c:formatCode>General</c:formatCode>
                <c:ptCount val="9"/>
                <c:pt idx="0">
                  <c:v>17</c:v>
                </c:pt>
                <c:pt idx="1">
                  <c:v>174</c:v>
                </c:pt>
                <c:pt idx="2">
                  <c:v>26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24-4D59-A659-C33978706F73}"/>
            </c:ext>
          </c:extLst>
        </c:ser>
        <c:ser>
          <c:idx val="10"/>
          <c:order val="10"/>
          <c:tx>
            <c:strRef>
              <c:f>'Shelter Type by Governorate of '!$L$4:$L$5</c:f>
              <c:strCache>
                <c:ptCount val="1"/>
                <c:pt idx="0">
                  <c:v>Muthanna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'!$L$6:$L$14</c:f>
              <c:numCache>
                <c:formatCode>General</c:formatCode>
                <c:ptCount val="9"/>
                <c:pt idx="0">
                  <c:v>0</c:v>
                </c:pt>
                <c:pt idx="1">
                  <c:v>58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24-4D59-A659-C33978706F73}"/>
            </c:ext>
          </c:extLst>
        </c:ser>
        <c:ser>
          <c:idx val="11"/>
          <c:order val="11"/>
          <c:tx>
            <c:strRef>
              <c:f>'Shelter Type by Governorate of '!$M$4:$M$5</c:f>
              <c:strCache>
                <c:ptCount val="1"/>
                <c:pt idx="0">
                  <c:v>Najaf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'!$M$6:$M$14</c:f>
              <c:numCache>
                <c:formatCode>General</c:formatCode>
                <c:ptCount val="9"/>
                <c:pt idx="0">
                  <c:v>192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24-4D59-A659-C33978706F73}"/>
            </c:ext>
          </c:extLst>
        </c:ser>
        <c:ser>
          <c:idx val="12"/>
          <c:order val="12"/>
          <c:tx>
            <c:strRef>
              <c:f>'Shelter Type by Governorate of '!$N$4:$N$5</c:f>
              <c:strCache>
                <c:ptCount val="1"/>
                <c:pt idx="0">
                  <c:v>Ninewa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'!$N$6:$N$14</c:f>
              <c:numCache>
                <c:formatCode>General</c:formatCode>
                <c:ptCount val="9"/>
                <c:pt idx="0">
                  <c:v>47209</c:v>
                </c:pt>
                <c:pt idx="1">
                  <c:v>14020</c:v>
                </c:pt>
                <c:pt idx="2">
                  <c:v>603</c:v>
                </c:pt>
                <c:pt idx="3">
                  <c:v>0</c:v>
                </c:pt>
                <c:pt idx="4">
                  <c:v>39</c:v>
                </c:pt>
                <c:pt idx="5">
                  <c:v>216</c:v>
                </c:pt>
                <c:pt idx="6">
                  <c:v>2644</c:v>
                </c:pt>
                <c:pt idx="7">
                  <c:v>127</c:v>
                </c:pt>
                <c:pt idx="8">
                  <c:v>96005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024-4D59-A659-C33978706F73}"/>
            </c:ext>
          </c:extLst>
        </c:ser>
        <c:ser>
          <c:idx val="13"/>
          <c:order val="13"/>
          <c:tx>
            <c:strRef>
              <c:f>'Shelter Type by Governorate of '!$O$4:$O$5</c:f>
              <c:strCache>
                <c:ptCount val="1"/>
                <c:pt idx="0">
                  <c:v>Qadissiya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'!$O$6:$O$14</c:f>
              <c:numCache>
                <c:formatCode>General</c:formatCode>
                <c:ptCount val="9"/>
                <c:pt idx="0">
                  <c:v>0</c:v>
                </c:pt>
                <c:pt idx="1">
                  <c:v>361</c:v>
                </c:pt>
                <c:pt idx="2">
                  <c:v>7</c:v>
                </c:pt>
                <c:pt idx="3">
                  <c:v>210</c:v>
                </c:pt>
                <c:pt idx="4">
                  <c:v>445</c:v>
                </c:pt>
                <c:pt idx="5">
                  <c:v>4</c:v>
                </c:pt>
                <c:pt idx="6">
                  <c:v>52</c:v>
                </c:pt>
                <c:pt idx="7">
                  <c:v>0</c:v>
                </c:pt>
                <c:pt idx="8">
                  <c:v>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024-4D59-A659-C33978706F73}"/>
            </c:ext>
          </c:extLst>
        </c:ser>
        <c:ser>
          <c:idx val="14"/>
          <c:order val="14"/>
          <c:tx>
            <c:strRef>
              <c:f>'Shelter Type by Governorate of '!$P$4:$P$5</c:f>
              <c:strCache>
                <c:ptCount val="1"/>
                <c:pt idx="0">
                  <c:v>Salah al-Din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'!$P$6:$P$14</c:f>
              <c:numCache>
                <c:formatCode>General</c:formatCode>
                <c:ptCount val="9"/>
                <c:pt idx="0">
                  <c:v>1324</c:v>
                </c:pt>
                <c:pt idx="1">
                  <c:v>2092</c:v>
                </c:pt>
                <c:pt idx="2">
                  <c:v>2740</c:v>
                </c:pt>
                <c:pt idx="3">
                  <c:v>2</c:v>
                </c:pt>
                <c:pt idx="4">
                  <c:v>21</c:v>
                </c:pt>
                <c:pt idx="5">
                  <c:v>599</c:v>
                </c:pt>
                <c:pt idx="6">
                  <c:v>2682</c:v>
                </c:pt>
                <c:pt idx="7">
                  <c:v>0</c:v>
                </c:pt>
                <c:pt idx="8">
                  <c:v>22942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024-4D59-A659-C33978706F73}"/>
            </c:ext>
          </c:extLst>
        </c:ser>
        <c:ser>
          <c:idx val="15"/>
          <c:order val="15"/>
          <c:tx>
            <c:strRef>
              <c:f>'Shelter Type by Governorate of '!$Q$4:$Q$5</c:f>
              <c:strCache>
                <c:ptCount val="1"/>
                <c:pt idx="0">
                  <c:v>Sulaymaniyah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'!$Q$6:$Q$14</c:f>
              <c:numCache>
                <c:formatCode>General</c:formatCode>
                <c:ptCount val="9"/>
                <c:pt idx="0">
                  <c:v>3188</c:v>
                </c:pt>
                <c:pt idx="1">
                  <c:v>61</c:v>
                </c:pt>
                <c:pt idx="2">
                  <c:v>9</c:v>
                </c:pt>
                <c:pt idx="3">
                  <c:v>0</c:v>
                </c:pt>
                <c:pt idx="4">
                  <c:v>13</c:v>
                </c:pt>
                <c:pt idx="5">
                  <c:v>5</c:v>
                </c:pt>
                <c:pt idx="6">
                  <c:v>64</c:v>
                </c:pt>
                <c:pt idx="7">
                  <c:v>0</c:v>
                </c:pt>
                <c:pt idx="8">
                  <c:v>25149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024-4D59-A659-C33978706F73}"/>
            </c:ext>
          </c:extLst>
        </c:ser>
        <c:ser>
          <c:idx val="16"/>
          <c:order val="16"/>
          <c:tx>
            <c:strRef>
              <c:f>'Shelter Type by Governorate of '!$R$4:$R$5</c:f>
              <c:strCache>
                <c:ptCount val="1"/>
                <c:pt idx="0">
                  <c:v>Thi-Qar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'!$R$6:$R$14</c:f>
              <c:numCache>
                <c:formatCode>General</c:formatCode>
                <c:ptCount val="9"/>
                <c:pt idx="0">
                  <c:v>0</c:v>
                </c:pt>
                <c:pt idx="1">
                  <c:v>142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024-4D59-A659-C33978706F73}"/>
            </c:ext>
          </c:extLst>
        </c:ser>
        <c:ser>
          <c:idx val="17"/>
          <c:order val="17"/>
          <c:tx>
            <c:strRef>
              <c:f>'Shelter Type by Governorate of '!$S$4:$S$5</c:f>
              <c:strCache>
                <c:ptCount val="1"/>
                <c:pt idx="0">
                  <c:v>Wassit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'Shelter Type by Governorate of '!$A$6:$A$14</c:f>
              <c:strCache>
                <c:ptCount val="9"/>
                <c:pt idx="0">
                  <c:v>Sum of Camp</c:v>
                </c:pt>
                <c:pt idx="1">
                  <c:v>Sum of Host families</c:v>
                </c:pt>
                <c:pt idx="2">
                  <c:v>Sum of Informal settlements</c:v>
                </c:pt>
                <c:pt idx="3">
                  <c:v>Sum of Other shelter type</c:v>
                </c:pt>
                <c:pt idx="4">
                  <c:v>Sum of Religious building</c:v>
                </c:pt>
                <c:pt idx="5">
                  <c:v>Sum of School building</c:v>
                </c:pt>
                <c:pt idx="6">
                  <c:v>Sum of Unfinished/Abandoned building</c:v>
                </c:pt>
                <c:pt idx="7">
                  <c:v>Sum of Unknown shelter type</c:v>
                </c:pt>
                <c:pt idx="8">
                  <c:v>Sum of Total</c:v>
                </c:pt>
              </c:strCache>
            </c:strRef>
          </c:cat>
          <c:val>
            <c:numRef>
              <c:f>'Shelter Type by Governorate of '!$S$6:$S$14</c:f>
              <c:numCache>
                <c:formatCode>General</c:formatCode>
                <c:ptCount val="9"/>
                <c:pt idx="0">
                  <c:v>0</c:v>
                </c:pt>
                <c:pt idx="1">
                  <c:v>144</c:v>
                </c:pt>
                <c:pt idx="2">
                  <c:v>20</c:v>
                </c:pt>
                <c:pt idx="3">
                  <c:v>0</c:v>
                </c:pt>
                <c:pt idx="4">
                  <c:v>242</c:v>
                </c:pt>
                <c:pt idx="5">
                  <c:v>0</c:v>
                </c:pt>
                <c:pt idx="6">
                  <c:v>80</c:v>
                </c:pt>
                <c:pt idx="7">
                  <c:v>0</c:v>
                </c:pt>
                <c:pt idx="8">
                  <c:v>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024-4D59-A659-C33978706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51201343"/>
        <c:axId val="1760087055"/>
      </c:barChart>
      <c:catAx>
        <c:axId val="17512013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0087055"/>
        <c:crosses val="autoZero"/>
        <c:auto val="1"/>
        <c:lblAlgn val="ctr"/>
        <c:lblOffset val="100"/>
        <c:noMultiLvlLbl val="0"/>
      </c:catAx>
      <c:valAx>
        <c:axId val="1760087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201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05798072341921E-2"/>
          <c:y val="2.7270502781784466E-2"/>
          <c:w val="0.97594180357084992"/>
          <c:h val="0.95242516369404318"/>
        </c:manualLayout>
      </c:layout>
      <c:doughnutChart>
        <c:varyColors val="1"/>
        <c:ser>
          <c:idx val="0"/>
          <c:order val="0"/>
          <c:tx>
            <c:strRef>
              <c:f>Summary!$B$13</c:f>
              <c:strCache>
                <c:ptCount val="1"/>
                <c:pt idx="0">
                  <c:v>Camp</c:v>
                </c:pt>
              </c:strCache>
            </c:strRef>
          </c:tx>
          <c:spPr>
            <a:solidFill>
              <a:schemeClr val="bg1">
                <a:lumMod val="85000"/>
                <a:alpha val="87000"/>
              </a:schemeClr>
            </a:solidFill>
            <a:ln>
              <a:solidFill>
                <a:schemeClr val="bg1">
                  <a:alpha val="96000"/>
                </a:schemeClr>
              </a:solidFill>
            </a:ln>
          </c:spPr>
          <c:dPt>
            <c:idx val="0"/>
            <c:bubble3D val="0"/>
            <c:spPr>
              <a:solidFill>
                <a:srgbClr val="00B050"/>
              </a:solidFill>
              <a:ln w="19050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92-4809-A392-36A52A6FC065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  <a:alpha val="87000"/>
                </a:schemeClr>
              </a:solidFill>
              <a:ln w="19050">
                <a:solidFill>
                  <a:schemeClr val="bg1">
                    <a:alpha val="96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92-4809-A392-36A52A6FC065}"/>
              </c:ext>
            </c:extLst>
          </c:dPt>
          <c:cat>
            <c:strRef>
              <c:f>Summary!$B$13</c:f>
              <c:strCache>
                <c:ptCount val="1"/>
                <c:pt idx="0">
                  <c:v>Camp</c:v>
                </c:pt>
              </c:strCache>
            </c:strRef>
          </c:cat>
          <c:val>
            <c:numRef>
              <c:f>Summary!$B$33:$B$34</c:f>
              <c:numCache>
                <c:formatCode>0%</c:formatCode>
                <c:ptCount val="2"/>
                <c:pt idx="0">
                  <c:v>0.30358236374770359</c:v>
                </c:pt>
                <c:pt idx="1">
                  <c:v>0.69641763625229647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92-4809-A392-36A52A6FC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97662539657289"/>
          <c:y val="0"/>
          <c:w val="0.97594180357084992"/>
          <c:h val="0.95242516369404318"/>
        </c:manualLayout>
      </c:layout>
      <c:doughnutChart>
        <c:varyColors val="1"/>
        <c:ser>
          <c:idx val="0"/>
          <c:order val="0"/>
          <c:tx>
            <c:strRef>
              <c:f>Summary!$C$13</c:f>
              <c:strCache>
                <c:ptCount val="1"/>
                <c:pt idx="0">
                  <c:v>Host families</c:v>
                </c:pt>
              </c:strCache>
            </c:strRef>
          </c:tx>
          <c:spPr>
            <a:solidFill>
              <a:schemeClr val="bg1">
                <a:lumMod val="85000"/>
                <a:alpha val="87000"/>
              </a:schemeClr>
            </a:solidFill>
            <a:ln>
              <a:solidFill>
                <a:schemeClr val="bg1">
                  <a:alpha val="96000"/>
                </a:schemeClr>
              </a:solidFill>
            </a:ln>
          </c:spPr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bg1">
                    <a:alpha val="96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28-4CAD-8D45-99A679179F49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  <a:alpha val="87000"/>
                </a:schemeClr>
              </a:solidFill>
              <a:ln w="19050">
                <a:solidFill>
                  <a:schemeClr val="bg1">
                    <a:alpha val="96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28-4CAD-8D45-99A679179F49}"/>
              </c:ext>
            </c:extLst>
          </c:dPt>
          <c:cat>
            <c:strRef>
              <c:f>Summary!$B$13</c:f>
              <c:strCache>
                <c:ptCount val="1"/>
                <c:pt idx="0">
                  <c:v>Camp</c:v>
                </c:pt>
              </c:strCache>
            </c:strRef>
          </c:cat>
          <c:val>
            <c:numRef>
              <c:f>Summary!$C$33:$C$34</c:f>
              <c:numCache>
                <c:formatCode>0%</c:formatCode>
                <c:ptCount val="2"/>
                <c:pt idx="0">
                  <c:v>0.10191631832583402</c:v>
                </c:pt>
                <c:pt idx="1">
                  <c:v>0.89808368167416597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28-4CAD-8D45-99A679179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97662539657289"/>
          <c:y val="0"/>
          <c:w val="0.97594180357084992"/>
          <c:h val="0.95242516369404318"/>
        </c:manualLayout>
      </c:layout>
      <c:doughnutChart>
        <c:varyColors val="1"/>
        <c:ser>
          <c:idx val="0"/>
          <c:order val="0"/>
          <c:tx>
            <c:strRef>
              <c:f>Summary!$D$13</c:f>
              <c:strCache>
                <c:ptCount val="1"/>
                <c:pt idx="0">
                  <c:v>Hotel/Motel or short-term rental</c:v>
                </c:pt>
              </c:strCache>
            </c:strRef>
          </c:tx>
          <c:spPr>
            <a:solidFill>
              <a:schemeClr val="bg1">
                <a:lumMod val="85000"/>
                <a:alpha val="87000"/>
              </a:schemeClr>
            </a:solidFill>
            <a:ln>
              <a:solidFill>
                <a:schemeClr val="bg1">
                  <a:alpha val="96000"/>
                </a:schemeClr>
              </a:solidFill>
            </a:ln>
          </c:spPr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bg1">
                    <a:alpha val="96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F9-4BC6-9B70-F533653CC96A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  <a:alpha val="87000"/>
                </a:schemeClr>
              </a:solidFill>
              <a:ln w="19050">
                <a:solidFill>
                  <a:schemeClr val="bg1">
                    <a:alpha val="96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F9-4BC6-9B70-F533653CC96A}"/>
              </c:ext>
            </c:extLst>
          </c:dPt>
          <c:cat>
            <c:strRef>
              <c:f>Summary!$B$13</c:f>
              <c:strCache>
                <c:ptCount val="1"/>
                <c:pt idx="0">
                  <c:v>Camp</c:v>
                </c:pt>
              </c:strCache>
            </c:strRef>
          </c:cat>
          <c:val>
            <c:numRef>
              <c:f>Summary!$D$33:$D$34</c:f>
              <c:numCache>
                <c:formatCode>0%</c:formatCode>
                <c:ptCount val="2"/>
                <c:pt idx="0">
                  <c:v>1.3378950451289971E-3</c:v>
                </c:pt>
                <c:pt idx="1">
                  <c:v>0.99866210495487095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F9-4BC6-9B70-F533653C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97662539657289"/>
          <c:y val="0"/>
          <c:w val="0.97594180357084992"/>
          <c:h val="0.95242516369404318"/>
        </c:manualLayout>
      </c:layout>
      <c:doughnutChart>
        <c:varyColors val="1"/>
        <c:ser>
          <c:idx val="0"/>
          <c:order val="0"/>
          <c:tx>
            <c:strRef>
              <c:f>Summary!$E$13</c:f>
              <c:strCache>
                <c:ptCount val="1"/>
                <c:pt idx="0">
                  <c:v>Informal settlements</c:v>
                </c:pt>
              </c:strCache>
            </c:strRef>
          </c:tx>
          <c:spPr>
            <a:solidFill>
              <a:schemeClr val="bg1">
                <a:lumMod val="85000"/>
                <a:alpha val="87000"/>
              </a:schemeClr>
            </a:solidFill>
            <a:ln>
              <a:solidFill>
                <a:schemeClr val="bg1">
                  <a:alpha val="96000"/>
                </a:schemeClr>
              </a:solidFill>
            </a:ln>
          </c:spPr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bg1">
                    <a:alpha val="96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BB-4A1E-841F-58F312668292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  <a:alpha val="87000"/>
                </a:schemeClr>
              </a:solidFill>
              <a:ln w="19050">
                <a:solidFill>
                  <a:schemeClr val="bg1">
                    <a:alpha val="96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BB-4A1E-841F-58F312668292}"/>
              </c:ext>
            </c:extLst>
          </c:dPt>
          <c:cat>
            <c:strRef>
              <c:f>Summary!$B$13</c:f>
              <c:strCache>
                <c:ptCount val="1"/>
                <c:pt idx="0">
                  <c:v>Camp</c:v>
                </c:pt>
              </c:strCache>
            </c:strRef>
          </c:cat>
          <c:val>
            <c:numRef>
              <c:f>Summary!$E$33:$E$34</c:f>
              <c:numCache>
                <c:formatCode>0%</c:formatCode>
                <c:ptCount val="2"/>
                <c:pt idx="0">
                  <c:v>2.9347160467531084E-2</c:v>
                </c:pt>
                <c:pt idx="1">
                  <c:v>0.97065283953246895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BB-4A1E-841F-58F312668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97662539657289"/>
          <c:y val="0"/>
          <c:w val="0.97594180357084992"/>
          <c:h val="0.95242516369404318"/>
        </c:manualLayout>
      </c:layout>
      <c:doughnutChart>
        <c:varyColors val="1"/>
        <c:ser>
          <c:idx val="0"/>
          <c:order val="0"/>
          <c:tx>
            <c:strRef>
              <c:f>Summary!$F$13</c:f>
              <c:strCache>
                <c:ptCount val="1"/>
                <c:pt idx="0">
                  <c:v>Other shelter type</c:v>
                </c:pt>
              </c:strCache>
            </c:strRef>
          </c:tx>
          <c:spPr>
            <a:solidFill>
              <a:schemeClr val="bg1">
                <a:lumMod val="85000"/>
                <a:alpha val="87000"/>
              </a:schemeClr>
            </a:solidFill>
            <a:ln>
              <a:solidFill>
                <a:schemeClr val="bg1">
                  <a:alpha val="96000"/>
                </a:schemeClr>
              </a:solidFill>
            </a:ln>
          </c:spPr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bg1">
                    <a:alpha val="96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FC-4F35-8E47-B67CA0E9673B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  <a:alpha val="87000"/>
                </a:schemeClr>
              </a:solidFill>
              <a:ln w="19050">
                <a:solidFill>
                  <a:schemeClr val="bg1">
                    <a:alpha val="96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FC-4F35-8E47-B67CA0E9673B}"/>
              </c:ext>
            </c:extLst>
          </c:dPt>
          <c:cat>
            <c:strRef>
              <c:f>Summary!$B$13</c:f>
              <c:strCache>
                <c:ptCount val="1"/>
                <c:pt idx="0">
                  <c:v>Camp</c:v>
                </c:pt>
              </c:strCache>
            </c:strRef>
          </c:cat>
          <c:val>
            <c:numRef>
              <c:f>Summary!$F$33:$F$34</c:f>
              <c:numCache>
                <c:formatCode>0%</c:formatCode>
                <c:ptCount val="2"/>
                <c:pt idx="0">
                  <c:v>9.0524241859474427E-4</c:v>
                </c:pt>
                <c:pt idx="1">
                  <c:v>0.9990947575814052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FC-4F35-8E47-B67CA0E96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97662539657289"/>
          <c:y val="0"/>
          <c:w val="0.97594180357084992"/>
          <c:h val="0.95242516369404318"/>
        </c:manualLayout>
      </c:layout>
      <c:doughnutChart>
        <c:varyColors val="1"/>
        <c:ser>
          <c:idx val="0"/>
          <c:order val="0"/>
          <c:tx>
            <c:strRef>
              <c:f>Summary!$G$13</c:f>
              <c:strCache>
                <c:ptCount val="1"/>
                <c:pt idx="0">
                  <c:v>Religious building</c:v>
                </c:pt>
              </c:strCache>
            </c:strRef>
          </c:tx>
          <c:spPr>
            <a:solidFill>
              <a:schemeClr val="bg1">
                <a:lumMod val="85000"/>
                <a:alpha val="87000"/>
              </a:schemeClr>
            </a:solidFill>
            <a:ln>
              <a:solidFill>
                <a:schemeClr val="bg1">
                  <a:alpha val="96000"/>
                </a:schemeClr>
              </a:solidFill>
            </a:ln>
          </c:spPr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bg1">
                    <a:alpha val="96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F2-460F-859C-8F301A97966B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  <a:alpha val="87000"/>
                </a:schemeClr>
              </a:solidFill>
              <a:ln w="19050">
                <a:solidFill>
                  <a:schemeClr val="bg1">
                    <a:alpha val="96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F2-460F-859C-8F301A97966B}"/>
              </c:ext>
            </c:extLst>
          </c:dPt>
          <c:cat>
            <c:strRef>
              <c:f>Summary!$B$13</c:f>
              <c:strCache>
                <c:ptCount val="1"/>
                <c:pt idx="0">
                  <c:v>Camp</c:v>
                </c:pt>
              </c:strCache>
            </c:strRef>
          </c:cat>
          <c:val>
            <c:numRef>
              <c:f>Summary!$G$33:$G$34</c:f>
              <c:numCache>
                <c:formatCode>0%</c:formatCode>
                <c:ptCount val="2"/>
                <c:pt idx="0">
                  <c:v>6.2135573364573071E-3</c:v>
                </c:pt>
                <c:pt idx="1">
                  <c:v>0.99378644266354266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F2-460F-859C-8F301A979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52385</xdr:colOff>
      <xdr:row>0</xdr:row>
      <xdr:rowOff>104774</xdr:rowOff>
    </xdr:from>
    <xdr:to>
      <xdr:col>13</xdr:col>
      <xdr:colOff>190500</xdr:colOff>
      <xdr:row>15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4FDA2F-D514-441E-BC07-4AEE64A78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438151</xdr:colOff>
      <xdr:row>51</xdr:row>
      <xdr:rowOff>28576</xdr:rowOff>
    </xdr:from>
    <xdr:to>
      <xdr:col>1</xdr:col>
      <xdr:colOff>1057275</xdr:colOff>
      <xdr:row>52</xdr:row>
      <xdr:rowOff>152400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6F1398E6-7369-4FC8-8CA6-169E5AA5245C}"/>
            </a:ext>
          </a:extLst>
        </xdr:cNvPr>
        <xdr:cNvSpPr/>
      </xdr:nvSpPr>
      <xdr:spPr>
        <a:xfrm>
          <a:off x="438151" y="7077076"/>
          <a:ext cx="3086099" cy="3143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bg1">
                  <a:lumMod val="50000"/>
                </a:schemeClr>
              </a:solidFill>
            </a:rPr>
            <a:t>Total Distibution of Shelter Types</a:t>
          </a:r>
        </a:p>
      </xdr:txBody>
    </xdr:sp>
    <xdr:clientData/>
  </xdr:twoCellAnchor>
  <xdr:twoCellAnchor>
    <xdr:from>
      <xdr:col>2</xdr:col>
      <xdr:colOff>295275</xdr:colOff>
      <xdr:row>83</xdr:row>
      <xdr:rowOff>47625</xdr:rowOff>
    </xdr:from>
    <xdr:to>
      <xdr:col>17</xdr:col>
      <xdr:colOff>209550</xdr:colOff>
      <xdr:row>95</xdr:row>
      <xdr:rowOff>76200</xdr:rowOff>
    </xdr:to>
    <xdr:graphicFrame macro="">
      <xdr:nvGraphicFramePr>
        <xdr:cNvPr id="85" name="Chart 84">
          <a:extLst>
            <a:ext uri="{FF2B5EF4-FFF2-40B4-BE49-F238E27FC236}">
              <a16:creationId xmlns:a16="http://schemas.microsoft.com/office/drawing/2014/main" id="{12980182-B45F-4688-A6EA-9227DA1A5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572978</xdr:colOff>
      <xdr:row>72</xdr:row>
      <xdr:rowOff>181114</xdr:rowOff>
    </xdr:from>
    <xdr:to>
      <xdr:col>2</xdr:col>
      <xdr:colOff>543931</xdr:colOff>
      <xdr:row>74</xdr:row>
      <xdr:rowOff>101581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14A94473-A487-4FED-9B3C-CECAE204DA9A}"/>
            </a:ext>
          </a:extLst>
        </xdr:cNvPr>
        <xdr:cNvSpPr/>
      </xdr:nvSpPr>
      <xdr:spPr>
        <a:xfrm>
          <a:off x="1506428" y="11992114"/>
          <a:ext cx="580553" cy="3014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endParaRPr lang="en-US" sz="1600" b="1" i="0" u="none" strike="noStrike">
            <a:solidFill>
              <a:srgbClr val="0070C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0</xdr:colOff>
      <xdr:row>1</xdr:row>
      <xdr:rowOff>180975</xdr:rowOff>
    </xdr:from>
    <xdr:to>
      <xdr:col>15</xdr:col>
      <xdr:colOff>276225</xdr:colOff>
      <xdr:row>48</xdr:row>
      <xdr:rowOff>28575</xdr:rowOff>
    </xdr:to>
    <xdr:graphicFrame macro="">
      <xdr:nvGraphicFramePr>
        <xdr:cNvPr id="91" name="Chart 90">
          <a:extLst>
            <a:ext uri="{FF2B5EF4-FFF2-40B4-BE49-F238E27FC236}">
              <a16:creationId xmlns:a16="http://schemas.microsoft.com/office/drawing/2014/main" id="{DC6CFB63-498B-41C7-8FEE-6693A866A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104918</xdr:rowOff>
    </xdr:from>
    <xdr:to>
      <xdr:col>17</xdr:col>
      <xdr:colOff>95250</xdr:colOff>
      <xdr:row>80</xdr:row>
      <xdr:rowOff>19050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6F9C8416-1F74-4475-AFD8-9CCE553368FC}"/>
            </a:ext>
          </a:extLst>
        </xdr:cNvPr>
        <xdr:cNvGrpSpPr/>
      </xdr:nvGrpSpPr>
      <xdr:grpSpPr>
        <a:xfrm>
          <a:off x="0" y="7153418"/>
          <a:ext cx="11791950" cy="4867132"/>
          <a:chOff x="180602" y="10068068"/>
          <a:chExt cx="11836722" cy="5648182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AF3D1590-4527-4C32-96E7-D9902F0CCEB0}"/>
              </a:ext>
            </a:extLst>
          </xdr:cNvPr>
          <xdr:cNvGrpSpPr/>
        </xdr:nvGrpSpPr>
        <xdr:grpSpPr>
          <a:xfrm>
            <a:off x="180602" y="10068068"/>
            <a:ext cx="11836722" cy="5648182"/>
            <a:chOff x="180602" y="10068068"/>
            <a:chExt cx="11836722" cy="5648182"/>
          </a:xfrm>
        </xdr:grpSpPr>
        <xdr:sp macro="" textlink="Summary!B13">
          <xdr:nvSpPr>
            <xdr:cNvPr id="10" name="Rectangle 9">
              <a:extLst>
                <a:ext uri="{FF2B5EF4-FFF2-40B4-BE49-F238E27FC236}">
                  <a16:creationId xmlns:a16="http://schemas.microsoft.com/office/drawing/2014/main" id="{0E45ED05-CD3D-4DF1-89E2-1CE8230FBBDD}"/>
                </a:ext>
              </a:extLst>
            </xdr:cNvPr>
            <xdr:cNvSpPr/>
          </xdr:nvSpPr>
          <xdr:spPr>
            <a:xfrm>
              <a:off x="517429" y="12299261"/>
              <a:ext cx="832731" cy="3810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fld id="{A8255BF9-13DC-4BB9-92A2-9F01C696851A}" type="TxLink">
                <a:rPr lang="en-US" sz="1400" b="1" i="0" u="none" strike="noStrike">
                  <a:solidFill>
                    <a:schemeClr val="bg1">
                      <a:lumMod val="50000"/>
                    </a:schemeClr>
                  </a:solidFill>
                  <a:latin typeface="Calibri"/>
                  <a:ea typeface="+mn-ea"/>
                  <a:cs typeface="Calibri"/>
                </a:rPr>
                <a:pPr marL="0" indent="0" algn="l"/>
                <a:t>Camp</a:t>
              </a:fld>
              <a:endParaRPr lang="en-US" sz="1400" b="1" i="0" u="none" strike="noStrike">
                <a:solidFill>
                  <a:schemeClr val="bg1">
                    <a:lumMod val="50000"/>
                  </a:schemeClr>
                </a:solidFill>
                <a:latin typeface="Calibri"/>
                <a:ea typeface="+mn-ea"/>
                <a:cs typeface="Calibri"/>
              </a:endParaRPr>
            </a:p>
          </xdr:txBody>
        </xdr:sp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8F77722A-249A-4D12-B008-49237D10C832}"/>
                </a:ext>
              </a:extLst>
            </xdr:cNvPr>
            <xdr:cNvGrpSpPr/>
          </xdr:nvGrpSpPr>
          <xdr:grpSpPr>
            <a:xfrm>
              <a:off x="180602" y="10068068"/>
              <a:ext cx="11836722" cy="5648182"/>
              <a:chOff x="180602" y="10125218"/>
              <a:chExt cx="11836722" cy="5648182"/>
            </a:xfrm>
          </xdr:grpSpPr>
          <xdr:grpSp>
            <xdr:nvGrpSpPr>
              <xdr:cNvPr id="3" name="Group 2">
                <a:extLst>
                  <a:ext uri="{FF2B5EF4-FFF2-40B4-BE49-F238E27FC236}">
                    <a16:creationId xmlns:a16="http://schemas.microsoft.com/office/drawing/2014/main" id="{A51999F2-2731-4B2D-AE26-47F2475CCBB4}"/>
                  </a:ext>
                </a:extLst>
              </xdr:cNvPr>
              <xdr:cNvGrpSpPr/>
            </xdr:nvGrpSpPr>
            <xdr:grpSpPr>
              <a:xfrm>
                <a:off x="180602" y="10125218"/>
                <a:ext cx="11836722" cy="5648182"/>
                <a:chOff x="571127" y="10134743"/>
                <a:chExt cx="11836722" cy="5648182"/>
              </a:xfrm>
            </xdr:grpSpPr>
            <xdr:graphicFrame macro="">
              <xdr:nvGraphicFramePr>
                <xdr:cNvPr id="8" name="Chart 7">
                  <a:extLst>
                    <a:ext uri="{FF2B5EF4-FFF2-40B4-BE49-F238E27FC236}">
                      <a16:creationId xmlns:a16="http://schemas.microsoft.com/office/drawing/2014/main" id="{98D05345-4C94-46BC-AF04-6DCAC7767C1A}"/>
                    </a:ext>
                  </a:extLst>
                </xdr:cNvPr>
                <xdr:cNvGraphicFramePr/>
              </xdr:nvGraphicFramePr>
              <xdr:xfrm>
                <a:off x="923925" y="10134743"/>
                <a:ext cx="2000251" cy="2174144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3"/>
                </a:graphicData>
              </a:graphic>
            </xdr:graphicFrame>
            <xdr:sp macro="" textlink="Summary!B33">
              <xdr:nvSpPr>
                <xdr:cNvPr id="9" name="Rectangle 8">
                  <a:extLst>
                    <a:ext uri="{FF2B5EF4-FFF2-40B4-BE49-F238E27FC236}">
                      <a16:creationId xmlns:a16="http://schemas.microsoft.com/office/drawing/2014/main" id="{E0ADC233-4A89-4DFA-873A-F99C68A299B4}"/>
                    </a:ext>
                  </a:extLst>
                </xdr:cNvPr>
                <xdr:cNvSpPr/>
              </xdr:nvSpPr>
              <xdr:spPr>
                <a:xfrm>
                  <a:off x="1585963" y="10951969"/>
                  <a:ext cx="849999" cy="401831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chemeClr val="bg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marL="0" indent="0" algn="l"/>
                  <a:fld id="{BAEB4C25-7846-4720-A3C1-B62F7510AA01}" type="TxLink">
                    <a:rPr lang="en-US" sz="2700" b="1" i="0" u="none" strike="noStrike">
                      <a:solidFill>
                        <a:srgbClr val="0070C0"/>
                      </a:solidFill>
                      <a:latin typeface="Calibri"/>
                      <a:ea typeface="+mn-ea"/>
                      <a:cs typeface="Calibri"/>
                    </a:rPr>
                    <a:pPr marL="0" indent="0" algn="l"/>
                    <a:t>30%</a:t>
                  </a:fld>
                  <a:endParaRPr lang="en-US" sz="2700" b="1" i="0" u="none" strike="noStrike">
                    <a:solidFill>
                      <a:srgbClr val="0070C0"/>
                    </a:solidFill>
                    <a:latin typeface="Calibri"/>
                    <a:ea typeface="+mn-ea"/>
                    <a:cs typeface="Calibri"/>
                  </a:endParaRPr>
                </a:p>
              </xdr:txBody>
            </xdr:sp>
            <xdr:grpSp>
              <xdr:nvGrpSpPr>
                <xdr:cNvPr id="48" name="Group 47">
                  <a:extLst>
                    <a:ext uri="{FF2B5EF4-FFF2-40B4-BE49-F238E27FC236}">
                      <a16:creationId xmlns:a16="http://schemas.microsoft.com/office/drawing/2014/main" id="{015C7A5A-805B-4287-A9D5-2867D7E66F9B}"/>
                    </a:ext>
                  </a:extLst>
                </xdr:cNvPr>
                <xdr:cNvGrpSpPr/>
              </xdr:nvGrpSpPr>
              <xdr:grpSpPr>
                <a:xfrm>
                  <a:off x="3170527" y="10182222"/>
                  <a:ext cx="2020597" cy="2585893"/>
                  <a:chOff x="136706" y="2971800"/>
                  <a:chExt cx="1558744" cy="1880599"/>
                </a:xfrm>
              </xdr:grpSpPr>
              <xdr:graphicFrame macro="">
                <xdr:nvGraphicFramePr>
                  <xdr:cNvPr id="49" name="Chart 48">
                    <a:extLst>
                      <a:ext uri="{FF2B5EF4-FFF2-40B4-BE49-F238E27FC236}">
                        <a16:creationId xmlns:a16="http://schemas.microsoft.com/office/drawing/2014/main" id="{D2947750-F7A4-499F-B94D-5C1F9140BB09}"/>
                      </a:ext>
                    </a:extLst>
                  </xdr:cNvPr>
                  <xdr:cNvGraphicFramePr/>
                </xdr:nvGraphicFramePr>
                <xdr:xfrm>
                  <a:off x="152400" y="2971800"/>
                  <a:ext cx="1543050" cy="1581151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4"/>
                  </a:graphicData>
                </a:graphic>
              </xdr:graphicFrame>
              <xdr:sp macro="" textlink="Summary!C33">
                <xdr:nvSpPr>
                  <xdr:cNvPr id="50" name="Rectangle 49">
                    <a:extLst>
                      <a:ext uri="{FF2B5EF4-FFF2-40B4-BE49-F238E27FC236}">
                        <a16:creationId xmlns:a16="http://schemas.microsoft.com/office/drawing/2014/main" id="{5311DB71-4130-4CA0-A6A5-5B7243202F47}"/>
                      </a:ext>
                    </a:extLst>
                  </xdr:cNvPr>
                  <xdr:cNvSpPr/>
                </xdr:nvSpPr>
                <xdr:spPr>
                  <a:xfrm>
                    <a:off x="655767" y="3531494"/>
                    <a:ext cx="655713" cy="396139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6D32349C-F2B9-40A4-A53D-8DE2FCC65DD7}" type="TxLink">
                      <a:rPr lang="en-US" sz="2700" b="1" i="0" u="none" strike="noStrike">
                        <a:solidFill>
                          <a:srgbClr val="0070C0"/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10%</a:t>
                    </a:fld>
                    <a:endParaRPr lang="en-US" sz="2700" b="1" i="0" u="none" strike="noStrike">
                      <a:solidFill>
                        <a:srgbClr val="0070C0"/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  <xdr:sp macro="" textlink="Summary!C13">
                <xdr:nvSpPr>
                  <xdr:cNvPr id="51" name="Rectangle 50">
                    <a:extLst>
                      <a:ext uri="{FF2B5EF4-FFF2-40B4-BE49-F238E27FC236}">
                        <a16:creationId xmlns:a16="http://schemas.microsoft.com/office/drawing/2014/main" id="{15C2385C-5E6F-4D55-A2E3-F2DEEF70A8E6}"/>
                      </a:ext>
                    </a:extLst>
                  </xdr:cNvPr>
                  <xdr:cNvSpPr/>
                </xdr:nvSpPr>
                <xdr:spPr>
                  <a:xfrm>
                    <a:off x="136706" y="4585790"/>
                    <a:ext cx="1284782" cy="266609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025D537C-C8E2-44D1-AF67-502CC2D86EE8}" type="TxLink">
                      <a:rPr lang="en-US" sz="1400" b="1" i="0" u="none" strike="noStrike">
                        <a:solidFill>
                          <a:schemeClr val="bg1">
                            <a:lumMod val="50000"/>
                          </a:schemeClr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Host families</a:t>
                    </a:fld>
                    <a:endParaRPr lang="en-US" sz="1400" b="1" i="0" u="none" strike="noStrike">
                      <a:solidFill>
                        <a:schemeClr val="bg1">
                          <a:lumMod val="50000"/>
                        </a:schemeClr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</xdr:grpSp>
            <xdr:grpSp>
              <xdr:nvGrpSpPr>
                <xdr:cNvPr id="52" name="Group 51">
                  <a:extLst>
                    <a:ext uri="{FF2B5EF4-FFF2-40B4-BE49-F238E27FC236}">
                      <a16:creationId xmlns:a16="http://schemas.microsoft.com/office/drawing/2014/main" id="{309D0EB8-F190-4DE9-83FD-2277418B6976}"/>
                    </a:ext>
                  </a:extLst>
                </xdr:cNvPr>
                <xdr:cNvGrpSpPr/>
              </xdr:nvGrpSpPr>
              <xdr:grpSpPr>
                <a:xfrm>
                  <a:off x="5465399" y="10201417"/>
                  <a:ext cx="2381774" cy="2645862"/>
                  <a:chOff x="143549" y="2971800"/>
                  <a:chExt cx="1837367" cy="1924210"/>
                </a:xfrm>
              </xdr:grpSpPr>
              <xdr:graphicFrame macro="">
                <xdr:nvGraphicFramePr>
                  <xdr:cNvPr id="53" name="Chart 52">
                    <a:extLst>
                      <a:ext uri="{FF2B5EF4-FFF2-40B4-BE49-F238E27FC236}">
                        <a16:creationId xmlns:a16="http://schemas.microsoft.com/office/drawing/2014/main" id="{75985FC2-31D6-42CE-8E46-2EA5D9F11AA6}"/>
                      </a:ext>
                    </a:extLst>
                  </xdr:cNvPr>
                  <xdr:cNvGraphicFramePr/>
                </xdr:nvGraphicFramePr>
                <xdr:xfrm>
                  <a:off x="152400" y="2971800"/>
                  <a:ext cx="1543050" cy="1581151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5"/>
                  </a:graphicData>
                </a:graphic>
              </xdr:graphicFrame>
              <xdr:sp macro="" textlink="Summary!D33">
                <xdr:nvSpPr>
                  <xdr:cNvPr id="54" name="Rectangle 53">
                    <a:extLst>
                      <a:ext uri="{FF2B5EF4-FFF2-40B4-BE49-F238E27FC236}">
                        <a16:creationId xmlns:a16="http://schemas.microsoft.com/office/drawing/2014/main" id="{A2797C2C-EF45-481A-A10A-25BE249E6708}"/>
                      </a:ext>
                    </a:extLst>
                  </xdr:cNvPr>
                  <xdr:cNvSpPr/>
                </xdr:nvSpPr>
                <xdr:spPr>
                  <a:xfrm>
                    <a:off x="722605" y="3565868"/>
                    <a:ext cx="492646" cy="327387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A5748D00-91D3-416E-8354-FB891F46FB02}" type="TxLink">
                      <a:rPr lang="en-US" sz="2700" b="1" i="0" u="none" strike="noStrike">
                        <a:solidFill>
                          <a:srgbClr val="0070C0"/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0%</a:t>
                    </a:fld>
                    <a:endParaRPr lang="en-US" sz="2700" b="1" i="0" u="none" strike="noStrike">
                      <a:solidFill>
                        <a:srgbClr val="0070C0"/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  <xdr:sp macro="" textlink="Summary!D13">
                <xdr:nvSpPr>
                  <xdr:cNvPr id="55" name="Rectangle 54">
                    <a:extLst>
                      <a:ext uri="{FF2B5EF4-FFF2-40B4-BE49-F238E27FC236}">
                        <a16:creationId xmlns:a16="http://schemas.microsoft.com/office/drawing/2014/main" id="{C5990FE7-6B00-411A-B1F9-B1DC9C6FC373}"/>
                      </a:ext>
                    </a:extLst>
                  </xdr:cNvPr>
                  <xdr:cNvSpPr/>
                </xdr:nvSpPr>
                <xdr:spPr>
                  <a:xfrm>
                    <a:off x="143549" y="4573413"/>
                    <a:ext cx="1837367" cy="322597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D7619655-F048-4AAE-8BC3-9D3F43D54893}" type="TxLink">
                      <a:rPr lang="en-US" sz="1400" b="1" i="0" u="none" strike="noStrike">
                        <a:solidFill>
                          <a:schemeClr val="bg1">
                            <a:lumMod val="50000"/>
                          </a:schemeClr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Hotel/Motel or short-term rental</a:t>
                    </a:fld>
                    <a:endParaRPr lang="en-US" sz="1400" b="1" i="0" u="none" strike="noStrike">
                      <a:solidFill>
                        <a:schemeClr val="bg1">
                          <a:lumMod val="50000"/>
                        </a:schemeClr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</xdr:grpSp>
            <xdr:grpSp>
              <xdr:nvGrpSpPr>
                <xdr:cNvPr id="56" name="Group 55">
                  <a:extLst>
                    <a:ext uri="{FF2B5EF4-FFF2-40B4-BE49-F238E27FC236}">
                      <a16:creationId xmlns:a16="http://schemas.microsoft.com/office/drawing/2014/main" id="{D44C0A79-E838-47DA-9808-5D22D122786F}"/>
                    </a:ext>
                  </a:extLst>
                </xdr:cNvPr>
                <xdr:cNvGrpSpPr/>
              </xdr:nvGrpSpPr>
              <xdr:grpSpPr>
                <a:xfrm>
                  <a:off x="7660681" y="10220324"/>
                  <a:ext cx="2176965" cy="2637344"/>
                  <a:chOff x="124999" y="2971800"/>
                  <a:chExt cx="1679373" cy="1918015"/>
                </a:xfrm>
              </xdr:grpSpPr>
              <xdr:graphicFrame macro="">
                <xdr:nvGraphicFramePr>
                  <xdr:cNvPr id="57" name="Chart 56">
                    <a:extLst>
                      <a:ext uri="{FF2B5EF4-FFF2-40B4-BE49-F238E27FC236}">
                        <a16:creationId xmlns:a16="http://schemas.microsoft.com/office/drawing/2014/main" id="{8D1CB3D1-ED61-4804-B213-415E9E558C8B}"/>
                      </a:ext>
                    </a:extLst>
                  </xdr:cNvPr>
                  <xdr:cNvGraphicFramePr/>
                </xdr:nvGraphicFramePr>
                <xdr:xfrm>
                  <a:off x="152400" y="2971800"/>
                  <a:ext cx="1543050" cy="1581151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6"/>
                  </a:graphicData>
                </a:graphic>
              </xdr:graphicFrame>
              <xdr:sp macro="" textlink="Summary!E33">
                <xdr:nvSpPr>
                  <xdr:cNvPr id="58" name="Rectangle 57">
                    <a:extLst>
                      <a:ext uri="{FF2B5EF4-FFF2-40B4-BE49-F238E27FC236}">
                        <a16:creationId xmlns:a16="http://schemas.microsoft.com/office/drawing/2014/main" id="{A6F55C99-2C22-4D4B-B5F6-15F457C857E0}"/>
                      </a:ext>
                    </a:extLst>
                  </xdr:cNvPr>
                  <xdr:cNvSpPr/>
                </xdr:nvSpPr>
                <xdr:spPr>
                  <a:xfrm>
                    <a:off x="705320" y="3510713"/>
                    <a:ext cx="541911" cy="396139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7E4C6AF4-7A0C-49C1-BB20-C96466109E47}" type="TxLink">
                      <a:rPr lang="en-US" sz="2700" b="1" i="0" u="none" strike="noStrike">
                        <a:solidFill>
                          <a:srgbClr val="0070C0"/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3%</a:t>
                    </a:fld>
                    <a:endParaRPr lang="en-US" sz="2700" b="1" i="0" u="none" strike="noStrike">
                      <a:solidFill>
                        <a:srgbClr val="0070C0"/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  <xdr:sp macro="" textlink="Summary!E13">
                <xdr:nvSpPr>
                  <xdr:cNvPr id="59" name="Rectangle 58">
                    <a:extLst>
                      <a:ext uri="{FF2B5EF4-FFF2-40B4-BE49-F238E27FC236}">
                        <a16:creationId xmlns:a16="http://schemas.microsoft.com/office/drawing/2014/main" id="{904E9162-C2D4-4E13-B7B0-1BCBF6C28279}"/>
                      </a:ext>
                    </a:extLst>
                  </xdr:cNvPr>
                  <xdr:cNvSpPr/>
                </xdr:nvSpPr>
                <xdr:spPr>
                  <a:xfrm>
                    <a:off x="124999" y="4585810"/>
                    <a:ext cx="1679373" cy="304005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1DA583B1-F4DD-445D-9AAE-BEC3053275F5}" type="TxLink">
                      <a:rPr lang="en-US" sz="1400" b="1" i="0" u="none" strike="noStrike">
                        <a:solidFill>
                          <a:schemeClr val="bg1">
                            <a:lumMod val="50000"/>
                          </a:schemeClr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Informal settlements</a:t>
                    </a:fld>
                    <a:endParaRPr lang="en-US" sz="1400" b="1" i="0" u="none" strike="noStrike">
                      <a:solidFill>
                        <a:schemeClr val="bg1">
                          <a:lumMod val="50000"/>
                        </a:schemeClr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</xdr:grpSp>
            <xdr:grpSp>
              <xdr:nvGrpSpPr>
                <xdr:cNvPr id="60" name="Group 59">
                  <a:extLst>
                    <a:ext uri="{FF2B5EF4-FFF2-40B4-BE49-F238E27FC236}">
                      <a16:creationId xmlns:a16="http://schemas.microsoft.com/office/drawing/2014/main" id="{3CE9A292-E8F4-44AF-B3FE-6E8D3817F86E}"/>
                    </a:ext>
                  </a:extLst>
                </xdr:cNvPr>
                <xdr:cNvGrpSpPr/>
              </xdr:nvGrpSpPr>
              <xdr:grpSpPr>
                <a:xfrm>
                  <a:off x="9866181" y="10229850"/>
                  <a:ext cx="2541668" cy="2809733"/>
                  <a:chOff x="129033" y="2971800"/>
                  <a:chExt cx="1960714" cy="2043385"/>
                </a:xfrm>
              </xdr:grpSpPr>
              <xdr:graphicFrame macro="">
                <xdr:nvGraphicFramePr>
                  <xdr:cNvPr id="61" name="Chart 60">
                    <a:extLst>
                      <a:ext uri="{FF2B5EF4-FFF2-40B4-BE49-F238E27FC236}">
                        <a16:creationId xmlns:a16="http://schemas.microsoft.com/office/drawing/2014/main" id="{3BD05ED4-D957-46FC-AD37-F9FE2C3C8CD6}"/>
                      </a:ext>
                    </a:extLst>
                  </xdr:cNvPr>
                  <xdr:cNvGraphicFramePr/>
                </xdr:nvGraphicFramePr>
                <xdr:xfrm>
                  <a:off x="152400" y="2971800"/>
                  <a:ext cx="1543050" cy="1581151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7"/>
                  </a:graphicData>
                </a:graphic>
              </xdr:graphicFrame>
              <xdr:sp macro="" textlink="Summary!F33">
                <xdr:nvSpPr>
                  <xdr:cNvPr id="62" name="Rectangle 61">
                    <a:extLst>
                      <a:ext uri="{FF2B5EF4-FFF2-40B4-BE49-F238E27FC236}">
                        <a16:creationId xmlns:a16="http://schemas.microsoft.com/office/drawing/2014/main" id="{A1FFB744-FDD7-4087-8DB2-E6C650431BCB}"/>
                      </a:ext>
                    </a:extLst>
                  </xdr:cNvPr>
                  <xdr:cNvSpPr/>
                </xdr:nvSpPr>
                <xdr:spPr>
                  <a:xfrm>
                    <a:off x="751290" y="3483005"/>
                    <a:ext cx="655713" cy="320044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E553AF43-524A-484D-9D19-3E17E32E6115}" type="TxLink">
                      <a:rPr lang="en-US" sz="2700" b="1" i="0" u="none" strike="noStrike">
                        <a:solidFill>
                          <a:srgbClr val="0070C0"/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0%</a:t>
                    </a:fld>
                    <a:endParaRPr lang="en-US" sz="2700" b="1" i="0" u="none" strike="noStrike">
                      <a:solidFill>
                        <a:srgbClr val="0070C0"/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  <xdr:sp macro="" textlink="Summary!F13">
                <xdr:nvSpPr>
                  <xdr:cNvPr id="63" name="Rectangle 62">
                    <a:extLst>
                      <a:ext uri="{FF2B5EF4-FFF2-40B4-BE49-F238E27FC236}">
                        <a16:creationId xmlns:a16="http://schemas.microsoft.com/office/drawing/2014/main" id="{F421721B-4F1C-45CB-B1DD-F466D3AE50C8}"/>
                      </a:ext>
                    </a:extLst>
                  </xdr:cNvPr>
                  <xdr:cNvSpPr/>
                </xdr:nvSpPr>
                <xdr:spPr>
                  <a:xfrm>
                    <a:off x="129033" y="4585809"/>
                    <a:ext cx="1960714" cy="429376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1448F86E-6AF1-4398-B824-013D3F591A97}" type="TxLink">
                      <a:rPr lang="en-US" sz="1400" b="1" i="0" u="none" strike="noStrike">
                        <a:solidFill>
                          <a:schemeClr val="bg1">
                            <a:lumMod val="50000"/>
                          </a:schemeClr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Other shelter type</a:t>
                    </a:fld>
                    <a:endParaRPr lang="en-US" sz="1400" b="1" i="0" u="none" strike="noStrike">
                      <a:solidFill>
                        <a:schemeClr val="bg1">
                          <a:lumMod val="50000"/>
                        </a:schemeClr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</xdr:grpSp>
            <xdr:grpSp>
              <xdr:nvGrpSpPr>
                <xdr:cNvPr id="64" name="Group 63">
                  <a:extLst>
                    <a:ext uri="{FF2B5EF4-FFF2-40B4-BE49-F238E27FC236}">
                      <a16:creationId xmlns:a16="http://schemas.microsoft.com/office/drawing/2014/main" id="{9723EFEC-23BE-49B3-A24F-BE0036BEC064}"/>
                    </a:ext>
                  </a:extLst>
                </xdr:cNvPr>
                <xdr:cNvGrpSpPr/>
              </xdr:nvGrpSpPr>
              <xdr:grpSpPr>
                <a:xfrm>
                  <a:off x="571127" y="13030339"/>
                  <a:ext cx="2427425" cy="2637591"/>
                  <a:chOff x="131240" y="2971800"/>
                  <a:chExt cx="1622757" cy="1918196"/>
                </a:xfrm>
              </xdr:grpSpPr>
              <xdr:graphicFrame macro="">
                <xdr:nvGraphicFramePr>
                  <xdr:cNvPr id="65" name="Chart 64">
                    <a:extLst>
                      <a:ext uri="{FF2B5EF4-FFF2-40B4-BE49-F238E27FC236}">
                        <a16:creationId xmlns:a16="http://schemas.microsoft.com/office/drawing/2014/main" id="{53AE6454-497C-4144-821C-4B0B6EC55882}"/>
                      </a:ext>
                    </a:extLst>
                  </xdr:cNvPr>
                  <xdr:cNvGraphicFramePr/>
                </xdr:nvGraphicFramePr>
                <xdr:xfrm>
                  <a:off x="152400" y="2971800"/>
                  <a:ext cx="1543050" cy="1581151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8"/>
                  </a:graphicData>
                </a:graphic>
              </xdr:graphicFrame>
              <xdr:sp macro="" textlink="Summary!G33">
                <xdr:nvSpPr>
                  <xdr:cNvPr id="66" name="Rectangle 65">
                    <a:extLst>
                      <a:ext uri="{FF2B5EF4-FFF2-40B4-BE49-F238E27FC236}">
                        <a16:creationId xmlns:a16="http://schemas.microsoft.com/office/drawing/2014/main" id="{FFA5BC24-5947-4FA5-B1A7-E54B1AB883F2}"/>
                      </a:ext>
                    </a:extLst>
                  </xdr:cNvPr>
                  <xdr:cNvSpPr/>
                </xdr:nvSpPr>
                <xdr:spPr>
                  <a:xfrm>
                    <a:off x="767936" y="3510713"/>
                    <a:ext cx="407832" cy="396139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611FD4A9-746A-45C1-94E2-8F8225BD62AB}" type="TxLink">
                      <a:rPr lang="en-US" sz="2700" b="1" i="0" u="none" strike="noStrike">
                        <a:solidFill>
                          <a:srgbClr val="0070C0"/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1%</a:t>
                    </a:fld>
                    <a:endParaRPr lang="en-US" sz="2700" b="1" i="0" u="none" strike="noStrike">
                      <a:solidFill>
                        <a:srgbClr val="0070C0"/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  <xdr:sp macro="" textlink="Summary!G13">
                <xdr:nvSpPr>
                  <xdr:cNvPr id="67" name="Rectangle 66">
                    <a:extLst>
                      <a:ext uri="{FF2B5EF4-FFF2-40B4-BE49-F238E27FC236}">
                        <a16:creationId xmlns:a16="http://schemas.microsoft.com/office/drawing/2014/main" id="{68C21E0B-F101-4FB9-BFBB-BF6F7A96E4C7}"/>
                      </a:ext>
                    </a:extLst>
                  </xdr:cNvPr>
                  <xdr:cNvSpPr/>
                </xdr:nvSpPr>
                <xdr:spPr>
                  <a:xfrm>
                    <a:off x="131240" y="4596726"/>
                    <a:ext cx="1622757" cy="293270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CB8B9FBE-14E5-43C9-A06B-B12244A0AFAB}" type="TxLink">
                      <a:rPr lang="en-US" sz="1400" b="1" i="0" u="none" strike="noStrike">
                        <a:solidFill>
                          <a:schemeClr val="bg1">
                            <a:lumMod val="50000"/>
                          </a:schemeClr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Religious building</a:t>
                    </a:fld>
                    <a:endParaRPr lang="en-US" sz="1400" b="1" i="0" u="none" strike="noStrike">
                      <a:solidFill>
                        <a:schemeClr val="bg1">
                          <a:lumMod val="50000"/>
                        </a:schemeClr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</xdr:grpSp>
            <xdr:grpSp>
              <xdr:nvGrpSpPr>
                <xdr:cNvPr id="68" name="Group 67">
                  <a:extLst>
                    <a:ext uri="{FF2B5EF4-FFF2-40B4-BE49-F238E27FC236}">
                      <a16:creationId xmlns:a16="http://schemas.microsoft.com/office/drawing/2014/main" id="{07E7F25A-361E-404F-8FE4-9D0FB40579C5}"/>
                    </a:ext>
                  </a:extLst>
                </xdr:cNvPr>
                <xdr:cNvGrpSpPr/>
              </xdr:nvGrpSpPr>
              <xdr:grpSpPr>
                <a:xfrm>
                  <a:off x="2808721" y="13087351"/>
                  <a:ext cx="2724649" cy="2680699"/>
                  <a:chOff x="-193838" y="2971800"/>
                  <a:chExt cx="2101869" cy="1949545"/>
                </a:xfrm>
              </xdr:grpSpPr>
              <xdr:graphicFrame macro="">
                <xdr:nvGraphicFramePr>
                  <xdr:cNvPr id="69" name="Chart 68">
                    <a:extLst>
                      <a:ext uri="{FF2B5EF4-FFF2-40B4-BE49-F238E27FC236}">
                        <a16:creationId xmlns:a16="http://schemas.microsoft.com/office/drawing/2014/main" id="{3B9CBB35-82A1-461A-8E52-2FBF9F268E2C}"/>
                      </a:ext>
                    </a:extLst>
                  </xdr:cNvPr>
                  <xdr:cNvGraphicFramePr/>
                </xdr:nvGraphicFramePr>
                <xdr:xfrm>
                  <a:off x="152400" y="2971800"/>
                  <a:ext cx="1543050" cy="1581151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9"/>
                  </a:graphicData>
                </a:graphic>
              </xdr:graphicFrame>
              <xdr:sp macro="" textlink="Summary!H33">
                <xdr:nvSpPr>
                  <xdr:cNvPr id="70" name="Rectangle 69">
                    <a:extLst>
                      <a:ext uri="{FF2B5EF4-FFF2-40B4-BE49-F238E27FC236}">
                        <a16:creationId xmlns:a16="http://schemas.microsoft.com/office/drawing/2014/main" id="{75C1D932-6901-4739-8B2D-135D8D65BB57}"/>
                      </a:ext>
                    </a:extLst>
                  </xdr:cNvPr>
                  <xdr:cNvSpPr/>
                </xdr:nvSpPr>
                <xdr:spPr>
                  <a:xfrm>
                    <a:off x="648419" y="3510713"/>
                    <a:ext cx="655713" cy="396139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7A6D5000-F69F-4F19-B10C-468496E70C13}" type="TxLink">
                      <a:rPr lang="en-US" sz="2700" b="1" i="0" u="none" strike="noStrike">
                        <a:solidFill>
                          <a:srgbClr val="0070C0"/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51%</a:t>
                    </a:fld>
                    <a:endParaRPr lang="en-US" sz="2700" b="1" i="0" u="none" strike="noStrike">
                      <a:solidFill>
                        <a:srgbClr val="0070C0"/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  <xdr:sp macro="" textlink="Summary!H13">
                <xdr:nvSpPr>
                  <xdr:cNvPr id="71" name="Rectangle 70">
                    <a:extLst>
                      <a:ext uri="{FF2B5EF4-FFF2-40B4-BE49-F238E27FC236}">
                        <a16:creationId xmlns:a16="http://schemas.microsoft.com/office/drawing/2014/main" id="{ACF28E71-1DAC-4339-84E5-2B09F3CE3C11}"/>
                      </a:ext>
                    </a:extLst>
                  </xdr:cNvPr>
                  <xdr:cNvSpPr/>
                </xdr:nvSpPr>
                <xdr:spPr>
                  <a:xfrm>
                    <a:off x="-193838" y="4598748"/>
                    <a:ext cx="2101869" cy="322597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913AE03F-0F96-4CEB-91F7-C6F1DD4AAC92}" type="TxLink">
                      <a:rPr lang="en-US" sz="1400" b="1" i="0" u="none" strike="noStrike">
                        <a:solidFill>
                          <a:schemeClr val="bg1">
                            <a:lumMod val="50000"/>
                          </a:schemeClr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Long term rental accommodation</a:t>
                    </a:fld>
                    <a:endParaRPr lang="en-US" sz="1400" b="1" i="0" u="none" strike="noStrike">
                      <a:solidFill>
                        <a:schemeClr val="bg1">
                          <a:lumMod val="50000"/>
                        </a:schemeClr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</xdr:grpSp>
            <xdr:grpSp>
              <xdr:nvGrpSpPr>
                <xdr:cNvPr id="72" name="Group 71">
                  <a:extLst>
                    <a:ext uri="{FF2B5EF4-FFF2-40B4-BE49-F238E27FC236}">
                      <a16:creationId xmlns:a16="http://schemas.microsoft.com/office/drawing/2014/main" id="{385EE435-DE5A-435C-93A4-EC767AB0B578}"/>
                    </a:ext>
                  </a:extLst>
                </xdr:cNvPr>
                <xdr:cNvGrpSpPr/>
              </xdr:nvGrpSpPr>
              <xdr:grpSpPr>
                <a:xfrm>
                  <a:off x="5572124" y="13087348"/>
                  <a:ext cx="2000252" cy="2579742"/>
                  <a:chOff x="152400" y="2971799"/>
                  <a:chExt cx="1543050" cy="1876124"/>
                </a:xfrm>
              </xdr:grpSpPr>
              <xdr:graphicFrame macro="">
                <xdr:nvGraphicFramePr>
                  <xdr:cNvPr id="73" name="Chart 72">
                    <a:extLst>
                      <a:ext uri="{FF2B5EF4-FFF2-40B4-BE49-F238E27FC236}">
                        <a16:creationId xmlns:a16="http://schemas.microsoft.com/office/drawing/2014/main" id="{1CB818DE-C722-4109-AA63-39F420DFD977}"/>
                      </a:ext>
                    </a:extLst>
                  </xdr:cNvPr>
                  <xdr:cNvGraphicFramePr/>
                </xdr:nvGraphicFramePr>
                <xdr:xfrm>
                  <a:off x="152400" y="2971799"/>
                  <a:ext cx="1543050" cy="1581151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10"/>
                  </a:graphicData>
                </a:graphic>
              </xdr:graphicFrame>
              <xdr:sp macro="" textlink="Summary!I33">
                <xdr:nvSpPr>
                  <xdr:cNvPr id="74" name="Rectangle 73">
                    <a:extLst>
                      <a:ext uri="{FF2B5EF4-FFF2-40B4-BE49-F238E27FC236}">
                        <a16:creationId xmlns:a16="http://schemas.microsoft.com/office/drawing/2014/main" id="{F2428816-D10D-4A1D-BFF9-6FA70A8B6866}"/>
                      </a:ext>
                    </a:extLst>
                  </xdr:cNvPr>
                  <xdr:cNvSpPr/>
                </xdr:nvSpPr>
                <xdr:spPr>
                  <a:xfrm>
                    <a:off x="697971" y="3538421"/>
                    <a:ext cx="541910" cy="396139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10164475-79C2-41F3-88A1-ABE9E0AE7A56}" type="TxLink">
                      <a:rPr lang="en-US" sz="2700" b="1" i="0" u="none" strike="noStrike">
                        <a:solidFill>
                          <a:srgbClr val="0070C0"/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0%</a:t>
                    </a:fld>
                    <a:endParaRPr lang="en-US" sz="2700" b="1" i="0" u="none" strike="noStrike">
                      <a:solidFill>
                        <a:srgbClr val="0070C0"/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  <xdr:sp macro="" textlink="Summary!I13">
                <xdr:nvSpPr>
                  <xdr:cNvPr id="75" name="Rectangle 74">
                    <a:extLst>
                      <a:ext uri="{FF2B5EF4-FFF2-40B4-BE49-F238E27FC236}">
                        <a16:creationId xmlns:a16="http://schemas.microsoft.com/office/drawing/2014/main" id="{A3A1BD53-82E4-4BE4-A62E-562E1B99A22B}"/>
                      </a:ext>
                    </a:extLst>
                  </xdr:cNvPr>
                  <xdr:cNvSpPr/>
                </xdr:nvSpPr>
                <xdr:spPr>
                  <a:xfrm>
                    <a:off x="178620" y="4605550"/>
                    <a:ext cx="1503372" cy="242373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04FA292D-71CC-4FFF-9354-A97590899FF0}" type="TxLink">
                      <a:rPr lang="en-US" sz="1400" b="1" i="0" u="none" strike="noStrike">
                        <a:solidFill>
                          <a:schemeClr val="bg1">
                            <a:lumMod val="50000"/>
                          </a:schemeClr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School building</a:t>
                    </a:fld>
                    <a:endParaRPr lang="en-US" sz="1400" b="1" i="0" u="none" strike="noStrike">
                      <a:solidFill>
                        <a:schemeClr val="bg1">
                          <a:lumMod val="50000"/>
                        </a:schemeClr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</xdr:grpSp>
            <xdr:grpSp>
              <xdr:nvGrpSpPr>
                <xdr:cNvPr id="76" name="Group 75">
                  <a:extLst>
                    <a:ext uri="{FF2B5EF4-FFF2-40B4-BE49-F238E27FC236}">
                      <a16:creationId xmlns:a16="http://schemas.microsoft.com/office/drawing/2014/main" id="{7BD8342F-6D7D-4C30-A789-0AB69E8BED11}"/>
                    </a:ext>
                  </a:extLst>
                </xdr:cNvPr>
                <xdr:cNvGrpSpPr/>
              </xdr:nvGrpSpPr>
              <xdr:grpSpPr>
                <a:xfrm>
                  <a:off x="7694346" y="13077965"/>
                  <a:ext cx="2489491" cy="2704960"/>
                  <a:chOff x="114232" y="2971800"/>
                  <a:chExt cx="1920464" cy="1967190"/>
                </a:xfrm>
              </xdr:grpSpPr>
              <xdr:graphicFrame macro="">
                <xdr:nvGraphicFramePr>
                  <xdr:cNvPr id="77" name="Chart 76">
                    <a:extLst>
                      <a:ext uri="{FF2B5EF4-FFF2-40B4-BE49-F238E27FC236}">
                        <a16:creationId xmlns:a16="http://schemas.microsoft.com/office/drawing/2014/main" id="{14943318-E3DD-44CE-BBCF-943A37AE8E46}"/>
                      </a:ext>
                    </a:extLst>
                  </xdr:cNvPr>
                  <xdr:cNvGraphicFramePr/>
                </xdr:nvGraphicFramePr>
                <xdr:xfrm>
                  <a:off x="152400" y="2971800"/>
                  <a:ext cx="1543050" cy="1581151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11"/>
                  </a:graphicData>
                </a:graphic>
              </xdr:graphicFrame>
              <xdr:sp macro="" textlink="Summary!J33">
                <xdr:nvSpPr>
                  <xdr:cNvPr id="78" name="Rectangle 77">
                    <a:extLst>
                      <a:ext uri="{FF2B5EF4-FFF2-40B4-BE49-F238E27FC236}">
                        <a16:creationId xmlns:a16="http://schemas.microsoft.com/office/drawing/2014/main" id="{74A165A9-1E82-4C05-8BE0-244EF70966F1}"/>
                      </a:ext>
                    </a:extLst>
                  </xdr:cNvPr>
                  <xdr:cNvSpPr/>
                </xdr:nvSpPr>
                <xdr:spPr>
                  <a:xfrm>
                    <a:off x="705320" y="3510713"/>
                    <a:ext cx="541911" cy="396139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BBBE3A1C-31C7-4C1E-ADC2-CBF91CB03771}" type="TxLink">
                      <a:rPr lang="en-US" sz="2700" b="1" i="0" u="none" strike="noStrike">
                        <a:solidFill>
                          <a:srgbClr val="0070C0"/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4%</a:t>
                    </a:fld>
                    <a:endParaRPr lang="en-US" sz="2700" b="1" i="0" u="none" strike="noStrike">
                      <a:solidFill>
                        <a:srgbClr val="0070C0"/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  <xdr:sp macro="" textlink="">
                <xdr:nvSpPr>
                  <xdr:cNvPr id="79" name="Rectangle 78">
                    <a:extLst>
                      <a:ext uri="{FF2B5EF4-FFF2-40B4-BE49-F238E27FC236}">
                        <a16:creationId xmlns:a16="http://schemas.microsoft.com/office/drawing/2014/main" id="{49B9EC26-0D02-45FE-93DB-4EA5D717C281}"/>
                      </a:ext>
                    </a:extLst>
                  </xdr:cNvPr>
                  <xdr:cNvSpPr/>
                </xdr:nvSpPr>
                <xdr:spPr>
                  <a:xfrm>
                    <a:off x="114232" y="4630898"/>
                    <a:ext cx="1920464" cy="308092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r>
                      <a:rPr lang="en-US" sz="1400" b="1" i="0" u="none" strike="noStrike">
                        <a:solidFill>
                          <a:schemeClr val="bg1">
                            <a:lumMod val="50000"/>
                          </a:schemeClr>
                        </a:solidFill>
                        <a:latin typeface="Calibri"/>
                        <a:ea typeface="+mn-ea"/>
                        <a:cs typeface="Calibri"/>
                      </a:rPr>
                      <a:t>Unfinished building</a:t>
                    </a:r>
                  </a:p>
                </xdr:txBody>
              </xdr:sp>
            </xdr:grpSp>
            <xdr:grpSp>
              <xdr:nvGrpSpPr>
                <xdr:cNvPr id="80" name="Group 79">
                  <a:extLst>
                    <a:ext uri="{FF2B5EF4-FFF2-40B4-BE49-F238E27FC236}">
                      <a16:creationId xmlns:a16="http://schemas.microsoft.com/office/drawing/2014/main" id="{146432E9-59EB-46E0-88AC-4241E09F180D}"/>
                    </a:ext>
                  </a:extLst>
                </xdr:cNvPr>
                <xdr:cNvGrpSpPr/>
              </xdr:nvGrpSpPr>
              <xdr:grpSpPr>
                <a:xfrm>
                  <a:off x="9864673" y="13087492"/>
                  <a:ext cx="2438401" cy="2635225"/>
                  <a:chOff x="127868" y="2971800"/>
                  <a:chExt cx="1881050" cy="1916474"/>
                </a:xfrm>
              </xdr:grpSpPr>
              <xdr:graphicFrame macro="">
                <xdr:nvGraphicFramePr>
                  <xdr:cNvPr id="81" name="Chart 80">
                    <a:extLst>
                      <a:ext uri="{FF2B5EF4-FFF2-40B4-BE49-F238E27FC236}">
                        <a16:creationId xmlns:a16="http://schemas.microsoft.com/office/drawing/2014/main" id="{AB7284C3-9A80-48E2-864F-A96159123461}"/>
                      </a:ext>
                    </a:extLst>
                  </xdr:cNvPr>
                  <xdr:cNvGraphicFramePr/>
                </xdr:nvGraphicFramePr>
                <xdr:xfrm>
                  <a:off x="152400" y="2971800"/>
                  <a:ext cx="1543050" cy="1581151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12"/>
                  </a:graphicData>
                </a:graphic>
              </xdr:graphicFrame>
              <xdr:sp macro="" textlink="Summary!K33">
                <xdr:nvSpPr>
                  <xdr:cNvPr id="82" name="Rectangle 81">
                    <a:extLst>
                      <a:ext uri="{FF2B5EF4-FFF2-40B4-BE49-F238E27FC236}">
                        <a16:creationId xmlns:a16="http://schemas.microsoft.com/office/drawing/2014/main" id="{28A5A3DD-83E1-4E41-AC28-8B074C503582}"/>
                      </a:ext>
                    </a:extLst>
                  </xdr:cNvPr>
                  <xdr:cNvSpPr/>
                </xdr:nvSpPr>
                <xdr:spPr>
                  <a:xfrm>
                    <a:off x="712666" y="3517640"/>
                    <a:ext cx="541911" cy="396139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F5D6062A-2764-4ADA-B669-D1CDE6F3BD13}" type="TxLink">
                      <a:rPr lang="en-US" sz="2700" b="1" i="0" u="none" strike="noStrike">
                        <a:solidFill>
                          <a:srgbClr val="0070C0"/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0%</a:t>
                    </a:fld>
                    <a:endParaRPr lang="en-US" sz="2700" b="1" i="0" u="none" strike="noStrike">
                      <a:solidFill>
                        <a:srgbClr val="0070C0"/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  <xdr:sp macro="" textlink="Summary!K13">
                <xdr:nvSpPr>
                  <xdr:cNvPr id="83" name="Rectangle 82">
                    <a:extLst>
                      <a:ext uri="{FF2B5EF4-FFF2-40B4-BE49-F238E27FC236}">
                        <a16:creationId xmlns:a16="http://schemas.microsoft.com/office/drawing/2014/main" id="{348CB6FA-BA46-4AA8-83F5-48068403AD18}"/>
                      </a:ext>
                    </a:extLst>
                  </xdr:cNvPr>
                  <xdr:cNvSpPr/>
                </xdr:nvSpPr>
                <xdr:spPr>
                  <a:xfrm>
                    <a:off x="127868" y="4595004"/>
                    <a:ext cx="1881050" cy="293270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bg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marL="0" indent="0" algn="l"/>
                    <a:fld id="{BA4CF19D-2450-4B62-90AD-7604BB7AF167}" type="TxLink">
                      <a:rPr lang="en-US" sz="1400" b="1" i="0" u="none" strike="noStrike">
                        <a:solidFill>
                          <a:schemeClr val="bg1">
                            <a:lumMod val="50000"/>
                          </a:schemeClr>
                        </a:solidFill>
                        <a:latin typeface="Calibri"/>
                        <a:ea typeface="+mn-ea"/>
                        <a:cs typeface="Calibri"/>
                      </a:rPr>
                      <a:pPr marL="0" indent="0" algn="l"/>
                      <a:t>Unknown shelter type</a:t>
                    </a:fld>
                    <a:endParaRPr lang="en-US" sz="1400" b="1" i="0" u="none" strike="noStrike">
                      <a:solidFill>
                        <a:schemeClr val="bg1">
                          <a:lumMod val="50000"/>
                        </a:schemeClr>
                      </a:solidFill>
                      <a:latin typeface="Calibri"/>
                      <a:ea typeface="+mn-ea"/>
                      <a:cs typeface="Calibri"/>
                    </a:endParaRPr>
                  </a:p>
                </xdr:txBody>
              </xdr:sp>
            </xdr:grpSp>
          </xdr:grpSp>
          <xdr:sp macro="" textlink="Summary!$E$32">
            <xdr:nvSpPr>
              <xdr:cNvPr id="45" name="Rectangle 44">
                <a:extLst>
                  <a:ext uri="{FF2B5EF4-FFF2-40B4-BE49-F238E27FC236}">
                    <a16:creationId xmlns:a16="http://schemas.microsoft.com/office/drawing/2014/main" id="{D795EDB9-E36B-4497-A8B1-ED297C60EE81}"/>
                  </a:ext>
                </a:extLst>
              </xdr:cNvPr>
              <xdr:cNvSpPr/>
            </xdr:nvSpPr>
            <xdr:spPr>
              <a:xfrm>
                <a:off x="8086725" y="11410950"/>
                <a:ext cx="580553" cy="301467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t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indent="0" algn="l"/>
                <a:fld id="{769A3645-4635-4D27-8A4D-DE0EAA4CABC7}" type="TxLink">
                  <a:rPr lang="en-US" sz="1000" b="1" i="0" u="none" strike="noStrike">
                    <a:solidFill>
                      <a:srgbClr val="000000"/>
                    </a:solidFill>
                    <a:latin typeface="Arial Narrow"/>
                    <a:ea typeface="+mn-ea"/>
                    <a:cs typeface="Calibri"/>
                  </a:rPr>
                  <a:pPr marL="0" indent="0" algn="l"/>
                  <a:t>8,818</a:t>
                </a:fld>
                <a:endParaRPr lang="en-US" sz="1600" b="1" i="0" u="none" strike="noStrike">
                  <a:solidFill>
                    <a:srgbClr val="0070C0"/>
                  </a:solidFill>
                  <a:latin typeface="Calibri"/>
                  <a:ea typeface="+mn-ea"/>
                  <a:cs typeface="Calibri"/>
                </a:endParaRPr>
              </a:p>
            </xdr:txBody>
          </xdr:sp>
        </xdr:grpSp>
      </xdr:grpSp>
      <xdr:sp macro="" textlink="Summary!$G$32">
        <xdr:nvSpPr>
          <xdr:cNvPr id="86" name="Rectangle 85">
            <a:extLst>
              <a:ext uri="{FF2B5EF4-FFF2-40B4-BE49-F238E27FC236}">
                <a16:creationId xmlns:a16="http://schemas.microsoft.com/office/drawing/2014/main" id="{223468A4-0B1B-4E8A-9A75-624FCED499C8}"/>
              </a:ext>
            </a:extLst>
          </xdr:cNvPr>
          <xdr:cNvSpPr/>
        </xdr:nvSpPr>
        <xdr:spPr>
          <a:xfrm>
            <a:off x="1144478" y="14211439"/>
            <a:ext cx="580553" cy="301467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/>
            <a:fld id="{A9542D81-0A05-4636-904A-82063508A6F4}" type="TxLink">
              <a:rPr lang="en-US" sz="1000" b="1" i="0" u="none" strike="noStrike">
                <a:solidFill>
                  <a:srgbClr val="000000"/>
                </a:solidFill>
                <a:latin typeface="Arial Narrow"/>
                <a:ea typeface="+mn-ea"/>
                <a:cs typeface="Calibri"/>
              </a:rPr>
              <a:pPr marL="0" indent="0" algn="l"/>
              <a:t>1,867</a:t>
            </a:fld>
            <a:endParaRPr lang="en-US" sz="1600" b="1" i="0" u="none" strike="noStrike">
              <a:solidFill>
                <a:srgbClr val="0070C0"/>
              </a:solidFill>
              <a:latin typeface="Calibri"/>
              <a:ea typeface="+mn-ea"/>
              <a:cs typeface="Calibri"/>
            </a:endParaRPr>
          </a:p>
        </xdr:txBody>
      </xdr:sp>
      <xdr:sp macro="" textlink="Summary!$H$32">
        <xdr:nvSpPr>
          <xdr:cNvPr id="87" name="Rectangle 86">
            <a:extLst>
              <a:ext uri="{FF2B5EF4-FFF2-40B4-BE49-F238E27FC236}">
                <a16:creationId xmlns:a16="http://schemas.microsoft.com/office/drawing/2014/main" id="{D3D29C6A-02BC-4753-9638-E9429DAFA2CA}"/>
              </a:ext>
            </a:extLst>
          </xdr:cNvPr>
          <xdr:cNvSpPr/>
        </xdr:nvSpPr>
        <xdr:spPr>
          <a:xfrm>
            <a:off x="3648074" y="14258926"/>
            <a:ext cx="580553" cy="301467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/>
            <a:fld id="{F6D09472-227C-42DC-B8A7-ACD5A899C6A7}" type="TxLink">
              <a:rPr lang="en-US" sz="1000" b="1" i="0" u="none" strike="noStrike">
                <a:solidFill>
                  <a:srgbClr val="000000"/>
                </a:solidFill>
                <a:latin typeface="Arial Narrow"/>
                <a:ea typeface="+mn-ea"/>
                <a:cs typeface="Calibri"/>
              </a:rPr>
              <a:pPr marL="0" indent="0" algn="l"/>
              <a:t>154,018</a:t>
            </a:fld>
            <a:endParaRPr lang="en-US" sz="1600" b="1" i="0" u="none" strike="noStrike">
              <a:solidFill>
                <a:srgbClr val="0070C0"/>
              </a:solidFill>
              <a:latin typeface="Calibri"/>
              <a:ea typeface="+mn-ea"/>
              <a:cs typeface="Calibri"/>
            </a:endParaRPr>
          </a:p>
        </xdr:txBody>
      </xdr:sp>
      <xdr:sp macro="" textlink="Summary!$I$32">
        <xdr:nvSpPr>
          <xdr:cNvPr id="88" name="Rectangle 87">
            <a:extLst>
              <a:ext uri="{FF2B5EF4-FFF2-40B4-BE49-F238E27FC236}">
                <a16:creationId xmlns:a16="http://schemas.microsoft.com/office/drawing/2014/main" id="{C6FC4D59-4DC6-4615-A71B-2D6982E82C67}"/>
              </a:ext>
            </a:extLst>
          </xdr:cNvPr>
          <xdr:cNvSpPr/>
        </xdr:nvSpPr>
        <xdr:spPr>
          <a:xfrm>
            <a:off x="5943599" y="14287498"/>
            <a:ext cx="580553" cy="301467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/>
            <a:fld id="{9A2C4525-D2C3-4414-9202-1C5C85B69266}" type="TxLink">
              <a:rPr lang="en-US" sz="1000" b="1" i="0" u="none" strike="noStrike">
                <a:solidFill>
                  <a:srgbClr val="000000"/>
                </a:solidFill>
                <a:latin typeface="Arial Narrow"/>
                <a:ea typeface="+mn-ea"/>
                <a:cs typeface="Calibri"/>
              </a:rPr>
              <a:pPr marL="0" indent="0" algn="l"/>
              <a:t>862</a:t>
            </a:fld>
            <a:endParaRPr lang="en-US" sz="1600" b="1" i="0" u="none" strike="noStrike">
              <a:solidFill>
                <a:srgbClr val="0070C0"/>
              </a:solidFill>
              <a:latin typeface="Calibri"/>
              <a:ea typeface="+mn-ea"/>
              <a:cs typeface="Calibri"/>
            </a:endParaRPr>
          </a:p>
        </xdr:txBody>
      </xdr:sp>
      <xdr:sp macro="" textlink="Summary!$J$32">
        <xdr:nvSpPr>
          <xdr:cNvPr id="89" name="Rectangle 88">
            <a:extLst>
              <a:ext uri="{FF2B5EF4-FFF2-40B4-BE49-F238E27FC236}">
                <a16:creationId xmlns:a16="http://schemas.microsoft.com/office/drawing/2014/main" id="{041A721A-501A-43B2-9CED-07192326F54F}"/>
              </a:ext>
            </a:extLst>
          </xdr:cNvPr>
          <xdr:cNvSpPr/>
        </xdr:nvSpPr>
        <xdr:spPr>
          <a:xfrm>
            <a:off x="8130884" y="14259065"/>
            <a:ext cx="580553" cy="301467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/>
            <a:fld id="{1FB38BD7-8B7B-4430-955D-04AC5B258F84}" type="TxLink">
              <a:rPr lang="en-US" sz="1000" b="1" i="0" u="none" strike="noStrike">
                <a:solidFill>
                  <a:srgbClr val="000000"/>
                </a:solidFill>
                <a:latin typeface="Arial Narrow"/>
                <a:ea typeface="+mn-ea"/>
                <a:cs typeface="Calibri"/>
              </a:rPr>
              <a:pPr marL="0" indent="0" algn="l"/>
              <a:t>12,265</a:t>
            </a:fld>
            <a:endParaRPr lang="en-US" sz="1600" b="1" i="0" u="none" strike="noStrike">
              <a:solidFill>
                <a:srgbClr val="0070C0"/>
              </a:solidFill>
              <a:latin typeface="Calibri"/>
              <a:ea typeface="+mn-ea"/>
              <a:cs typeface="Calibri"/>
            </a:endParaRPr>
          </a:p>
        </xdr:txBody>
      </xdr:sp>
      <xdr:sp macro="" textlink="Summary!$K$32">
        <xdr:nvSpPr>
          <xdr:cNvPr id="90" name="Rectangle 89">
            <a:extLst>
              <a:ext uri="{FF2B5EF4-FFF2-40B4-BE49-F238E27FC236}">
                <a16:creationId xmlns:a16="http://schemas.microsoft.com/office/drawing/2014/main" id="{401AC54C-5303-4403-8979-25F4CD412B19}"/>
              </a:ext>
            </a:extLst>
          </xdr:cNvPr>
          <xdr:cNvSpPr/>
        </xdr:nvSpPr>
        <xdr:spPr>
          <a:xfrm>
            <a:off x="10344150" y="14230493"/>
            <a:ext cx="371476" cy="301467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/>
            <a:fld id="{4CED78E3-8F70-4941-A7FE-B47735B8716E}" type="TxLink">
              <a:rPr lang="en-US" sz="1000" b="1" i="0" u="none" strike="noStrike">
                <a:solidFill>
                  <a:srgbClr val="000000"/>
                </a:solidFill>
                <a:latin typeface="Arial Narrow"/>
                <a:ea typeface="+mn-ea"/>
                <a:cs typeface="Calibri"/>
              </a:rPr>
              <a:pPr marL="0" indent="0" algn="l"/>
              <a:t>127</a:t>
            </a:fld>
            <a:endParaRPr lang="en-US" sz="1600" b="1" i="0" u="none" strike="noStrike">
              <a:solidFill>
                <a:srgbClr val="0070C0"/>
              </a:solidFill>
              <a:latin typeface="Calibri"/>
              <a:ea typeface="+mn-ea"/>
              <a:cs typeface="Calibri"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0.35465</cdr:x>
      <cdr:y>0.57538</cdr:y>
    </cdr:from>
    <cdr:to>
      <cdr:x>0.6449</cdr:x>
      <cdr:y>0.71405</cdr:y>
    </cdr:to>
    <cdr:sp macro="" textlink="Summary!$B$32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E0ADC233-4A89-4DFA-873A-F99C68A299B4}"/>
            </a:ext>
          </a:extLst>
        </cdr:cNvPr>
        <cdr:cNvSpPr/>
      </cdr:nvSpPr>
      <cdr:spPr>
        <a:xfrm xmlns:a="http://schemas.openxmlformats.org/drawingml/2006/main">
          <a:off x="709386" y="1250950"/>
          <a:ext cx="580573" cy="3014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246180B8-E6D5-4C22-BF11-2F8FDF1BC5E1}" type="TxLink">
            <a:rPr lang="en-US" sz="1000" b="1" i="0" u="none" strike="noStrike">
              <a:solidFill>
                <a:srgbClr val="000000"/>
              </a:solidFill>
              <a:latin typeface="Arial Narrow"/>
              <a:ea typeface="+mn-ea"/>
              <a:cs typeface="Calibri"/>
            </a:rPr>
            <a:pPr marL="0" indent="0" algn="l"/>
            <a:t>91,218</a:t>
          </a:fld>
          <a:endParaRPr lang="en-US" sz="1600" b="1" i="0" u="none" strike="noStrike">
            <a:solidFill>
              <a:srgbClr val="0070C0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0.3873</cdr:x>
      <cdr:y>0.57538</cdr:y>
    </cdr:from>
    <cdr:to>
      <cdr:x>0.67754</cdr:x>
      <cdr:y>0.71404</cdr:y>
    </cdr:to>
    <cdr:sp macro="" textlink="Summary!$C$32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0B1870D0-09AB-41E0-AE3A-124DA504F268}"/>
            </a:ext>
          </a:extLst>
        </cdr:cNvPr>
        <cdr:cNvSpPr/>
      </cdr:nvSpPr>
      <cdr:spPr>
        <a:xfrm xmlns:a="http://schemas.openxmlformats.org/drawingml/2006/main">
          <a:off x="774700" y="1250950"/>
          <a:ext cx="580560" cy="30148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AC7C4200-BE64-4ABC-BDAD-5F0E22F4DD27}" type="TxLink">
            <a:rPr lang="en-US" sz="1000" b="1" i="0" u="none" strike="noStrike">
              <a:solidFill>
                <a:srgbClr val="000000"/>
              </a:solidFill>
              <a:latin typeface="Arial Narrow"/>
              <a:ea typeface="+mn-ea"/>
              <a:cs typeface="Calibri"/>
            </a:rPr>
            <a:pPr marL="0" indent="0" algn="l"/>
            <a:t>30,623</a:t>
          </a:fld>
          <a:endParaRPr lang="en-US" sz="1600" b="1" i="0" u="none" strike="noStrike">
            <a:solidFill>
              <a:srgbClr val="0070C0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0.43016</cdr:x>
      <cdr:y>0.58852</cdr:y>
    </cdr:from>
    <cdr:to>
      <cdr:x>0.62381</cdr:x>
      <cdr:y>0.72719</cdr:y>
    </cdr:to>
    <cdr:sp macro="" textlink="Summary!$D$32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1199C475-CA1B-4ADE-8B04-86FD8AEAB72A}"/>
            </a:ext>
          </a:extLst>
        </cdr:cNvPr>
        <cdr:cNvSpPr/>
      </cdr:nvSpPr>
      <cdr:spPr>
        <a:xfrm xmlns:a="http://schemas.openxmlformats.org/drawingml/2006/main">
          <a:off x="860428" y="1279527"/>
          <a:ext cx="387349" cy="30148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AA192C6F-47ED-43B3-9BB2-82A4C899EA29}" type="TxLink">
            <a:rPr lang="en-US" sz="1000" b="1" i="0" u="none" strike="noStrike">
              <a:solidFill>
                <a:srgbClr val="000000"/>
              </a:solidFill>
              <a:latin typeface="Arial Narrow"/>
              <a:ea typeface="+mn-ea"/>
              <a:cs typeface="Calibri"/>
            </a:rPr>
            <a:pPr marL="0" indent="0" algn="l"/>
            <a:t>402</a:t>
          </a:fld>
          <a:endParaRPr lang="en-US" sz="1600" b="1" i="0" u="none" strike="noStrike">
            <a:solidFill>
              <a:srgbClr val="0070C0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0.40536</cdr:x>
      <cdr:y>0.52484</cdr:y>
    </cdr:from>
    <cdr:to>
      <cdr:x>0.62956</cdr:x>
      <cdr:y>0.64635</cdr:y>
    </cdr:to>
    <cdr:sp macro="" textlink="Summary!$F$32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D795EDB9-E36B-4497-A8B1-ED297C60EE81}"/>
            </a:ext>
          </a:extLst>
        </cdr:cNvPr>
        <cdr:cNvSpPr/>
      </cdr:nvSpPr>
      <cdr:spPr>
        <a:xfrm xmlns:a="http://schemas.openxmlformats.org/drawingml/2006/main">
          <a:off x="810817" y="1141084"/>
          <a:ext cx="448456" cy="26417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37D1E0D2-FAD1-44D9-808A-A710F5C0E2B8}" type="TxLink">
            <a:rPr lang="en-US" sz="1000" b="1" i="0" u="none" strike="noStrike">
              <a:solidFill>
                <a:srgbClr val="000000"/>
              </a:solidFill>
              <a:latin typeface="Arial Narrow"/>
              <a:ea typeface="+mn-ea"/>
              <a:cs typeface="Calibri"/>
            </a:rPr>
            <a:pPr marL="0" indent="0" algn="l"/>
            <a:t>272</a:t>
          </a:fld>
          <a:endParaRPr lang="en-US" sz="1600" b="1" i="0" u="none" strike="noStrike">
            <a:solidFill>
              <a:srgbClr val="0070C0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481014</xdr:colOff>
      <xdr:row>60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2B76DE-27AD-4D1F-BD2C-B7049DD91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3516.572780208335" createdVersion="6" refreshedVersion="6" minRefreshableVersion="3" recordCount="18" xr:uid="{00000000-000A-0000-FFFF-FFFF0D000000}">
  <cacheSource type="worksheet">
    <worksheetSource ref="A36:K54" sheet="Summary"/>
  </cacheSource>
  <cacheFields count="11">
    <cacheField name="Governorate of displacement" numFmtId="0">
      <sharedItems count="18">
        <s v="Anbar"/>
        <s v="Babylon"/>
        <s v="Baghdad"/>
        <s v="Basrah"/>
        <s v="Dahuk"/>
        <s v="Diyala"/>
        <s v="Erbil"/>
        <s v="Kerbala"/>
        <s v="Kirkuk"/>
        <s v="Missan"/>
        <s v="Muthanna"/>
        <s v="Najaf"/>
        <s v="Ninewa"/>
        <s v="Qadissiya"/>
        <s v="Salah al-Din"/>
        <s v="Sulaymaniyah"/>
        <s v="Thi-Qar"/>
        <s v="Wassit"/>
      </sharedItems>
    </cacheField>
    <cacheField name="Anbar" numFmtId="164">
      <sharedItems containsSemiMixedTypes="0" containsString="0" containsNumber="1" containsInteger="1" minValue="14" maxValue="11774"/>
    </cacheField>
    <cacheField name="Babylon" numFmtId="164">
      <sharedItems containsSemiMixedTypes="0" containsString="0" containsNumber="1" containsInteger="1" minValue="0" maxValue="2534"/>
    </cacheField>
    <cacheField name="Baghdad" numFmtId="164">
      <sharedItems containsSemiMixedTypes="0" containsString="0" containsNumber="1" containsInteger="1" minValue="0" maxValue="3668"/>
    </cacheField>
    <cacheField name="Dahuk" numFmtId="164">
      <sharedItems containsSemiMixedTypes="0" containsString="0" containsNumber="1" containsInteger="1" minValue="0" maxValue="0"/>
    </cacheField>
    <cacheField name="Diyala" numFmtId="164">
      <sharedItems containsSemiMixedTypes="0" containsString="0" containsNumber="1" containsInteger="1" minValue="0" maxValue="8449"/>
    </cacheField>
    <cacheField name="Erbil" numFmtId="164">
      <sharedItems containsSemiMixedTypes="0" containsString="0" containsNumber="1" containsInteger="1" minValue="0" maxValue="1660"/>
    </cacheField>
    <cacheField name="Kirkuk" numFmtId="164">
      <sharedItems containsSemiMixedTypes="0" containsString="0" containsNumber="1" containsInteger="1" minValue="0" maxValue="10442"/>
    </cacheField>
    <cacheField name="Ninewa" numFmtId="164">
      <sharedItems containsSemiMixedTypes="0" containsString="0" containsNumber="1" containsInteger="1" minValue="72" maxValue="89906"/>
    </cacheField>
    <cacheField name="Salah al-Din" numFmtId="164">
      <sharedItems containsSemiMixedTypes="0" containsString="0" containsNumber="1" containsInteger="1" minValue="0" maxValue="19645"/>
    </cacheField>
    <cacheField name="Total" numFmtId="164">
      <sharedItems containsSemiMixedTypes="0" containsString="0" containsNumber="1" containsInteger="1" minValue="200" maxValue="96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3516.572780671297" createdVersion="6" refreshedVersion="6" minRefreshableVersion="3" recordCount="18" xr:uid="{00000000-000A-0000-FFFF-FFFF0A000000}">
  <cacheSource type="worksheet">
    <worksheetSource ref="A13:L31" sheet="Summary"/>
  </cacheSource>
  <cacheFields count="12">
    <cacheField name="Governorate of displacement" numFmtId="0">
      <sharedItems count="18">
        <s v="Anbar"/>
        <s v="Babylon"/>
        <s v="Baghdad"/>
        <s v="Basrah"/>
        <s v="Dahuk"/>
        <s v="Diyala"/>
        <s v="Erbil"/>
        <s v="Kerbala"/>
        <s v="Kirkuk"/>
        <s v="Missan"/>
        <s v="Muthanna"/>
        <s v="Najaf"/>
        <s v="Ninewa"/>
        <s v="Qadissiya"/>
        <s v="Salah al-Din"/>
        <s v="Sulaymaniyah"/>
        <s v="Thi-Qar"/>
        <s v="Wassit"/>
      </sharedItems>
    </cacheField>
    <cacheField name="Camp" numFmtId="164">
      <sharedItems containsSemiMixedTypes="0" containsString="0" containsNumber="1" containsInteger="1" minValue="0" maxValue="47209"/>
    </cacheField>
    <cacheField name="Host families" numFmtId="164">
      <sharedItems containsSemiMixedTypes="0" containsString="0" containsNumber="1" containsInteger="1" minValue="0" maxValue="14020"/>
    </cacheField>
    <cacheField name="Hotel/Motel or short-term rental" numFmtId="164">
      <sharedItems containsSemiMixedTypes="0" containsString="0" containsNumber="1" containsInteger="1" minValue="0" maxValue="192"/>
    </cacheField>
    <cacheField name="Informal settlements" numFmtId="164">
      <sharedItems containsSemiMixedTypes="0" containsString="0" containsNumber="1" containsInteger="1" minValue="0" maxValue="2740"/>
    </cacheField>
    <cacheField name="Other shelter type" numFmtId="164">
      <sharedItems containsSemiMixedTypes="0" containsString="0" containsNumber="1" containsInteger="1" minValue="0" maxValue="210"/>
    </cacheField>
    <cacheField name="Religious building" numFmtId="164">
      <sharedItems containsSemiMixedTypes="0" containsString="0" containsNumber="1" containsInteger="1" minValue="0" maxValue="940"/>
    </cacheField>
    <cacheField name="Long term rental accommodation" numFmtId="164">
      <sharedItems containsSemiMixedTypes="0" containsString="0" containsNumber="1" containsInteger="1" minValue="133" maxValue="31506"/>
    </cacheField>
    <cacheField name="School building" numFmtId="164">
      <sharedItems containsSemiMixedTypes="0" containsString="0" containsNumber="1" containsInteger="1" minValue="0" maxValue="599"/>
    </cacheField>
    <cacheField name="Unfinished/Abandoned building" numFmtId="164">
      <sharedItems containsSemiMixedTypes="0" containsString="0" containsNumber="1" containsInteger="1" minValue="0" maxValue="5520"/>
    </cacheField>
    <cacheField name="Unknown shelter type" numFmtId="164">
      <sharedItems containsString="0" containsBlank="1" containsNumber="1" containsInteger="1" minValue="0" maxValue="127"/>
    </cacheField>
    <cacheField name="Total" numFmtId="164">
      <sharedItems containsSemiMixedTypes="0" containsString="0" containsNumber="1" containsInteger="1" minValue="200" maxValue="96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x v="0"/>
    <n v="8813"/>
    <n v="1219"/>
    <n v="10"/>
    <n v="0"/>
    <n v="0"/>
    <n v="0"/>
    <n v="0"/>
    <n v="72"/>
    <n v="0"/>
    <n v="10114"/>
  </r>
  <r>
    <x v="1"/>
    <n v="88"/>
    <n v="2534"/>
    <n v="41"/>
    <n v="0"/>
    <n v="8"/>
    <n v="0"/>
    <n v="2"/>
    <n v="419"/>
    <n v="23"/>
    <n v="3115"/>
  </r>
  <r>
    <x v="2"/>
    <n v="6987"/>
    <n v="813"/>
    <n v="81"/>
    <n v="0"/>
    <n v="271"/>
    <n v="0"/>
    <n v="74"/>
    <n v="2474"/>
    <n v="834"/>
    <n v="11534"/>
  </r>
  <r>
    <x v="3"/>
    <n v="252"/>
    <n v="23"/>
    <n v="33"/>
    <n v="0"/>
    <n v="37"/>
    <n v="0"/>
    <n v="114"/>
    <n v="420"/>
    <n v="405"/>
    <n v="1284"/>
  </r>
  <r>
    <x v="4"/>
    <n v="55"/>
    <n v="0"/>
    <n v="0"/>
    <n v="0"/>
    <n v="0"/>
    <n v="0"/>
    <n v="9"/>
    <n v="56109"/>
    <n v="93"/>
    <n v="56266"/>
  </r>
  <r>
    <x v="5"/>
    <n v="191"/>
    <n v="98"/>
    <n v="116"/>
    <n v="0"/>
    <n v="8449"/>
    <n v="0"/>
    <n v="23"/>
    <n v="105"/>
    <n v="862"/>
    <n v="9844"/>
  </r>
  <r>
    <x v="6"/>
    <n v="11774"/>
    <n v="0"/>
    <n v="778"/>
    <n v="0"/>
    <n v="68"/>
    <n v="1660"/>
    <n v="2082"/>
    <n v="15570"/>
    <n v="3388"/>
    <n v="35320"/>
  </r>
  <r>
    <x v="7"/>
    <n v="100"/>
    <n v="158"/>
    <n v="23"/>
    <n v="0"/>
    <n v="25"/>
    <n v="0"/>
    <n v="43"/>
    <n v="3314"/>
    <n v="20"/>
    <n v="3683"/>
  </r>
  <r>
    <x v="8"/>
    <n v="632"/>
    <n v="23"/>
    <n v="139"/>
    <n v="0"/>
    <n v="770"/>
    <n v="0"/>
    <n v="10442"/>
    <n v="2200"/>
    <n v="3817"/>
    <n v="18023"/>
  </r>
  <r>
    <x v="9"/>
    <n v="27"/>
    <n v="5"/>
    <n v="25"/>
    <n v="0"/>
    <n v="16"/>
    <n v="0"/>
    <n v="91"/>
    <n v="210"/>
    <n v="58"/>
    <n v="432"/>
  </r>
  <r>
    <x v="10"/>
    <n v="22"/>
    <n v="0"/>
    <n v="21"/>
    <n v="0"/>
    <n v="5"/>
    <n v="0"/>
    <n v="16"/>
    <n v="120"/>
    <n v="16"/>
    <n v="200"/>
  </r>
  <r>
    <x v="11"/>
    <n v="14"/>
    <n v="0"/>
    <n v="0"/>
    <n v="0"/>
    <n v="7"/>
    <n v="0"/>
    <n v="1"/>
    <n v="2114"/>
    <n v="7"/>
    <n v="2143"/>
  </r>
  <r>
    <x v="12"/>
    <n v="59"/>
    <n v="0"/>
    <n v="0"/>
    <n v="0"/>
    <n v="0"/>
    <n v="1607"/>
    <n v="833"/>
    <n v="89906"/>
    <n v="3600"/>
    <n v="96005"/>
  </r>
  <r>
    <x v="13"/>
    <n v="21"/>
    <n v="0"/>
    <n v="44"/>
    <n v="0"/>
    <n v="11"/>
    <n v="0"/>
    <n v="243"/>
    <n v="1534"/>
    <n v="22"/>
    <n v="1875"/>
  </r>
  <r>
    <x v="14"/>
    <n v="125"/>
    <n v="0"/>
    <n v="0"/>
    <n v="0"/>
    <n v="241"/>
    <n v="0"/>
    <n v="2696"/>
    <n v="235"/>
    <n v="19645"/>
    <n v="22942"/>
  </r>
  <r>
    <x v="15"/>
    <n v="4262"/>
    <n v="1703"/>
    <n v="3668"/>
    <n v="0"/>
    <n v="4625"/>
    <n v="0"/>
    <n v="1624"/>
    <n v="2466"/>
    <n v="6801"/>
    <n v="25149"/>
  </r>
  <r>
    <x v="16"/>
    <n v="103"/>
    <n v="4"/>
    <n v="2"/>
    <n v="0"/>
    <n v="9"/>
    <n v="0"/>
    <n v="85"/>
    <n v="352"/>
    <n v="37"/>
    <n v="592"/>
  </r>
  <r>
    <x v="17"/>
    <n v="141"/>
    <n v="0"/>
    <n v="24"/>
    <n v="0"/>
    <n v="103"/>
    <n v="0"/>
    <n v="144"/>
    <n v="1379"/>
    <n v="160"/>
    <n v="195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x v="0"/>
    <n v="6354"/>
    <n v="2151"/>
    <n v="0"/>
    <n v="1239"/>
    <n v="0"/>
    <n v="0"/>
    <n v="370"/>
    <n v="0"/>
    <n v="0"/>
    <m/>
    <n v="10114"/>
  </r>
  <r>
    <x v="1"/>
    <n v="0"/>
    <n v="176"/>
    <n v="13"/>
    <n v="83"/>
    <n v="0"/>
    <n v="6"/>
    <n v="2828"/>
    <n v="0"/>
    <n v="9"/>
    <n v="0"/>
    <n v="3115"/>
  </r>
  <r>
    <x v="2"/>
    <n v="746"/>
    <n v="4580"/>
    <n v="0"/>
    <n v="18"/>
    <n v="0"/>
    <n v="22"/>
    <n v="5998"/>
    <n v="26"/>
    <n v="144"/>
    <n v="0"/>
    <n v="11534"/>
  </r>
  <r>
    <x v="3"/>
    <n v="0"/>
    <n v="303"/>
    <n v="1"/>
    <n v="118"/>
    <n v="0"/>
    <n v="6"/>
    <n v="854"/>
    <n v="1"/>
    <n v="1"/>
    <n v="0"/>
    <n v="1284"/>
  </r>
  <r>
    <x v="4"/>
    <n v="25356"/>
    <n v="3151"/>
    <n v="192"/>
    <n v="2528"/>
    <n v="0"/>
    <n v="2"/>
    <n v="19517"/>
    <n v="0"/>
    <n v="5520"/>
    <n v="0"/>
    <n v="56266"/>
  </r>
  <r>
    <x v="5"/>
    <n v="1313"/>
    <n v="1990"/>
    <n v="5"/>
    <n v="0"/>
    <n v="0"/>
    <n v="20"/>
    <n v="5898"/>
    <n v="6"/>
    <n v="612"/>
    <n v="0"/>
    <n v="9844"/>
  </r>
  <r>
    <x v="6"/>
    <n v="3095"/>
    <n v="443"/>
    <n v="29"/>
    <n v="192"/>
    <n v="0"/>
    <n v="0"/>
    <n v="31506"/>
    <n v="0"/>
    <n v="55"/>
    <n v="0"/>
    <n v="35320"/>
  </r>
  <r>
    <x v="7"/>
    <n v="211"/>
    <n v="72"/>
    <n v="42"/>
    <n v="2"/>
    <n v="58"/>
    <n v="940"/>
    <n v="2341"/>
    <n v="0"/>
    <n v="17"/>
    <n v="0"/>
    <n v="3683"/>
  </r>
  <r>
    <x v="8"/>
    <n v="2213"/>
    <n v="705"/>
    <n v="0"/>
    <n v="1232"/>
    <n v="0"/>
    <n v="10"/>
    <n v="13483"/>
    <n v="0"/>
    <n v="380"/>
    <n v="0"/>
    <n v="18023"/>
  </r>
  <r>
    <x v="9"/>
    <n v="17"/>
    <n v="174"/>
    <n v="0"/>
    <n v="26"/>
    <n v="2"/>
    <n v="2"/>
    <n v="206"/>
    <n v="5"/>
    <n v="0"/>
    <n v="0"/>
    <n v="432"/>
  </r>
  <r>
    <x v="10"/>
    <n v="0"/>
    <n v="58"/>
    <n v="0"/>
    <n v="0"/>
    <n v="0"/>
    <n v="4"/>
    <n v="133"/>
    <n v="0"/>
    <n v="5"/>
    <n v="0"/>
    <n v="200"/>
  </r>
  <r>
    <x v="11"/>
    <n v="192"/>
    <n v="0"/>
    <n v="0"/>
    <n v="0"/>
    <n v="0"/>
    <n v="92"/>
    <n v="1859"/>
    <n v="0"/>
    <n v="0"/>
    <n v="0"/>
    <n v="2143"/>
  </r>
  <r>
    <x v="12"/>
    <n v="47209"/>
    <n v="14020"/>
    <n v="0"/>
    <n v="603"/>
    <n v="0"/>
    <n v="39"/>
    <n v="31147"/>
    <n v="216"/>
    <n v="2644"/>
    <n v="127"/>
    <n v="96005"/>
  </r>
  <r>
    <x v="13"/>
    <n v="0"/>
    <n v="361"/>
    <n v="54"/>
    <n v="7"/>
    <n v="210"/>
    <n v="445"/>
    <n v="742"/>
    <n v="4"/>
    <n v="52"/>
    <n v="0"/>
    <n v="1875"/>
  </r>
  <r>
    <x v="14"/>
    <n v="1324"/>
    <n v="2092"/>
    <n v="0"/>
    <n v="2740"/>
    <n v="2"/>
    <n v="21"/>
    <n v="13482"/>
    <n v="599"/>
    <n v="2682"/>
    <n v="0"/>
    <n v="22942"/>
  </r>
  <r>
    <x v="15"/>
    <n v="3188"/>
    <n v="61"/>
    <n v="35"/>
    <n v="9"/>
    <n v="0"/>
    <n v="13"/>
    <n v="21774"/>
    <n v="5"/>
    <n v="64"/>
    <n v="0"/>
    <n v="25149"/>
  </r>
  <r>
    <x v="16"/>
    <n v="0"/>
    <n v="142"/>
    <n v="31"/>
    <n v="1"/>
    <n v="0"/>
    <n v="3"/>
    <n v="415"/>
    <n v="0"/>
    <n v="0"/>
    <n v="0"/>
    <n v="592"/>
  </r>
  <r>
    <x v="17"/>
    <n v="0"/>
    <n v="144"/>
    <n v="0"/>
    <n v="20"/>
    <n v="0"/>
    <n v="242"/>
    <n v="1465"/>
    <n v="0"/>
    <n v="80"/>
    <n v="0"/>
    <n v="19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15" dataOnRows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8">
  <location ref="A4:T14" firstHeaderRow="1" firstDataRow="2" firstDataCol="1"/>
  <pivotFields count="12">
    <pivotField axis="axisCol" subtotalTop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dataField="1" numFmtId="164" subtotalTop="0" showAll="0"/>
    <pivotField dataField="1" numFmtId="164" subtotalTop="0" showAll="0"/>
    <pivotField numFmtId="164" showAll="0"/>
    <pivotField dataField="1" numFmtId="164" subtotalTop="0" showAll="0"/>
    <pivotField dataField="1" numFmtId="164" subtotalTop="0" showAll="0"/>
    <pivotField dataField="1" numFmtId="164" subtotalTop="0" showAll="0"/>
    <pivotField numFmtId="164" showAll="0"/>
    <pivotField dataField="1" numFmtId="164" subtotalTop="0" showAll="0"/>
    <pivotField dataField="1" numFmtId="164" subtotalTop="0" showAll="0"/>
    <pivotField dataField="1" numFmtId="164" subtotalTop="0" showAll="0"/>
    <pivotField dataField="1" numFmtId="164" subtotalTop="0" showAll="0"/>
  </pivotFields>
  <rowFields count="1">
    <field x="-2"/>
  </rowFields>
  <row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rowItems>
  <colFields count="1">
    <field x="0"/>
  </colFields>
  <col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9">
    <dataField name="Sum of Camp" fld="1" baseField="0" baseItem="0"/>
    <dataField name="Sum of Host families" fld="2" baseField="0" baseItem="0"/>
    <dataField name="Sum of Informal settlements" fld="4" baseField="0" baseItem="0"/>
    <dataField name="Sum of Other shelter type" fld="5" baseField="0" baseItem="0"/>
    <dataField name="Sum of Religious building" fld="6" baseField="0" baseItem="0"/>
    <dataField name="Sum of School building" fld="8" baseField="0" baseItem="0"/>
    <dataField name="Sum of Unfinished/Abandoned building" fld="9" baseField="0" baseItem="0"/>
    <dataField name="Sum of Unknown shelter type" fld="10" baseField="0" baseItem="0"/>
    <dataField name="Sum of Total" fld="11" baseField="0" baseItem="0"/>
  </dataFields>
  <chartFormats count="18"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3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3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3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3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3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3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3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3" format="4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3" format="4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3" format="4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3" format="4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3" format="4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3" format="4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3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4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1:K20" firstHeaderRow="0" firstDataRow="1" firstDataCol="1"/>
  <pivotFields count="11">
    <pivotField axis="axisRow" subtotalTop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dataField="1" numFmtId="164" subtotalTop="0" showAll="0"/>
    <pivotField dataField="1" numFmtId="164" subtotalTop="0" showAll="0"/>
    <pivotField dataField="1" numFmtId="164" subtotalTop="0" showAll="0"/>
    <pivotField dataField="1" numFmtId="164" subtotalTop="0" showAll="0"/>
    <pivotField dataField="1" numFmtId="164" subtotalTop="0" showAll="0"/>
    <pivotField dataField="1" numFmtId="164" subtotalTop="0" showAll="0"/>
    <pivotField dataField="1" numFmtId="164" subtotalTop="0" showAll="0"/>
    <pivotField dataField="1" numFmtId="164" subtotalTop="0" showAll="0"/>
    <pivotField dataField="1" numFmtId="164" subtotalTop="0" showAll="0"/>
    <pivotField dataField="1" numFmtId="164" subtotalTop="0"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Anbar" fld="1" baseField="0" baseItem="0"/>
    <dataField name="Sum of Babylon" fld="2" baseField="0" baseItem="0"/>
    <dataField name="Sum of Baghdad" fld="3" baseField="0" baseItem="0"/>
    <dataField name="Sum of Dahuk" fld="4" baseField="0" baseItem="0"/>
    <dataField name="Sum of Diyala" fld="5" baseField="0" baseItem="0"/>
    <dataField name="Sum of Erbil" fld="6" baseField="0" baseItem="0"/>
    <dataField name="Sum of Kirkuk" fld="7" baseField="0" baseItem="0"/>
    <dataField name="Sum of Ninewa" fld="8" baseField="0" baseItem="0"/>
    <dataField name="Sum of Salah al-Din" fld="9" baseField="0" baseItem="0"/>
    <dataField name="Sum of Total" fld="10" baseField="0" baseItem="0"/>
  </dataFields>
  <chartFormats count="1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222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11.42578125" bestFit="1" customWidth="1"/>
    <col min="2" max="2" width="14.85546875" bestFit="1" customWidth="1"/>
    <col min="3" max="3" width="12.5703125" bestFit="1" customWidth="1"/>
    <col min="4" max="4" width="19.42578125" customWidth="1"/>
    <col min="5" max="5" width="18.85546875" customWidth="1"/>
    <col min="6" max="6" width="11.85546875" bestFit="1" customWidth="1"/>
    <col min="7" max="7" width="13.42578125" bestFit="1" customWidth="1"/>
    <col min="8" max="8" width="11.7109375" bestFit="1" customWidth="1"/>
    <col min="9" max="9" width="14" bestFit="1" customWidth="1"/>
    <col min="10" max="10" width="10" bestFit="1" customWidth="1"/>
    <col min="11" max="11" width="11.85546875" bestFit="1" customWidth="1"/>
    <col min="12" max="12" width="12.42578125" bestFit="1" customWidth="1"/>
    <col min="13" max="13" width="10.85546875" bestFit="1" customWidth="1"/>
    <col min="14" max="14" width="10.42578125" bestFit="1" customWidth="1"/>
    <col min="15" max="15" width="10.140625" bestFit="1" customWidth="1"/>
    <col min="16" max="16" width="9" bestFit="1" customWidth="1"/>
    <col min="17" max="17" width="11.28515625" bestFit="1" customWidth="1"/>
    <col min="18" max="18" width="10.42578125" bestFit="1" customWidth="1"/>
    <col min="19" max="19" width="10.85546875" bestFit="1" customWidth="1"/>
    <col min="20" max="20" width="13.140625" bestFit="1" customWidth="1"/>
    <col min="21" max="21" width="9.42578125" bestFit="1" customWidth="1"/>
    <col min="22" max="22" width="11" bestFit="1" customWidth="1"/>
    <col min="23" max="23" width="12.85546875" bestFit="1" customWidth="1"/>
    <col min="24" max="24" width="14.7109375" bestFit="1" customWidth="1"/>
    <col min="25" max="25" width="15.140625" bestFit="1" customWidth="1"/>
    <col min="26" max="26" width="11" bestFit="1" customWidth="1"/>
    <col min="27" max="27" width="10.7109375" bestFit="1" customWidth="1"/>
    <col min="28" max="28" width="9.85546875" bestFit="1" customWidth="1"/>
    <col min="29" max="29" width="11.28515625" bestFit="1" customWidth="1"/>
    <col min="30" max="30" width="14.140625" bestFit="1" customWidth="1"/>
    <col min="31" max="31" width="14.28515625" bestFit="1" customWidth="1"/>
    <col min="32" max="32" width="14.42578125" bestFit="1" customWidth="1"/>
    <col min="33" max="33" width="13.140625" bestFit="1" customWidth="1"/>
    <col min="34" max="34" width="18.5703125" bestFit="1" customWidth="1"/>
    <col min="35" max="35" width="11.85546875" bestFit="1" customWidth="1"/>
    <col min="36" max="36" width="22.28515625" bestFit="1" customWidth="1"/>
    <col min="37" max="38" width="14.42578125" bestFit="1" customWidth="1"/>
    <col min="39" max="39" width="15" bestFit="1" customWidth="1"/>
    <col min="40" max="40" width="13.140625" bestFit="1" customWidth="1"/>
    <col min="41" max="41" width="19.85546875" bestFit="1" customWidth="1"/>
    <col min="42" max="42" width="15" bestFit="1" customWidth="1"/>
    <col min="43" max="45" width="15" style="26" customWidth="1"/>
    <col min="46" max="46" width="13.7109375" bestFit="1" customWidth="1"/>
    <col min="47" max="47" width="11.42578125" bestFit="1" customWidth="1"/>
    <col min="48" max="48" width="12.7109375" bestFit="1" customWidth="1"/>
  </cols>
  <sheetData>
    <row r="1" spans="1:49" ht="25.9" customHeight="1" x14ac:dyDescent="0.25">
      <c r="A1" s="58" t="s">
        <v>6215</v>
      </c>
      <c r="B1" s="58"/>
      <c r="C1" s="58"/>
      <c r="D1" s="58"/>
      <c r="E1" s="58"/>
    </row>
    <row r="2" spans="1:49" ht="10.1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9" ht="18" customHeight="1" x14ac:dyDescent="0.25">
      <c r="A3" s="65" t="s">
        <v>50</v>
      </c>
      <c r="B3" s="65"/>
      <c r="C3" s="65"/>
      <c r="D3" s="65"/>
      <c r="E3" s="65"/>
      <c r="F3" s="65"/>
      <c r="G3" s="65"/>
      <c r="H3" s="17"/>
      <c r="I3" s="17"/>
      <c r="J3" s="64" t="s">
        <v>1</v>
      </c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3" t="s">
        <v>2</v>
      </c>
      <c r="AC3" s="63"/>
      <c r="AD3" s="63"/>
      <c r="AE3" s="63"/>
      <c r="AF3" s="63"/>
      <c r="AG3" s="63"/>
      <c r="AH3" s="63"/>
      <c r="AI3" s="63"/>
      <c r="AJ3" s="63"/>
      <c r="AK3" s="63"/>
      <c r="AL3" s="59" t="s">
        <v>3</v>
      </c>
      <c r="AM3" s="60"/>
      <c r="AN3" s="60"/>
      <c r="AO3" s="60"/>
      <c r="AP3" s="60"/>
      <c r="AQ3" s="61"/>
      <c r="AR3" s="36"/>
      <c r="AS3" s="36"/>
      <c r="AT3" s="62" t="s">
        <v>46</v>
      </c>
      <c r="AU3" s="62"/>
      <c r="AV3" s="62"/>
      <c r="AW3" s="11"/>
    </row>
    <row r="4" spans="1:49" ht="30.75" customHeight="1" x14ac:dyDescent="0.25">
      <c r="A4" s="13" t="s">
        <v>4</v>
      </c>
      <c r="B4" s="13" t="s">
        <v>5</v>
      </c>
      <c r="C4" s="13" t="s">
        <v>6</v>
      </c>
      <c r="D4" s="13" t="s">
        <v>51</v>
      </c>
      <c r="E4" s="13" t="s">
        <v>52</v>
      </c>
      <c r="F4" s="13" t="s">
        <v>7</v>
      </c>
      <c r="G4" s="13" t="s">
        <v>8</v>
      </c>
      <c r="H4" s="18" t="s">
        <v>44</v>
      </c>
      <c r="I4" s="18" t="s">
        <v>45</v>
      </c>
      <c r="J4" s="14" t="s">
        <v>9</v>
      </c>
      <c r="K4" s="14" t="s">
        <v>10</v>
      </c>
      <c r="L4" s="14" t="s">
        <v>11</v>
      </c>
      <c r="M4" s="14" t="s">
        <v>12</v>
      </c>
      <c r="N4" s="14" t="s">
        <v>13</v>
      </c>
      <c r="O4" s="14" t="s">
        <v>14</v>
      </c>
      <c r="P4" s="14" t="s">
        <v>15</v>
      </c>
      <c r="Q4" s="14" t="s">
        <v>16</v>
      </c>
      <c r="R4" s="14" t="s">
        <v>17</v>
      </c>
      <c r="S4" s="14" t="s">
        <v>18</v>
      </c>
      <c r="T4" s="14" t="s">
        <v>19</v>
      </c>
      <c r="U4" s="14" t="s">
        <v>20</v>
      </c>
      <c r="V4" s="14" t="s">
        <v>21</v>
      </c>
      <c r="W4" s="14" t="s">
        <v>22</v>
      </c>
      <c r="X4" s="14" t="s">
        <v>23</v>
      </c>
      <c r="Y4" s="14" t="s">
        <v>24</v>
      </c>
      <c r="Z4" s="14" t="s">
        <v>25</v>
      </c>
      <c r="AA4" s="14" t="s">
        <v>26</v>
      </c>
      <c r="AB4" s="15" t="s">
        <v>27</v>
      </c>
      <c r="AC4" s="15" t="s">
        <v>28</v>
      </c>
      <c r="AD4" s="15" t="s">
        <v>6046</v>
      </c>
      <c r="AE4" s="15" t="s">
        <v>32</v>
      </c>
      <c r="AF4" s="15" t="s">
        <v>33</v>
      </c>
      <c r="AG4" s="15" t="s">
        <v>30</v>
      </c>
      <c r="AH4" s="15" t="s">
        <v>6047</v>
      </c>
      <c r="AI4" s="15" t="s">
        <v>29</v>
      </c>
      <c r="AJ4" s="15" t="s">
        <v>31</v>
      </c>
      <c r="AK4" s="15" t="s">
        <v>34</v>
      </c>
      <c r="AL4" s="23" t="s">
        <v>54</v>
      </c>
      <c r="AM4" s="23" t="s">
        <v>42</v>
      </c>
      <c r="AN4" s="23" t="s">
        <v>43</v>
      </c>
      <c r="AO4" s="23" t="s">
        <v>55</v>
      </c>
      <c r="AP4" s="23" t="s">
        <v>56</v>
      </c>
      <c r="AQ4" s="23" t="s">
        <v>62</v>
      </c>
      <c r="AR4" s="23" t="s">
        <v>66</v>
      </c>
      <c r="AS4" s="23" t="s">
        <v>68</v>
      </c>
      <c r="AT4" s="16" t="s">
        <v>49</v>
      </c>
      <c r="AU4" s="16" t="s">
        <v>48</v>
      </c>
      <c r="AV4" s="16" t="s">
        <v>47</v>
      </c>
      <c r="AW4" s="11"/>
    </row>
    <row r="5" spans="1:49" ht="15" customHeight="1" x14ac:dyDescent="0.25">
      <c r="A5" s="19">
        <v>23647</v>
      </c>
      <c r="B5" s="20" t="s">
        <v>9</v>
      </c>
      <c r="C5" s="20" t="s">
        <v>69</v>
      </c>
      <c r="D5" s="20" t="s">
        <v>5616</v>
      </c>
      <c r="E5" s="20" t="s">
        <v>5617</v>
      </c>
      <c r="F5" s="20">
        <v>34.421410999999999</v>
      </c>
      <c r="G5" s="20">
        <v>41.202050999999997</v>
      </c>
      <c r="H5" s="22">
        <v>17</v>
      </c>
      <c r="I5" s="22">
        <v>102</v>
      </c>
      <c r="J5" s="21">
        <v>17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>
        <v>17</v>
      </c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>
        <v>17</v>
      </c>
      <c r="AT5" s="12" t="str">
        <f>HYPERLINK("http://www.openstreetmap.org/?mlat=34.4214&amp;mlon=41.2021&amp;zoom=12#map=12/34.4214/41.2021","Maplink1")</f>
        <v>Maplink1</v>
      </c>
      <c r="AU5" s="12" t="str">
        <f>HYPERLINK("https://www.google.iq/maps/search/+34.4214,41.2021/@34.4214,41.2021,14z?hl=en","Maplink2")</f>
        <v>Maplink2</v>
      </c>
      <c r="AV5" s="12" t="str">
        <f>HYPERLINK("http://www.bing.com/maps/?lvl=14&amp;sty=h&amp;cp=34.4214~41.2021&amp;sp=point.34.4214_41.2021","Maplink3")</f>
        <v>Maplink3</v>
      </c>
      <c r="AW5" s="26"/>
    </row>
    <row r="6" spans="1:49" ht="15" customHeight="1" x14ac:dyDescent="0.25">
      <c r="A6" s="19">
        <v>33176</v>
      </c>
      <c r="B6" s="20" t="s">
        <v>9</v>
      </c>
      <c r="C6" s="20" t="s">
        <v>69</v>
      </c>
      <c r="D6" s="20" t="s">
        <v>5618</v>
      </c>
      <c r="E6" s="20" t="s">
        <v>5619</v>
      </c>
      <c r="F6" s="20">
        <v>34.411487000000001</v>
      </c>
      <c r="G6" s="20">
        <v>41.006712</v>
      </c>
      <c r="H6" s="22">
        <v>142</v>
      </c>
      <c r="I6" s="22">
        <v>852</v>
      </c>
      <c r="J6" s="21">
        <v>142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>
        <v>142</v>
      </c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>
        <v>142</v>
      </c>
      <c r="AT6" s="12" t="str">
        <f>HYPERLINK("http://www.openstreetmap.org/?mlat=34.4115&amp;mlon=41.0067&amp;zoom=12#map=12/34.4115/41.0067","Maplink1")</f>
        <v>Maplink1</v>
      </c>
      <c r="AU6" s="12" t="str">
        <f>HYPERLINK("https://www.google.iq/maps/search/+34.4115,41.0067/@34.4115,41.0067,14z?hl=en","Maplink2")</f>
        <v>Maplink2</v>
      </c>
      <c r="AV6" s="12" t="str">
        <f>HYPERLINK("http://www.bing.com/maps/?lvl=14&amp;sty=h&amp;cp=34.4115~41.0067&amp;sp=point.34.4115_41.0067","Maplink3")</f>
        <v>Maplink3</v>
      </c>
      <c r="AW6" s="26"/>
    </row>
    <row r="7" spans="1:49" ht="15" customHeight="1" x14ac:dyDescent="0.25">
      <c r="A7" s="19">
        <v>90</v>
      </c>
      <c r="B7" s="20" t="s">
        <v>9</v>
      </c>
      <c r="C7" s="20" t="s">
        <v>69</v>
      </c>
      <c r="D7" s="20" t="s">
        <v>5620</v>
      </c>
      <c r="E7" s="20" t="s">
        <v>5621</v>
      </c>
      <c r="F7" s="20">
        <v>34.433343999999998</v>
      </c>
      <c r="G7" s="20">
        <v>41.225391999999999</v>
      </c>
      <c r="H7" s="22">
        <v>19</v>
      </c>
      <c r="I7" s="22">
        <v>114</v>
      </c>
      <c r="J7" s="21">
        <v>19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>
        <v>19</v>
      </c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>
        <v>19</v>
      </c>
      <c r="AT7" s="12" t="str">
        <f>HYPERLINK("http://www.openstreetmap.org/?mlat=34.4333&amp;mlon=41.2254&amp;zoom=12#map=12/34.4333/41.2254","Maplink1")</f>
        <v>Maplink1</v>
      </c>
      <c r="AU7" s="12" t="str">
        <f>HYPERLINK("https://www.google.iq/maps/search/+34.4333,41.2254/@34.4333,41.2254,14z?hl=en","Maplink2")</f>
        <v>Maplink2</v>
      </c>
      <c r="AV7" s="12" t="str">
        <f>HYPERLINK("http://www.bing.com/maps/?lvl=14&amp;sty=h&amp;cp=34.4333~41.2254&amp;sp=point.34.4333_41.2254","Maplink3")</f>
        <v>Maplink3</v>
      </c>
      <c r="AW7" s="26"/>
    </row>
    <row r="8" spans="1:49" ht="15" customHeight="1" x14ac:dyDescent="0.25">
      <c r="A8" s="19">
        <v>66</v>
      </c>
      <c r="B8" s="20" t="s">
        <v>9</v>
      </c>
      <c r="C8" s="20" t="s">
        <v>69</v>
      </c>
      <c r="D8" s="20" t="s">
        <v>5622</v>
      </c>
      <c r="E8" s="20" t="s">
        <v>5623</v>
      </c>
      <c r="F8" s="20">
        <v>34.363895999999997</v>
      </c>
      <c r="G8" s="20">
        <v>41.097366999999998</v>
      </c>
      <c r="H8" s="22">
        <v>69</v>
      </c>
      <c r="I8" s="22">
        <v>414</v>
      </c>
      <c r="J8" s="21">
        <v>69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>
        <v>69</v>
      </c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>
        <v>69</v>
      </c>
      <c r="AT8" s="12" t="str">
        <f>HYPERLINK("http://www.openstreetmap.org/?mlat=34.3639&amp;mlon=41.0974&amp;zoom=12#map=12/34.3639/41.0974","Maplink1")</f>
        <v>Maplink1</v>
      </c>
      <c r="AU8" s="12" t="str">
        <f>HYPERLINK("https://www.google.iq/maps/search/+34.3639,41.0974/@34.3639,41.0974,14z?hl=en","Maplink2")</f>
        <v>Maplink2</v>
      </c>
      <c r="AV8" s="12" t="str">
        <f>HYPERLINK("http://www.bing.com/maps/?lvl=14&amp;sty=h&amp;cp=34.3639~41.0974&amp;sp=point.34.3639_41.0974","Maplink3")</f>
        <v>Maplink3</v>
      </c>
      <c r="AW8" s="26"/>
    </row>
    <row r="9" spans="1:49" ht="15" customHeight="1" x14ac:dyDescent="0.25">
      <c r="A9" s="19">
        <v>33175</v>
      </c>
      <c r="B9" s="20" t="s">
        <v>9</v>
      </c>
      <c r="C9" s="20" t="s">
        <v>69</v>
      </c>
      <c r="D9" s="20" t="s">
        <v>5624</v>
      </c>
      <c r="E9" s="20" t="s">
        <v>5625</v>
      </c>
      <c r="F9" s="20">
        <v>34.228028000000002</v>
      </c>
      <c r="G9" s="20">
        <v>41.341898999999998</v>
      </c>
      <c r="H9" s="22">
        <v>45</v>
      </c>
      <c r="I9" s="22">
        <v>270</v>
      </c>
      <c r="J9" s="21">
        <v>45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>
        <v>45</v>
      </c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>
        <v>45</v>
      </c>
      <c r="AT9" s="12" t="str">
        <f>HYPERLINK("http://www.openstreetmap.org/?mlat=34.228&amp;mlon=41.3419&amp;zoom=12#map=12/34.228/41.3419","Maplink1")</f>
        <v>Maplink1</v>
      </c>
      <c r="AU9" s="12" t="str">
        <f>HYPERLINK("https://www.google.iq/maps/search/+34.228,41.3419/@34.228,41.3419,14z?hl=en","Maplink2")</f>
        <v>Maplink2</v>
      </c>
      <c r="AV9" s="12" t="str">
        <f>HYPERLINK("http://www.bing.com/maps/?lvl=14&amp;sty=h&amp;cp=34.228~41.3419&amp;sp=point.34.228_41.3419","Maplink3")</f>
        <v>Maplink3</v>
      </c>
      <c r="AW9" s="26"/>
    </row>
    <row r="10" spans="1:49" ht="15" customHeight="1" x14ac:dyDescent="0.25">
      <c r="A10" s="19">
        <v>165</v>
      </c>
      <c r="B10" s="20" t="s">
        <v>9</v>
      </c>
      <c r="C10" s="20" t="s">
        <v>5962</v>
      </c>
      <c r="D10" s="20" t="s">
        <v>6014</v>
      </c>
      <c r="E10" s="20" t="s">
        <v>112</v>
      </c>
      <c r="F10" s="20">
        <v>33.038952000000002</v>
      </c>
      <c r="G10" s="20">
        <v>40.277075000000004</v>
      </c>
      <c r="H10" s="22">
        <v>14</v>
      </c>
      <c r="I10" s="22">
        <v>84</v>
      </c>
      <c r="J10" s="21">
        <v>14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>
        <v>14</v>
      </c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>
        <v>14</v>
      </c>
      <c r="AT10" s="12" t="str">
        <f>HYPERLINK("http://www.openstreetmap.org/?mlat=33.039&amp;mlon=40.2771&amp;zoom=12#map=12/33.039/40.2771","Maplink1")</f>
        <v>Maplink1</v>
      </c>
      <c r="AU10" s="12" t="str">
        <f>HYPERLINK("https://www.google.iq/maps/search/+33.039,40.2771/@33.039,40.2771,14z?hl=en","Maplink2")</f>
        <v>Maplink2</v>
      </c>
      <c r="AV10" s="12" t="str">
        <f>HYPERLINK("http://www.bing.com/maps/?lvl=14&amp;sty=h&amp;cp=33.039~40.2771&amp;sp=point.33.039_40.2771","Maplink3")</f>
        <v>Maplink3</v>
      </c>
      <c r="AW10" s="26"/>
    </row>
    <row r="11" spans="1:49" ht="15" customHeight="1" x14ac:dyDescent="0.25">
      <c r="A11" s="19">
        <v>150</v>
      </c>
      <c r="B11" s="20" t="s">
        <v>9</v>
      </c>
      <c r="C11" s="20" t="s">
        <v>5962</v>
      </c>
      <c r="D11" s="20" t="s">
        <v>5963</v>
      </c>
      <c r="E11" s="20" t="s">
        <v>5964</v>
      </c>
      <c r="F11" s="20">
        <v>33.038459000000003</v>
      </c>
      <c r="G11" s="20">
        <v>40.293291000000004</v>
      </c>
      <c r="H11" s="22">
        <v>4</v>
      </c>
      <c r="I11" s="22">
        <v>24</v>
      </c>
      <c r="J11" s="21">
        <v>4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>
        <v>4</v>
      </c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>
        <v>4</v>
      </c>
      <c r="AT11" s="12" t="str">
        <f>HYPERLINK("http://www.openstreetmap.org/?mlat=33.0385&amp;mlon=40.2933&amp;zoom=12#map=12/33.0385/40.2933","Maplink1")</f>
        <v>Maplink1</v>
      </c>
      <c r="AU11" s="12" t="str">
        <f>HYPERLINK("https://www.google.iq/maps/search/+33.0385,40.2933/@33.0385,40.2933,14z?hl=en","Maplink2")</f>
        <v>Maplink2</v>
      </c>
      <c r="AV11" s="12" t="str">
        <f>HYPERLINK("http://www.bing.com/maps/?lvl=14&amp;sty=h&amp;cp=33.0385~40.2933&amp;sp=point.33.0385_40.2933","Maplink3")</f>
        <v>Maplink3</v>
      </c>
      <c r="AW11" s="26"/>
    </row>
    <row r="12" spans="1:49" ht="15" customHeight="1" x14ac:dyDescent="0.25">
      <c r="A12" s="19">
        <v>231</v>
      </c>
      <c r="B12" s="20" t="s">
        <v>9</v>
      </c>
      <c r="C12" s="20" t="s">
        <v>5962</v>
      </c>
      <c r="D12" s="20" t="s">
        <v>5981</v>
      </c>
      <c r="E12" s="20" t="s">
        <v>5982</v>
      </c>
      <c r="F12" s="20">
        <v>33.036414000000001</v>
      </c>
      <c r="G12" s="20">
        <v>40.284368999999998</v>
      </c>
      <c r="H12" s="22">
        <v>11</v>
      </c>
      <c r="I12" s="22">
        <v>66</v>
      </c>
      <c r="J12" s="21">
        <v>11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>
        <v>11</v>
      </c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>
        <v>11</v>
      </c>
      <c r="AT12" s="12" t="str">
        <f>HYPERLINK("http://www.openstreetmap.org/?mlat=33.0364&amp;mlon=40.2844&amp;zoom=12#map=12/33.0364/40.2844","Maplink1")</f>
        <v>Maplink1</v>
      </c>
      <c r="AU12" s="12" t="str">
        <f>HYPERLINK("https://www.google.iq/maps/search/+33.0364,40.2844/@33.0364,40.2844,14z?hl=en","Maplink2")</f>
        <v>Maplink2</v>
      </c>
      <c r="AV12" s="12" t="str">
        <f>HYPERLINK("http://www.bing.com/maps/?lvl=14&amp;sty=h&amp;cp=33.0364~40.2844&amp;sp=point.33.0364_40.2844","Maplink3")</f>
        <v>Maplink3</v>
      </c>
      <c r="AW12" s="26"/>
    </row>
    <row r="13" spans="1:49" ht="15" customHeight="1" x14ac:dyDescent="0.25">
      <c r="A13" s="19">
        <v>167</v>
      </c>
      <c r="B13" s="20" t="s">
        <v>9</v>
      </c>
      <c r="C13" s="20" t="s">
        <v>5962</v>
      </c>
      <c r="D13" s="20" t="s">
        <v>5965</v>
      </c>
      <c r="E13" s="20" t="s">
        <v>224</v>
      </c>
      <c r="F13" s="20">
        <v>33.041953999999997</v>
      </c>
      <c r="G13" s="20">
        <v>40.275979999999997</v>
      </c>
      <c r="H13" s="22">
        <v>23</v>
      </c>
      <c r="I13" s="22">
        <v>138</v>
      </c>
      <c r="J13" s="21">
        <v>23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>
        <v>23</v>
      </c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>
        <v>23</v>
      </c>
      <c r="AT13" s="12" t="str">
        <f>HYPERLINK("http://www.openstreetmap.org/?mlat=33.042&amp;mlon=40.276&amp;zoom=12#map=12/33.042/40.276","Maplink1")</f>
        <v>Maplink1</v>
      </c>
      <c r="AU13" s="12" t="str">
        <f>HYPERLINK("https://www.google.iq/maps/search/+33.042,40.276/@33.042,40.276,14z?hl=en","Maplink2")</f>
        <v>Maplink2</v>
      </c>
      <c r="AV13" s="12" t="str">
        <f>HYPERLINK("http://www.bing.com/maps/?lvl=14&amp;sty=h&amp;cp=33.042~40.276&amp;sp=point.33.042_40.276","Maplink3")</f>
        <v>Maplink3</v>
      </c>
      <c r="AW13" s="26"/>
    </row>
    <row r="14" spans="1:49" ht="15" customHeight="1" x14ac:dyDescent="0.25">
      <c r="A14" s="19">
        <v>166</v>
      </c>
      <c r="B14" s="20" t="s">
        <v>9</v>
      </c>
      <c r="C14" s="20" t="s">
        <v>5962</v>
      </c>
      <c r="D14" s="20" t="s">
        <v>5983</v>
      </c>
      <c r="E14" s="20" t="s">
        <v>5984</v>
      </c>
      <c r="F14" s="20">
        <v>33.039800999999997</v>
      </c>
      <c r="G14" s="20">
        <v>40.282946000000003</v>
      </c>
      <c r="H14" s="22">
        <v>8</v>
      </c>
      <c r="I14" s="22">
        <v>48</v>
      </c>
      <c r="J14" s="21">
        <v>8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>
        <v>8</v>
      </c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>
        <v>8</v>
      </c>
      <c r="AT14" s="12" t="str">
        <f>HYPERLINK("http://www.openstreetmap.org/?mlat=33.0398&amp;mlon=40.2829&amp;zoom=12#map=12/33.0398/40.2829","Maplink1")</f>
        <v>Maplink1</v>
      </c>
      <c r="AU14" s="12" t="str">
        <f>HYPERLINK("https://www.google.iq/maps/search/+33.0398,40.2829/@33.0398,40.2829,14z?hl=en","Maplink2")</f>
        <v>Maplink2</v>
      </c>
      <c r="AV14" s="12" t="str">
        <f>HYPERLINK("http://www.bing.com/maps/?lvl=14&amp;sty=h&amp;cp=33.0398~40.2829&amp;sp=point.33.0398_40.2829","Maplink3")</f>
        <v>Maplink3</v>
      </c>
      <c r="AW14" s="26"/>
    </row>
    <row r="15" spans="1:49" ht="15" customHeight="1" x14ac:dyDescent="0.25">
      <c r="A15" s="19">
        <v>233</v>
      </c>
      <c r="B15" s="20" t="s">
        <v>9</v>
      </c>
      <c r="C15" s="20" t="s">
        <v>5962</v>
      </c>
      <c r="D15" s="20" t="s">
        <v>5966</v>
      </c>
      <c r="E15" s="20" t="s">
        <v>5967</v>
      </c>
      <c r="F15" s="20">
        <v>33.039321000000001</v>
      </c>
      <c r="G15" s="20">
        <v>40.293433999999998</v>
      </c>
      <c r="H15" s="22">
        <v>8</v>
      </c>
      <c r="I15" s="22">
        <v>48</v>
      </c>
      <c r="J15" s="21">
        <v>8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>
        <v>8</v>
      </c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>
        <v>8</v>
      </c>
      <c r="AT15" s="12" t="str">
        <f>HYPERLINK("http://www.openstreetmap.org/?mlat=33.0393&amp;mlon=40.2934&amp;zoom=12#map=12/33.0393/40.2934","Maplink1")</f>
        <v>Maplink1</v>
      </c>
      <c r="AU15" s="12" t="str">
        <f>HYPERLINK("https://www.google.iq/maps/search/+33.0393,40.2934/@33.0393,40.2934,14z?hl=en","Maplink2")</f>
        <v>Maplink2</v>
      </c>
      <c r="AV15" s="12" t="str">
        <f>HYPERLINK("http://www.bing.com/maps/?lvl=14&amp;sty=h&amp;cp=33.0393~40.2934&amp;sp=point.33.0393_40.2934","Maplink3")</f>
        <v>Maplink3</v>
      </c>
    </row>
    <row r="16" spans="1:49" ht="15" customHeight="1" x14ac:dyDescent="0.25">
      <c r="A16" s="19">
        <v>252</v>
      </c>
      <c r="B16" s="20" t="s">
        <v>9</v>
      </c>
      <c r="C16" s="20" t="s">
        <v>5865</v>
      </c>
      <c r="D16" s="20" t="s">
        <v>5968</v>
      </c>
      <c r="E16" s="20" t="s">
        <v>5969</v>
      </c>
      <c r="F16" s="20">
        <v>34.367327000000003</v>
      </c>
      <c r="G16" s="20">
        <v>41.972490000000001</v>
      </c>
      <c r="H16" s="22">
        <v>10</v>
      </c>
      <c r="I16" s="22">
        <v>60</v>
      </c>
      <c r="J16" s="21">
        <v>10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>
        <v>10</v>
      </c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>
        <v>10</v>
      </c>
      <c r="AT16" s="12" t="str">
        <f>HYPERLINK("http://www.openstreetmap.org/?mlat=34.3673&amp;mlon=41.9725&amp;zoom=12#map=12/34.3673/41.9725","Maplink1")</f>
        <v>Maplink1</v>
      </c>
      <c r="AU16" s="12" t="str">
        <f>HYPERLINK("https://www.google.iq/maps/search/+34.3673,41.9725/@34.3673,41.9725,14z?hl=en","Maplink2")</f>
        <v>Maplink2</v>
      </c>
      <c r="AV16" s="12" t="str">
        <f>HYPERLINK("http://www.bing.com/maps/?lvl=14&amp;sty=h&amp;cp=34.3673~41.9725&amp;sp=point.34.3673_41.9725","Maplink3")</f>
        <v>Maplink3</v>
      </c>
    </row>
    <row r="17" spans="1:48" ht="15" customHeight="1" x14ac:dyDescent="0.25">
      <c r="A17" s="19">
        <v>250</v>
      </c>
      <c r="B17" s="20" t="s">
        <v>9</v>
      </c>
      <c r="C17" s="20" t="s">
        <v>5865</v>
      </c>
      <c r="D17" s="20" t="s">
        <v>295</v>
      </c>
      <c r="E17" s="20" t="s">
        <v>296</v>
      </c>
      <c r="F17" s="20">
        <v>34.366033000000002</v>
      </c>
      <c r="G17" s="20">
        <v>41.990583000000001</v>
      </c>
      <c r="H17" s="22">
        <v>18</v>
      </c>
      <c r="I17" s="22">
        <v>108</v>
      </c>
      <c r="J17" s="21">
        <v>18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>
        <v>18</v>
      </c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>
        <v>18</v>
      </c>
      <c r="AT17" s="12" t="str">
        <f>HYPERLINK("http://www.openstreetmap.org/?mlat=34.366&amp;mlon=41.9906&amp;zoom=12#map=12/34.366/41.9906","Maplink1")</f>
        <v>Maplink1</v>
      </c>
      <c r="AU17" s="12" t="str">
        <f>HYPERLINK("https://www.google.iq/maps/search/+34.366,41.9906/@34.366,41.9906,14z?hl=en","Maplink2")</f>
        <v>Maplink2</v>
      </c>
      <c r="AV17" s="12" t="str">
        <f>HYPERLINK("http://www.bing.com/maps/?lvl=14&amp;sty=h&amp;cp=34.366~41.9906&amp;sp=point.34.366_41.9906","Maplink3")</f>
        <v>Maplink3</v>
      </c>
    </row>
    <row r="18" spans="1:48" ht="15" customHeight="1" x14ac:dyDescent="0.25">
      <c r="A18" s="19">
        <v>251</v>
      </c>
      <c r="B18" s="20" t="s">
        <v>9</v>
      </c>
      <c r="C18" s="20" t="s">
        <v>5865</v>
      </c>
      <c r="D18" s="20" t="s">
        <v>5938</v>
      </c>
      <c r="E18" s="20" t="s">
        <v>1359</v>
      </c>
      <c r="F18" s="20">
        <v>34.376623000000002</v>
      </c>
      <c r="G18" s="20">
        <v>41.980873000000003</v>
      </c>
      <c r="H18" s="22">
        <v>7</v>
      </c>
      <c r="I18" s="22">
        <v>42</v>
      </c>
      <c r="J18" s="21">
        <v>7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>
        <v>7</v>
      </c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>
        <v>7</v>
      </c>
      <c r="AT18" s="12" t="str">
        <f>HYPERLINK("http://www.openstreetmap.org/?mlat=34.3766&amp;mlon=41.9809&amp;zoom=12#map=12/34.3766/41.9809","Maplink1")</f>
        <v>Maplink1</v>
      </c>
      <c r="AU18" s="12" t="str">
        <f>HYPERLINK("https://www.google.iq/maps/search/+34.3766,41.9809/@34.3766,41.9809,14z?hl=en","Maplink2")</f>
        <v>Maplink2</v>
      </c>
      <c r="AV18" s="12" t="str">
        <f>HYPERLINK("http://www.bing.com/maps/?lvl=14&amp;sty=h&amp;cp=34.3766~41.9809&amp;sp=point.34.3766_41.9809","Maplink3")</f>
        <v>Maplink3</v>
      </c>
    </row>
    <row r="19" spans="1:48" ht="15" customHeight="1" x14ac:dyDescent="0.25">
      <c r="A19" s="19">
        <v>253</v>
      </c>
      <c r="B19" s="20" t="s">
        <v>9</v>
      </c>
      <c r="C19" s="20" t="s">
        <v>5865</v>
      </c>
      <c r="D19" s="20" t="s">
        <v>116</v>
      </c>
      <c r="E19" s="20" t="s">
        <v>117</v>
      </c>
      <c r="F19" s="20">
        <v>34.364510000000003</v>
      </c>
      <c r="G19" s="20">
        <v>41.980243999999999</v>
      </c>
      <c r="H19" s="22">
        <v>6</v>
      </c>
      <c r="I19" s="22">
        <v>36</v>
      </c>
      <c r="J19" s="21">
        <v>6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>
        <v>6</v>
      </c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>
        <v>6</v>
      </c>
      <c r="AT19" s="12" t="str">
        <f>HYPERLINK("http://www.openstreetmap.org/?mlat=34.3645&amp;mlon=41.9802&amp;zoom=12#map=12/34.3645/41.9802","Maplink1")</f>
        <v>Maplink1</v>
      </c>
      <c r="AU19" s="12" t="str">
        <f>HYPERLINK("https://www.google.iq/maps/search/+34.3645,41.9802/@34.3645,41.9802,14z?hl=en","Maplink2")</f>
        <v>Maplink2</v>
      </c>
      <c r="AV19" s="12" t="str">
        <f>HYPERLINK("http://www.bing.com/maps/?lvl=14&amp;sty=h&amp;cp=34.3645~41.9802&amp;sp=point.34.3645_41.9802","Maplink3")</f>
        <v>Maplink3</v>
      </c>
    </row>
    <row r="20" spans="1:48" ht="15" customHeight="1" x14ac:dyDescent="0.25">
      <c r="A20" s="19">
        <v>247</v>
      </c>
      <c r="B20" s="20" t="s">
        <v>9</v>
      </c>
      <c r="C20" s="20" t="s">
        <v>5865</v>
      </c>
      <c r="D20" s="20" t="s">
        <v>5866</v>
      </c>
      <c r="E20" s="20" t="s">
        <v>5867</v>
      </c>
      <c r="F20" s="20">
        <v>34.340626</v>
      </c>
      <c r="G20" s="20">
        <v>42.029125000000001</v>
      </c>
      <c r="H20" s="22">
        <v>32</v>
      </c>
      <c r="I20" s="22">
        <v>192</v>
      </c>
      <c r="J20" s="21">
        <v>32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>
        <v>32</v>
      </c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>
        <v>32</v>
      </c>
      <c r="AT20" s="12" t="str">
        <f>HYPERLINK("http://www.openstreetmap.org/?mlat=34.3406&amp;mlon=42.0291&amp;zoom=12#map=12/34.3406/42.0291","Maplink1")</f>
        <v>Maplink1</v>
      </c>
      <c r="AU20" s="12" t="str">
        <f>HYPERLINK("https://www.google.iq/maps/search/+34.3406,42.0291/@34.3406,42.0291,14z?hl=en","Maplink2")</f>
        <v>Maplink2</v>
      </c>
      <c r="AV20" s="12" t="str">
        <f>HYPERLINK("http://www.bing.com/maps/?lvl=14&amp;sty=h&amp;cp=34.3406~42.0291&amp;sp=point.34.3406_42.0291","Maplink3")</f>
        <v>Maplink3</v>
      </c>
    </row>
    <row r="21" spans="1:48" ht="15" customHeight="1" x14ac:dyDescent="0.25">
      <c r="A21" s="19">
        <v>107</v>
      </c>
      <c r="B21" s="20" t="s">
        <v>9</v>
      </c>
      <c r="C21" s="20" t="s">
        <v>71</v>
      </c>
      <c r="D21" s="20" t="s">
        <v>72</v>
      </c>
      <c r="E21" s="20" t="s">
        <v>73</v>
      </c>
      <c r="F21" s="20">
        <v>33.178379999999997</v>
      </c>
      <c r="G21" s="20">
        <v>43.854819999999997</v>
      </c>
      <c r="H21" s="22">
        <v>6</v>
      </c>
      <c r="I21" s="22">
        <v>36</v>
      </c>
      <c r="J21" s="21">
        <v>6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>
        <v>6</v>
      </c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>
        <v>6</v>
      </c>
      <c r="AQ21" s="21"/>
      <c r="AR21" s="21"/>
      <c r="AS21" s="21"/>
      <c r="AT21" s="12" t="str">
        <f>HYPERLINK("http://www.openstreetmap.org/?mlat=33.1784&amp;mlon=43.8548&amp;zoom=12#map=12/33.1784/43.8548","Maplink1")</f>
        <v>Maplink1</v>
      </c>
      <c r="AU21" s="12" t="str">
        <f>HYPERLINK("https://www.google.iq/maps/search/+33.1784,43.8548/@33.1784,43.8548,14z?hl=en","Maplink2")</f>
        <v>Maplink2</v>
      </c>
      <c r="AV21" s="12" t="str">
        <f>HYPERLINK("http://www.bing.com/maps/?lvl=14&amp;sty=h&amp;cp=33.1784~43.8548&amp;sp=point.33.1784_43.8548","Maplink3")</f>
        <v>Maplink3</v>
      </c>
    </row>
    <row r="22" spans="1:48" ht="15" customHeight="1" x14ac:dyDescent="0.25">
      <c r="A22" s="19">
        <v>26084</v>
      </c>
      <c r="B22" s="20" t="s">
        <v>9</v>
      </c>
      <c r="C22" s="20" t="s">
        <v>71</v>
      </c>
      <c r="D22" s="20" t="s">
        <v>74</v>
      </c>
      <c r="E22" s="20" t="s">
        <v>75</v>
      </c>
      <c r="F22" s="20">
        <v>33.118119999999998</v>
      </c>
      <c r="G22" s="20">
        <v>44.047669999999997</v>
      </c>
      <c r="H22" s="22">
        <v>100</v>
      </c>
      <c r="I22" s="22">
        <v>600</v>
      </c>
      <c r="J22" s="21">
        <v>25</v>
      </c>
      <c r="K22" s="21">
        <v>75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>
        <v>100</v>
      </c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>
        <v>100</v>
      </c>
      <c r="AQ22" s="21"/>
      <c r="AR22" s="21"/>
      <c r="AS22" s="21"/>
      <c r="AT22" s="12" t="str">
        <f>HYPERLINK("http://www.openstreetmap.org/?mlat=33.1181&amp;mlon=44.0477&amp;zoom=12#map=12/33.1181/44.0477","Maplink1")</f>
        <v>Maplink1</v>
      </c>
      <c r="AU22" s="12" t="str">
        <f>HYPERLINK("https://www.google.iq/maps/search/+33.1181,44.0477/@33.1181,44.0477,14z?hl=en","Maplink2")</f>
        <v>Maplink2</v>
      </c>
      <c r="AV22" s="12" t="str">
        <f>HYPERLINK("http://www.bing.com/maps/?lvl=14&amp;sty=h&amp;cp=33.1181~44.0477&amp;sp=point.33.1181_44.0477","Maplink3")</f>
        <v>Maplink3</v>
      </c>
    </row>
    <row r="23" spans="1:48" ht="15" customHeight="1" x14ac:dyDescent="0.25">
      <c r="A23" s="19">
        <v>26091</v>
      </c>
      <c r="B23" s="20" t="s">
        <v>9</v>
      </c>
      <c r="C23" s="20" t="s">
        <v>71</v>
      </c>
      <c r="D23" s="20" t="s">
        <v>76</v>
      </c>
      <c r="E23" s="20" t="s">
        <v>77</v>
      </c>
      <c r="F23" s="20">
        <v>33.161090000000002</v>
      </c>
      <c r="G23" s="20">
        <v>43.930990000000001</v>
      </c>
      <c r="H23" s="22">
        <v>146</v>
      </c>
      <c r="I23" s="22">
        <v>876</v>
      </c>
      <c r="J23" s="21">
        <v>17</v>
      </c>
      <c r="K23" s="21">
        <v>129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>
        <v>17</v>
      </c>
      <c r="AD23" s="21"/>
      <c r="AE23" s="21">
        <v>129</v>
      </c>
      <c r="AF23" s="21"/>
      <c r="AG23" s="21"/>
      <c r="AH23" s="21"/>
      <c r="AI23" s="21"/>
      <c r="AJ23" s="21"/>
      <c r="AK23" s="21"/>
      <c r="AL23" s="21"/>
      <c r="AM23" s="21"/>
      <c r="AN23" s="21"/>
      <c r="AO23" s="21">
        <v>129</v>
      </c>
      <c r="AP23" s="21">
        <v>17</v>
      </c>
      <c r="AQ23" s="21"/>
      <c r="AR23" s="21"/>
      <c r="AS23" s="21"/>
      <c r="AT23" s="12" t="str">
        <f>HYPERLINK("http://www.openstreetmap.org/?mlat=33.1611&amp;mlon=43.931&amp;zoom=12#map=12/33.1611/43.931","Maplink1")</f>
        <v>Maplink1</v>
      </c>
      <c r="AU23" s="12" t="str">
        <f>HYPERLINK("https://www.google.iq/maps/search/+33.1611,43.931/@33.1611,43.931,14z?hl=en","Maplink2")</f>
        <v>Maplink2</v>
      </c>
      <c r="AV23" s="12" t="str">
        <f>HYPERLINK("http://www.bing.com/maps/?lvl=14&amp;sty=h&amp;cp=33.1611~43.931&amp;sp=point.33.1611_43.931","Maplink3")</f>
        <v>Maplink3</v>
      </c>
    </row>
    <row r="24" spans="1:48" ht="15" customHeight="1" x14ac:dyDescent="0.25">
      <c r="A24" s="19">
        <v>26092</v>
      </c>
      <c r="B24" s="20" t="s">
        <v>9</v>
      </c>
      <c r="C24" s="20" t="s">
        <v>71</v>
      </c>
      <c r="D24" s="20" t="s">
        <v>78</v>
      </c>
      <c r="E24" s="20" t="s">
        <v>79</v>
      </c>
      <c r="F24" s="20">
        <v>33.148389999999999</v>
      </c>
      <c r="G24" s="20">
        <v>43.955370000000002</v>
      </c>
      <c r="H24" s="22">
        <v>290</v>
      </c>
      <c r="I24" s="22">
        <v>1740</v>
      </c>
      <c r="J24" s="21">
        <v>50</v>
      </c>
      <c r="K24" s="21">
        <v>240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>
        <v>290</v>
      </c>
      <c r="AF24" s="21"/>
      <c r="AG24" s="21"/>
      <c r="AH24" s="21"/>
      <c r="AI24" s="21"/>
      <c r="AJ24" s="21"/>
      <c r="AK24" s="21"/>
      <c r="AL24" s="21">
        <v>85</v>
      </c>
      <c r="AM24" s="21"/>
      <c r="AN24" s="21"/>
      <c r="AO24" s="21">
        <v>40</v>
      </c>
      <c r="AP24" s="21">
        <v>165</v>
      </c>
      <c r="AQ24" s="21"/>
      <c r="AR24" s="21"/>
      <c r="AS24" s="21"/>
      <c r="AT24" s="12" t="str">
        <f>HYPERLINK("http://www.openstreetmap.org/?mlat=33.1484&amp;mlon=43.9554&amp;zoom=12#map=12/33.1484/43.9554","Maplink1")</f>
        <v>Maplink1</v>
      </c>
      <c r="AU24" s="12" t="str">
        <f>HYPERLINK("https://www.google.iq/maps/search/+33.1484,43.9554/@33.1484,43.9554,14z?hl=en","Maplink2")</f>
        <v>Maplink2</v>
      </c>
      <c r="AV24" s="12" t="str">
        <f>HYPERLINK("http://www.bing.com/maps/?lvl=14&amp;sty=h&amp;cp=33.1484~43.9554&amp;sp=point.33.1484_43.9554","Maplink3")</f>
        <v>Maplink3</v>
      </c>
    </row>
    <row r="25" spans="1:48" ht="15" customHeight="1" x14ac:dyDescent="0.25">
      <c r="A25" s="19">
        <v>26085</v>
      </c>
      <c r="B25" s="20" t="s">
        <v>9</v>
      </c>
      <c r="C25" s="20" t="s">
        <v>71</v>
      </c>
      <c r="D25" s="20" t="s">
        <v>80</v>
      </c>
      <c r="E25" s="20" t="s">
        <v>81</v>
      </c>
      <c r="F25" s="20">
        <v>33.151850000000003</v>
      </c>
      <c r="G25" s="20">
        <v>44.015369999999997</v>
      </c>
      <c r="H25" s="22">
        <v>99</v>
      </c>
      <c r="I25" s="22">
        <v>594</v>
      </c>
      <c r="J25" s="21">
        <v>9</v>
      </c>
      <c r="K25" s="21">
        <v>90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>
        <v>99</v>
      </c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>
        <v>99</v>
      </c>
      <c r="AQ25" s="21"/>
      <c r="AR25" s="21"/>
      <c r="AS25" s="21"/>
      <c r="AT25" s="12" t="str">
        <f>HYPERLINK("http://www.openstreetmap.org/?mlat=33.1519&amp;mlon=44.0154&amp;zoom=12#map=12/33.1519/44.0154","Maplink1")</f>
        <v>Maplink1</v>
      </c>
      <c r="AU25" s="12" t="str">
        <f>HYPERLINK("https://www.google.iq/maps/search/+33.1519,44.0154/@33.1519,44.0154,14z?hl=en","Maplink2")</f>
        <v>Maplink2</v>
      </c>
      <c r="AV25" s="12" t="str">
        <f>HYPERLINK("http://www.bing.com/maps/?lvl=14&amp;sty=h&amp;cp=33.1519~44.0154&amp;sp=point.33.1519_44.0154","Maplink3")</f>
        <v>Maplink3</v>
      </c>
    </row>
    <row r="26" spans="1:48" ht="15" customHeight="1" x14ac:dyDescent="0.25">
      <c r="A26" s="19">
        <v>26036</v>
      </c>
      <c r="B26" s="20" t="s">
        <v>9</v>
      </c>
      <c r="C26" s="20" t="s">
        <v>71</v>
      </c>
      <c r="D26" s="20" t="s">
        <v>82</v>
      </c>
      <c r="E26" s="20" t="s">
        <v>83</v>
      </c>
      <c r="F26" s="20">
        <v>33.196309999999997</v>
      </c>
      <c r="G26" s="20">
        <v>43.907380000000003</v>
      </c>
      <c r="H26" s="22">
        <v>51</v>
      </c>
      <c r="I26" s="22">
        <v>306</v>
      </c>
      <c r="J26" s="21">
        <v>11</v>
      </c>
      <c r="K26" s="21">
        <v>40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>
        <v>51</v>
      </c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>
        <v>51</v>
      </c>
      <c r="AQ26" s="21"/>
      <c r="AR26" s="21"/>
      <c r="AS26" s="21"/>
      <c r="AT26" s="12" t="str">
        <f>HYPERLINK("http://www.openstreetmap.org/?mlat=33.1963&amp;mlon=43.9074&amp;zoom=12#map=12/33.1963/43.9074","Maplink1")</f>
        <v>Maplink1</v>
      </c>
      <c r="AU26" s="12" t="str">
        <f>HYPERLINK("https://www.google.iq/maps/search/+33.1963,43.9074/@33.1963,43.9074,14z?hl=en","Maplink2")</f>
        <v>Maplink2</v>
      </c>
      <c r="AV26" s="12" t="str">
        <f>HYPERLINK("http://www.bing.com/maps/?lvl=14&amp;sty=h&amp;cp=33.1963~43.9074&amp;sp=point.33.1963_43.9074","Maplink3")</f>
        <v>Maplink3</v>
      </c>
    </row>
    <row r="27" spans="1:48" ht="15" customHeight="1" x14ac:dyDescent="0.25">
      <c r="A27" s="19">
        <v>26037</v>
      </c>
      <c r="B27" s="20" t="s">
        <v>9</v>
      </c>
      <c r="C27" s="20" t="s">
        <v>71</v>
      </c>
      <c r="D27" s="20" t="s">
        <v>84</v>
      </c>
      <c r="E27" s="20" t="s">
        <v>85</v>
      </c>
      <c r="F27" s="20">
        <v>33.150689999999997</v>
      </c>
      <c r="G27" s="20">
        <v>43.989730000000002</v>
      </c>
      <c r="H27" s="22">
        <v>178</v>
      </c>
      <c r="I27" s="22">
        <v>1068</v>
      </c>
      <c r="J27" s="21">
        <v>21</v>
      </c>
      <c r="K27" s="21">
        <v>157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>
        <v>178</v>
      </c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>
        <v>101</v>
      </c>
      <c r="AQ27" s="21">
        <v>77</v>
      </c>
      <c r="AR27" s="21"/>
      <c r="AS27" s="21"/>
      <c r="AT27" s="12" t="str">
        <f>HYPERLINK("http://www.openstreetmap.org/?mlat=33.1507&amp;mlon=43.9897&amp;zoom=12#map=12/33.1507/43.9897","Maplink1")</f>
        <v>Maplink1</v>
      </c>
      <c r="AU27" s="12" t="str">
        <f>HYPERLINK("https://www.google.iq/maps/search/+33.1507,43.9897/@33.1507,43.9897,14z?hl=en","Maplink2")</f>
        <v>Maplink2</v>
      </c>
      <c r="AV27" s="12" t="str">
        <f>HYPERLINK("http://www.bing.com/maps/?lvl=14&amp;sty=h&amp;cp=33.1507~43.9897&amp;sp=point.33.1507_43.9897","Maplink3")</f>
        <v>Maplink3</v>
      </c>
    </row>
    <row r="28" spans="1:48" ht="15" customHeight="1" x14ac:dyDescent="0.25">
      <c r="A28" s="19">
        <v>26090</v>
      </c>
      <c r="B28" s="20" t="s">
        <v>9</v>
      </c>
      <c r="C28" s="20" t="s">
        <v>71</v>
      </c>
      <c r="D28" s="20" t="s">
        <v>86</v>
      </c>
      <c r="E28" s="20" t="s">
        <v>87</v>
      </c>
      <c r="F28" s="20">
        <v>33.196959999999997</v>
      </c>
      <c r="G28" s="20">
        <v>43.922809999999998</v>
      </c>
      <c r="H28" s="22">
        <v>102</v>
      </c>
      <c r="I28" s="22">
        <v>612</v>
      </c>
      <c r="J28" s="21">
        <v>102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>
        <v>102</v>
      </c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>
        <v>102</v>
      </c>
      <c r="AQ28" s="21"/>
      <c r="AR28" s="21"/>
      <c r="AS28" s="21"/>
      <c r="AT28" s="12" t="str">
        <f>HYPERLINK("http://www.openstreetmap.org/?mlat=33.197&amp;mlon=43.9228&amp;zoom=12#map=12/33.197/43.9228","Maplink1")</f>
        <v>Maplink1</v>
      </c>
      <c r="AU28" s="12" t="str">
        <f>HYPERLINK("https://www.google.iq/maps/search/+33.197,43.9228/@33.197,43.9228,14z?hl=en","Maplink2")</f>
        <v>Maplink2</v>
      </c>
      <c r="AV28" s="12" t="str">
        <f>HYPERLINK("http://www.bing.com/maps/?lvl=14&amp;sty=h&amp;cp=33.197~43.9228&amp;sp=point.33.197_43.9228","Maplink3")</f>
        <v>Maplink3</v>
      </c>
    </row>
    <row r="29" spans="1:48" ht="15" customHeight="1" x14ac:dyDescent="0.25">
      <c r="A29" s="19">
        <v>26088</v>
      </c>
      <c r="B29" s="20" t="s">
        <v>9</v>
      </c>
      <c r="C29" s="20" t="s">
        <v>71</v>
      </c>
      <c r="D29" s="20" t="s">
        <v>88</v>
      </c>
      <c r="E29" s="20" t="s">
        <v>89</v>
      </c>
      <c r="F29" s="20">
        <v>33.139519999999997</v>
      </c>
      <c r="G29" s="20">
        <v>44.029220000000002</v>
      </c>
      <c r="H29" s="22">
        <v>126</v>
      </c>
      <c r="I29" s="22">
        <v>756</v>
      </c>
      <c r="J29" s="21">
        <v>9</v>
      </c>
      <c r="K29" s="21">
        <v>117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>
        <v>126</v>
      </c>
      <c r="AF29" s="21"/>
      <c r="AG29" s="21"/>
      <c r="AH29" s="21"/>
      <c r="AI29" s="21"/>
      <c r="AJ29" s="21"/>
      <c r="AK29" s="21"/>
      <c r="AL29" s="21"/>
      <c r="AM29" s="21"/>
      <c r="AN29" s="21"/>
      <c r="AO29" s="21">
        <v>117</v>
      </c>
      <c r="AP29" s="21">
        <v>9</v>
      </c>
      <c r="AQ29" s="21"/>
      <c r="AR29" s="21"/>
      <c r="AS29" s="21"/>
      <c r="AT29" s="12" t="str">
        <f>HYPERLINK("http://www.openstreetmap.org/?mlat=33.1395&amp;mlon=44.0292&amp;zoom=12#map=12/33.1395/44.0292","Maplink1")</f>
        <v>Maplink1</v>
      </c>
      <c r="AU29" s="12" t="str">
        <f>HYPERLINK("https://www.google.iq/maps/search/+33.1395,44.0292/@33.1395,44.0292,14z?hl=en","Maplink2")</f>
        <v>Maplink2</v>
      </c>
      <c r="AV29" s="12" t="str">
        <f>HYPERLINK("http://www.bing.com/maps/?lvl=14&amp;sty=h&amp;cp=33.1395~44.0292&amp;sp=point.33.1395_44.0292","Maplink3")</f>
        <v>Maplink3</v>
      </c>
    </row>
    <row r="30" spans="1:48" ht="15" customHeight="1" x14ac:dyDescent="0.25">
      <c r="A30" s="19">
        <v>26087</v>
      </c>
      <c r="B30" s="20" t="s">
        <v>9</v>
      </c>
      <c r="C30" s="20" t="s">
        <v>71</v>
      </c>
      <c r="D30" s="20" t="s">
        <v>90</v>
      </c>
      <c r="E30" s="20" t="s">
        <v>91</v>
      </c>
      <c r="F30" s="20">
        <v>33.154060000000001</v>
      </c>
      <c r="G30" s="20">
        <v>44.004170000000002</v>
      </c>
      <c r="H30" s="22">
        <v>215</v>
      </c>
      <c r="I30" s="22">
        <v>1290</v>
      </c>
      <c r="J30" s="21">
        <v>24</v>
      </c>
      <c r="K30" s="21">
        <v>191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>
        <v>24</v>
      </c>
      <c r="AD30" s="21"/>
      <c r="AE30" s="21">
        <v>191</v>
      </c>
      <c r="AF30" s="21"/>
      <c r="AG30" s="21"/>
      <c r="AH30" s="21"/>
      <c r="AI30" s="21"/>
      <c r="AJ30" s="21"/>
      <c r="AK30" s="21"/>
      <c r="AL30" s="21"/>
      <c r="AM30" s="21"/>
      <c r="AN30" s="21"/>
      <c r="AO30" s="21">
        <v>61</v>
      </c>
      <c r="AP30" s="21">
        <v>154</v>
      </c>
      <c r="AQ30" s="21"/>
      <c r="AR30" s="21"/>
      <c r="AS30" s="21"/>
      <c r="AT30" s="12" t="str">
        <f>HYPERLINK("http://www.openstreetmap.org/?mlat=33.1541&amp;mlon=44.0042&amp;zoom=12#map=12/33.1541/44.0042","Maplink1")</f>
        <v>Maplink1</v>
      </c>
      <c r="AU30" s="12" t="str">
        <f>HYPERLINK("https://www.google.iq/maps/search/+33.1541,44.0042/@33.1541,44.0042,14z?hl=en","Maplink2")</f>
        <v>Maplink2</v>
      </c>
      <c r="AV30" s="12" t="str">
        <f>HYPERLINK("http://www.bing.com/maps/?lvl=14&amp;sty=h&amp;cp=33.1541~44.0042&amp;sp=point.33.1541_44.0042","Maplink3")</f>
        <v>Maplink3</v>
      </c>
    </row>
    <row r="31" spans="1:48" ht="15" customHeight="1" x14ac:dyDescent="0.25">
      <c r="A31" s="19">
        <v>26093</v>
      </c>
      <c r="B31" s="20" t="s">
        <v>9</v>
      </c>
      <c r="C31" s="20" t="s">
        <v>71</v>
      </c>
      <c r="D31" s="20" t="s">
        <v>92</v>
      </c>
      <c r="E31" s="20" t="s">
        <v>93</v>
      </c>
      <c r="F31" s="20">
        <v>33.184019999999997</v>
      </c>
      <c r="G31" s="20">
        <v>43.925870000000003</v>
      </c>
      <c r="H31" s="22">
        <v>70</v>
      </c>
      <c r="I31" s="22">
        <v>420</v>
      </c>
      <c r="J31" s="21">
        <v>70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>
        <v>70</v>
      </c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>
        <v>70</v>
      </c>
      <c r="AR31" s="21"/>
      <c r="AS31" s="21"/>
      <c r="AT31" s="12" t="str">
        <f>HYPERLINK("http://www.openstreetmap.org/?mlat=33.184&amp;mlon=43.9259&amp;zoom=12#map=12/33.184/43.9259","Maplink1")</f>
        <v>Maplink1</v>
      </c>
      <c r="AU31" s="12" t="str">
        <f>HYPERLINK("https://www.google.iq/maps/search/+33.184,43.9259/@33.184,43.9259,14z?hl=en","Maplink2")</f>
        <v>Maplink2</v>
      </c>
      <c r="AV31" s="12" t="str">
        <f>HYPERLINK("http://www.bing.com/maps/?lvl=14&amp;sty=h&amp;cp=33.184~43.9259&amp;sp=point.33.184_43.9259","Maplink3")</f>
        <v>Maplink3</v>
      </c>
    </row>
    <row r="32" spans="1:48" ht="15" customHeight="1" x14ac:dyDescent="0.25">
      <c r="A32" s="19">
        <v>31877</v>
      </c>
      <c r="B32" s="20" t="s">
        <v>9</v>
      </c>
      <c r="C32" s="20" t="s">
        <v>71</v>
      </c>
      <c r="D32" s="20" t="s">
        <v>94</v>
      </c>
      <c r="E32" s="20" t="s">
        <v>6015</v>
      </c>
      <c r="F32" s="20">
        <v>33.163539999999998</v>
      </c>
      <c r="G32" s="20">
        <v>43.864579999999997</v>
      </c>
      <c r="H32" s="22">
        <v>31</v>
      </c>
      <c r="I32" s="22">
        <v>186</v>
      </c>
      <c r="J32" s="21">
        <v>31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>
        <v>31</v>
      </c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>
        <v>31</v>
      </c>
      <c r="AQ32" s="21"/>
      <c r="AR32" s="21"/>
      <c r="AS32" s="21"/>
      <c r="AT32" s="12" t="str">
        <f>HYPERLINK("http://www.openstreetmap.org/?mlat=33.1635&amp;mlon=43.8646&amp;zoom=12#map=12/33.1635/43.8646","Maplink1")</f>
        <v>Maplink1</v>
      </c>
      <c r="AU32" s="12" t="str">
        <f>HYPERLINK("https://www.google.iq/maps/search/+33.1635,43.8646/@33.1635,43.8646,14z?hl=en","Maplink2")</f>
        <v>Maplink2</v>
      </c>
      <c r="AV32" s="12" t="str">
        <f>HYPERLINK("http://www.bing.com/maps/?lvl=14&amp;sty=h&amp;cp=33.1635~43.8646&amp;sp=point.33.1635_43.8646","Maplink3")</f>
        <v>Maplink3</v>
      </c>
    </row>
    <row r="33" spans="1:48" ht="15" customHeight="1" x14ac:dyDescent="0.25">
      <c r="A33" s="19">
        <v>26089</v>
      </c>
      <c r="B33" s="20" t="s">
        <v>9</v>
      </c>
      <c r="C33" s="20" t="s">
        <v>71</v>
      </c>
      <c r="D33" s="20" t="s">
        <v>95</v>
      </c>
      <c r="E33" s="20" t="s">
        <v>96</v>
      </c>
      <c r="F33" s="20">
        <v>33.187579999999997</v>
      </c>
      <c r="G33" s="20">
        <v>43.90945</v>
      </c>
      <c r="H33" s="22">
        <v>79</v>
      </c>
      <c r="I33" s="22">
        <v>474</v>
      </c>
      <c r="J33" s="21">
        <v>79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>
        <v>79</v>
      </c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>
        <v>79</v>
      </c>
      <c r="AQ33" s="21"/>
      <c r="AR33" s="21"/>
      <c r="AS33" s="21"/>
      <c r="AT33" s="12" t="str">
        <f>HYPERLINK("http://www.openstreetmap.org/?mlat=33.1876&amp;mlon=43.9095&amp;zoom=12#map=12/33.1876/43.9095","Maplink1")</f>
        <v>Maplink1</v>
      </c>
      <c r="AU33" s="12" t="str">
        <f>HYPERLINK("https://www.google.iq/maps/search/+33.1876,43.9095/@33.1876,43.9095,14z?hl=en","Maplink2")</f>
        <v>Maplink2</v>
      </c>
      <c r="AV33" s="12" t="str">
        <f>HYPERLINK("http://www.bing.com/maps/?lvl=14&amp;sty=h&amp;cp=33.1876~43.9095&amp;sp=point.33.1876_43.9095","Maplink3")</f>
        <v>Maplink3</v>
      </c>
    </row>
    <row r="34" spans="1:48" ht="15" customHeight="1" x14ac:dyDescent="0.25">
      <c r="A34" s="19">
        <v>21226</v>
      </c>
      <c r="B34" s="20" t="s">
        <v>9</v>
      </c>
      <c r="C34" s="20" t="s">
        <v>71</v>
      </c>
      <c r="D34" s="20" t="s">
        <v>97</v>
      </c>
      <c r="E34" s="20" t="s">
        <v>98</v>
      </c>
      <c r="F34" s="20">
        <v>33.16001</v>
      </c>
      <c r="G34" s="20">
        <v>43.890009999999997</v>
      </c>
      <c r="H34" s="22">
        <v>84</v>
      </c>
      <c r="I34" s="22">
        <v>504</v>
      </c>
      <c r="J34" s="21">
        <v>40</v>
      </c>
      <c r="K34" s="21">
        <v>44</v>
      </c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>
        <v>40</v>
      </c>
      <c r="AD34" s="21"/>
      <c r="AE34" s="21">
        <v>44</v>
      </c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>
        <v>84</v>
      </c>
      <c r="AQ34" s="21"/>
      <c r="AR34" s="21"/>
      <c r="AS34" s="21"/>
      <c r="AT34" s="12" t="str">
        <f>HYPERLINK("http://www.openstreetmap.org/?mlat=33.16&amp;mlon=43.89&amp;zoom=12#map=12/33.16/43.89","Maplink1")</f>
        <v>Maplink1</v>
      </c>
      <c r="AU34" s="12" t="str">
        <f>HYPERLINK("https://www.google.iq/maps/search/+33.16,43.89/@33.16,43.89,14z?hl=en","Maplink2")</f>
        <v>Maplink2</v>
      </c>
      <c r="AV34" s="12" t="str">
        <f>HYPERLINK("http://www.bing.com/maps/?lvl=14&amp;sty=h&amp;cp=33.16~43.89&amp;sp=point.33.16_43.89","Maplink3")</f>
        <v>Maplink3</v>
      </c>
    </row>
    <row r="35" spans="1:48" ht="15" customHeight="1" x14ac:dyDescent="0.25">
      <c r="A35" s="19">
        <v>27246</v>
      </c>
      <c r="B35" s="20" t="s">
        <v>9</v>
      </c>
      <c r="C35" s="20" t="s">
        <v>71</v>
      </c>
      <c r="D35" s="20" t="s">
        <v>99</v>
      </c>
      <c r="E35" s="20" t="s">
        <v>100</v>
      </c>
      <c r="F35" s="20">
        <v>33.145969999999998</v>
      </c>
      <c r="G35" s="20">
        <v>43.844349999999999</v>
      </c>
      <c r="H35" s="22">
        <v>3572</v>
      </c>
      <c r="I35" s="22">
        <v>21432</v>
      </c>
      <c r="J35" s="21">
        <v>3460</v>
      </c>
      <c r="K35" s="21">
        <v>40</v>
      </c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>
        <v>72</v>
      </c>
      <c r="W35" s="21"/>
      <c r="X35" s="21"/>
      <c r="Y35" s="21"/>
      <c r="Z35" s="21"/>
      <c r="AA35" s="21"/>
      <c r="AB35" s="21">
        <v>3572</v>
      </c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>
        <v>340</v>
      </c>
      <c r="AQ35" s="21">
        <v>1776</v>
      </c>
      <c r="AR35" s="21">
        <v>650</v>
      </c>
      <c r="AS35" s="21">
        <v>806</v>
      </c>
      <c r="AT35" s="12" t="str">
        <f>HYPERLINK("http://www.openstreetmap.org/?mlat=33.146&amp;mlon=43.8443&amp;zoom=12#map=12/33.146/43.8443","Maplink1")</f>
        <v>Maplink1</v>
      </c>
      <c r="AU35" s="12" t="str">
        <f>HYPERLINK("https://www.google.iq/maps/search/+33.146,43.8443/@33.146,43.8443,14z?hl=en","Maplink2")</f>
        <v>Maplink2</v>
      </c>
      <c r="AV35" s="12" t="str">
        <f>HYPERLINK("http://www.bing.com/maps/?lvl=14&amp;sty=h&amp;cp=33.146~43.8443&amp;sp=point.33.146_43.8443","Maplink3")</f>
        <v>Maplink3</v>
      </c>
    </row>
    <row r="36" spans="1:48" ht="15" customHeight="1" x14ac:dyDescent="0.25">
      <c r="A36" s="19">
        <v>20898</v>
      </c>
      <c r="B36" s="20" t="s">
        <v>9</v>
      </c>
      <c r="C36" s="20" t="s">
        <v>71</v>
      </c>
      <c r="D36" s="20" t="s">
        <v>101</v>
      </c>
      <c r="E36" s="20" t="s">
        <v>102</v>
      </c>
      <c r="F36" s="20">
        <v>33.134210000000003</v>
      </c>
      <c r="G36" s="20">
        <v>44.004910000000002</v>
      </c>
      <c r="H36" s="22">
        <v>831</v>
      </c>
      <c r="I36" s="22">
        <v>4986</v>
      </c>
      <c r="J36" s="21">
        <v>754</v>
      </c>
      <c r="K36" s="21">
        <v>77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>
        <v>831</v>
      </c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>
        <v>77</v>
      </c>
      <c r="AQ36" s="21">
        <v>32</v>
      </c>
      <c r="AR36" s="21">
        <v>292</v>
      </c>
      <c r="AS36" s="21">
        <v>430</v>
      </c>
      <c r="AT36" s="12" t="str">
        <f>HYPERLINK("http://www.openstreetmap.org/?mlat=33.1342&amp;mlon=44.0049&amp;zoom=12#map=12/33.1342/44.0049","Maplink1")</f>
        <v>Maplink1</v>
      </c>
      <c r="AU36" s="12" t="str">
        <f>HYPERLINK("https://www.google.iq/maps/search/+33.1342,44.0049/@33.1342,44.0049,14z?hl=en","Maplink2")</f>
        <v>Maplink2</v>
      </c>
      <c r="AV36" s="12" t="str">
        <f>HYPERLINK("http://www.bing.com/maps/?lvl=14&amp;sty=h&amp;cp=33.1342~44.0049&amp;sp=point.33.1342_44.0049","Maplink3")</f>
        <v>Maplink3</v>
      </c>
    </row>
    <row r="37" spans="1:48" ht="15" customHeight="1" x14ac:dyDescent="0.25">
      <c r="A37" s="19">
        <v>23276</v>
      </c>
      <c r="B37" s="20" t="s">
        <v>9</v>
      </c>
      <c r="C37" s="20" t="s">
        <v>71</v>
      </c>
      <c r="D37" s="20" t="s">
        <v>103</v>
      </c>
      <c r="E37" s="20" t="s">
        <v>104</v>
      </c>
      <c r="F37" s="20">
        <v>33.243369999999999</v>
      </c>
      <c r="G37" s="20">
        <v>43.572220000000002</v>
      </c>
      <c r="H37" s="22">
        <v>1951</v>
      </c>
      <c r="I37" s="22">
        <v>11706</v>
      </c>
      <c r="J37" s="21">
        <v>1951</v>
      </c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>
        <v>1951</v>
      </c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>
        <v>600</v>
      </c>
      <c r="AR37" s="21"/>
      <c r="AS37" s="21">
        <v>1351</v>
      </c>
      <c r="AT37" s="12" t="str">
        <f>HYPERLINK("http://www.openstreetmap.org/?mlat=33.2434&amp;mlon=43.5722&amp;zoom=12#map=12/33.2434/43.5722","Maplink1")</f>
        <v>Maplink1</v>
      </c>
      <c r="AU37" s="12" t="str">
        <f>HYPERLINK("https://www.google.iq/maps/search/+33.2434,43.5722/@33.2434,43.5722,14z?hl=en","Maplink2")</f>
        <v>Maplink2</v>
      </c>
      <c r="AV37" s="12" t="str">
        <f>HYPERLINK("http://www.bing.com/maps/?lvl=14&amp;sty=h&amp;cp=33.2434~43.5722&amp;sp=point.33.2434_43.5722","Maplink3")</f>
        <v>Maplink3</v>
      </c>
    </row>
    <row r="38" spans="1:48" ht="15" customHeight="1" x14ac:dyDescent="0.25">
      <c r="A38" s="19">
        <v>24112</v>
      </c>
      <c r="B38" s="20" t="s">
        <v>9</v>
      </c>
      <c r="C38" s="20" t="s">
        <v>105</v>
      </c>
      <c r="D38" s="20" t="s">
        <v>106</v>
      </c>
      <c r="E38" s="20" t="s">
        <v>107</v>
      </c>
      <c r="F38" s="20">
        <v>34.184598000000001</v>
      </c>
      <c r="G38" s="20">
        <v>42.365262000000001</v>
      </c>
      <c r="H38" s="22">
        <v>15</v>
      </c>
      <c r="I38" s="22">
        <v>90</v>
      </c>
      <c r="J38" s="21">
        <v>15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>
        <v>15</v>
      </c>
      <c r="AI38" s="21"/>
      <c r="AJ38" s="21"/>
      <c r="AK38" s="21"/>
      <c r="AL38" s="21">
        <v>15</v>
      </c>
      <c r="AM38" s="21"/>
      <c r="AN38" s="21"/>
      <c r="AO38" s="21"/>
      <c r="AP38" s="21"/>
      <c r="AQ38" s="21"/>
      <c r="AR38" s="21"/>
      <c r="AS38" s="21"/>
      <c r="AT38" s="12" t="str">
        <f>HYPERLINK("http://www.openstreetmap.org/?mlat=34.1846&amp;mlon=42.3653&amp;zoom=12#map=12/34.1846/42.3653","Maplink1")</f>
        <v>Maplink1</v>
      </c>
      <c r="AU38" s="12" t="str">
        <f>HYPERLINK("https://www.google.iq/maps/search/+34.1846,42.3653/@34.1846,42.3653,14z?hl=en","Maplink2")</f>
        <v>Maplink2</v>
      </c>
      <c r="AV38" s="12" t="str">
        <f>HYPERLINK("http://www.bing.com/maps/?lvl=14&amp;sty=h&amp;cp=34.1846~42.3653&amp;sp=point.34.1846_42.3653","Maplink3")</f>
        <v>Maplink3</v>
      </c>
    </row>
    <row r="39" spans="1:48" ht="15" customHeight="1" x14ac:dyDescent="0.25">
      <c r="A39" s="19">
        <v>245</v>
      </c>
      <c r="B39" s="20" t="s">
        <v>9</v>
      </c>
      <c r="C39" s="20" t="s">
        <v>105</v>
      </c>
      <c r="D39" s="20" t="s">
        <v>108</v>
      </c>
      <c r="E39" s="20" t="s">
        <v>109</v>
      </c>
      <c r="F39" s="20">
        <v>34.108404</v>
      </c>
      <c r="G39" s="20">
        <v>42.379334999999998</v>
      </c>
      <c r="H39" s="22">
        <v>23</v>
      </c>
      <c r="I39" s="22">
        <v>138</v>
      </c>
      <c r="J39" s="21">
        <v>23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>
        <v>23</v>
      </c>
      <c r="AD39" s="21"/>
      <c r="AE39" s="21"/>
      <c r="AF39" s="21"/>
      <c r="AG39" s="21"/>
      <c r="AH39" s="21"/>
      <c r="AI39" s="21"/>
      <c r="AJ39" s="21"/>
      <c r="AK39" s="21"/>
      <c r="AL39" s="21">
        <v>23</v>
      </c>
      <c r="AM39" s="21"/>
      <c r="AN39" s="21"/>
      <c r="AO39" s="21"/>
      <c r="AP39" s="21"/>
      <c r="AQ39" s="21"/>
      <c r="AR39" s="21"/>
      <c r="AS39" s="21"/>
      <c r="AT39" s="12" t="str">
        <f>HYPERLINK("http://www.openstreetmap.org/?mlat=34.1084&amp;mlon=42.3793&amp;zoom=12#map=12/34.1084/42.3793","Maplink1")</f>
        <v>Maplink1</v>
      </c>
      <c r="AU39" s="12" t="str">
        <f>HYPERLINK("https://www.google.iq/maps/search/+34.1084,42.3793/@34.1084,42.3793,14z?hl=en","Maplink2")</f>
        <v>Maplink2</v>
      </c>
      <c r="AV39" s="12" t="str">
        <f>HYPERLINK("http://www.bing.com/maps/?lvl=14&amp;sty=h&amp;cp=34.1084~42.3793&amp;sp=point.34.1084_42.3793","Maplink3")</f>
        <v>Maplink3</v>
      </c>
    </row>
    <row r="40" spans="1:48" ht="15" customHeight="1" x14ac:dyDescent="0.25">
      <c r="A40" s="19">
        <v>24117</v>
      </c>
      <c r="B40" s="20" t="s">
        <v>9</v>
      </c>
      <c r="C40" s="20" t="s">
        <v>105</v>
      </c>
      <c r="D40" s="20" t="s">
        <v>110</v>
      </c>
      <c r="E40" s="20" t="s">
        <v>111</v>
      </c>
      <c r="F40" s="20">
        <v>34.083125000000003</v>
      </c>
      <c r="G40" s="20">
        <v>42.365780000000001</v>
      </c>
      <c r="H40" s="22">
        <v>24</v>
      </c>
      <c r="I40" s="22">
        <v>144</v>
      </c>
      <c r="J40" s="21">
        <v>24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>
        <v>7</v>
      </c>
      <c r="AD40" s="21"/>
      <c r="AE40" s="21"/>
      <c r="AF40" s="21"/>
      <c r="AG40" s="21"/>
      <c r="AH40" s="21">
        <v>17</v>
      </c>
      <c r="AI40" s="21"/>
      <c r="AJ40" s="21"/>
      <c r="AK40" s="21"/>
      <c r="AL40" s="21">
        <v>24</v>
      </c>
      <c r="AM40" s="21"/>
      <c r="AN40" s="21"/>
      <c r="AO40" s="21"/>
      <c r="AP40" s="21"/>
      <c r="AQ40" s="21"/>
      <c r="AR40" s="21"/>
      <c r="AS40" s="21"/>
      <c r="AT40" s="12" t="str">
        <f>HYPERLINK("http://www.openstreetmap.org/?mlat=34.0831&amp;mlon=42.3658&amp;zoom=12#map=12/34.0831/42.3658","Maplink1")</f>
        <v>Maplink1</v>
      </c>
      <c r="AU40" s="12" t="str">
        <f>HYPERLINK("https://www.google.iq/maps/search/+34.0831,42.3658/@34.0831,42.3658,14z?hl=en","Maplink2")</f>
        <v>Maplink2</v>
      </c>
      <c r="AV40" s="12" t="str">
        <f>HYPERLINK("http://www.bing.com/maps/?lvl=14&amp;sty=h&amp;cp=34.0831~42.3658&amp;sp=point.34.0831_42.3658","Maplink3")</f>
        <v>Maplink3</v>
      </c>
    </row>
    <row r="41" spans="1:48" ht="15" customHeight="1" x14ac:dyDescent="0.25">
      <c r="A41" s="19">
        <v>23819</v>
      </c>
      <c r="B41" s="20" t="s">
        <v>9</v>
      </c>
      <c r="C41" s="20" t="s">
        <v>105</v>
      </c>
      <c r="D41" s="20" t="s">
        <v>113</v>
      </c>
      <c r="E41" s="20" t="s">
        <v>114</v>
      </c>
      <c r="F41" s="20">
        <v>34.086398000000003</v>
      </c>
      <c r="G41" s="20">
        <v>42.369182000000002</v>
      </c>
      <c r="H41" s="22">
        <v>28</v>
      </c>
      <c r="I41" s="22">
        <v>168</v>
      </c>
      <c r="J41" s="21">
        <v>28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>
        <v>18</v>
      </c>
      <c r="AD41" s="21"/>
      <c r="AE41" s="21"/>
      <c r="AF41" s="21"/>
      <c r="AG41" s="21"/>
      <c r="AH41" s="21">
        <v>10</v>
      </c>
      <c r="AI41" s="21"/>
      <c r="AJ41" s="21"/>
      <c r="AK41" s="21"/>
      <c r="AL41" s="21">
        <v>10</v>
      </c>
      <c r="AM41" s="21"/>
      <c r="AN41" s="21"/>
      <c r="AO41" s="21"/>
      <c r="AP41" s="21"/>
      <c r="AQ41" s="21"/>
      <c r="AR41" s="21"/>
      <c r="AS41" s="21">
        <v>18</v>
      </c>
      <c r="AT41" s="12" t="str">
        <f>HYPERLINK("http://www.openstreetmap.org/?mlat=34.0864&amp;mlon=42.3692&amp;zoom=12#map=12/34.0864/42.3692","Maplink1")</f>
        <v>Maplink1</v>
      </c>
      <c r="AU41" s="12" t="str">
        <f>HYPERLINK("https://www.google.iq/maps/search/+34.0864,42.3692/@34.0864,42.3692,14z?hl=en","Maplink2")</f>
        <v>Maplink2</v>
      </c>
      <c r="AV41" s="12" t="str">
        <f>HYPERLINK("http://www.bing.com/maps/?lvl=14&amp;sty=h&amp;cp=34.0864~42.3692&amp;sp=point.34.0864_42.3692","Maplink3")</f>
        <v>Maplink3</v>
      </c>
    </row>
    <row r="42" spans="1:48" ht="15" customHeight="1" x14ac:dyDescent="0.25">
      <c r="A42" s="19">
        <v>24316</v>
      </c>
      <c r="B42" s="20" t="s">
        <v>9</v>
      </c>
      <c r="C42" s="20" t="s">
        <v>105</v>
      </c>
      <c r="D42" s="20" t="s">
        <v>116</v>
      </c>
      <c r="E42" s="20" t="s">
        <v>117</v>
      </c>
      <c r="F42" s="20">
        <v>34.089224000000002</v>
      </c>
      <c r="G42" s="20">
        <v>42.358040000000003</v>
      </c>
      <c r="H42" s="22">
        <v>14</v>
      </c>
      <c r="I42" s="22">
        <v>84</v>
      </c>
      <c r="J42" s="21">
        <v>14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>
        <v>14</v>
      </c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>
        <v>14</v>
      </c>
      <c r="AT42" s="12" t="str">
        <f>HYPERLINK("http://www.openstreetmap.org/?mlat=34.0892&amp;mlon=42.358&amp;zoom=12#map=12/34.0892/42.358","Maplink1")</f>
        <v>Maplink1</v>
      </c>
      <c r="AU42" s="12" t="str">
        <f>HYPERLINK("https://www.google.iq/maps/search/+34.0892,42.358/@34.0892,42.358,14z?hl=en","Maplink2")</f>
        <v>Maplink2</v>
      </c>
      <c r="AV42" s="12" t="str">
        <f>HYPERLINK("http://www.bing.com/maps/?lvl=14&amp;sty=h&amp;cp=34.0892~42.358&amp;sp=point.34.0892_42.358","Maplink3")</f>
        <v>Maplink3</v>
      </c>
    </row>
    <row r="43" spans="1:48" ht="15" customHeight="1" x14ac:dyDescent="0.25">
      <c r="A43" s="19">
        <v>236</v>
      </c>
      <c r="B43" s="20" t="s">
        <v>9</v>
      </c>
      <c r="C43" s="20" t="s">
        <v>105</v>
      </c>
      <c r="D43" s="20" t="s">
        <v>118</v>
      </c>
      <c r="E43" s="20" t="s">
        <v>119</v>
      </c>
      <c r="F43" s="20">
        <v>34.129371999999996</v>
      </c>
      <c r="G43" s="20">
        <v>42.380522999999997</v>
      </c>
      <c r="H43" s="22">
        <v>52</v>
      </c>
      <c r="I43" s="22">
        <v>312</v>
      </c>
      <c r="J43" s="21">
        <v>52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>
        <v>52</v>
      </c>
      <c r="AI43" s="21"/>
      <c r="AJ43" s="21"/>
      <c r="AK43" s="21"/>
      <c r="AL43" s="21">
        <v>52</v>
      </c>
      <c r="AM43" s="21"/>
      <c r="AN43" s="21"/>
      <c r="AO43" s="21"/>
      <c r="AP43" s="21"/>
      <c r="AQ43" s="21"/>
      <c r="AR43" s="21"/>
      <c r="AS43" s="21"/>
      <c r="AT43" s="12" t="str">
        <f>HYPERLINK("http://www.openstreetmap.org/?mlat=34.1294&amp;mlon=42.3805&amp;zoom=12#map=12/34.1294/42.3805","Maplink1")</f>
        <v>Maplink1</v>
      </c>
      <c r="AU43" s="12" t="str">
        <f>HYPERLINK("https://www.google.iq/maps/search/+34.1294,42.3805/@34.1294,42.3805,14z?hl=en","Maplink2")</f>
        <v>Maplink2</v>
      </c>
      <c r="AV43" s="12" t="str">
        <f>HYPERLINK("http://www.bing.com/maps/?lvl=14&amp;sty=h&amp;cp=34.1294~42.3805&amp;sp=point.34.1294_42.3805","Maplink3")</f>
        <v>Maplink3</v>
      </c>
    </row>
    <row r="44" spans="1:48" ht="15" customHeight="1" x14ac:dyDescent="0.25">
      <c r="A44" s="19">
        <v>241</v>
      </c>
      <c r="B44" s="20" t="s">
        <v>9</v>
      </c>
      <c r="C44" s="20" t="s">
        <v>105</v>
      </c>
      <c r="D44" s="20" t="s">
        <v>122</v>
      </c>
      <c r="E44" s="20" t="s">
        <v>123</v>
      </c>
      <c r="F44" s="20">
        <v>34.103185000000003</v>
      </c>
      <c r="G44" s="20">
        <v>42.373368999999997</v>
      </c>
      <c r="H44" s="22">
        <v>24</v>
      </c>
      <c r="I44" s="22">
        <v>144</v>
      </c>
      <c r="J44" s="21">
        <v>24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>
        <v>24</v>
      </c>
      <c r="AI44" s="21"/>
      <c r="AJ44" s="21"/>
      <c r="AK44" s="21"/>
      <c r="AL44" s="21">
        <v>24</v>
      </c>
      <c r="AM44" s="21"/>
      <c r="AN44" s="21"/>
      <c r="AO44" s="21"/>
      <c r="AP44" s="21"/>
      <c r="AQ44" s="21"/>
      <c r="AR44" s="21"/>
      <c r="AS44" s="21"/>
      <c r="AT44" s="12" t="str">
        <f>HYPERLINK("http://www.openstreetmap.org/?mlat=34.1032&amp;mlon=42.3734&amp;zoom=12#map=12/34.1032/42.3734","Maplink1")</f>
        <v>Maplink1</v>
      </c>
      <c r="AU44" s="12" t="str">
        <f>HYPERLINK("https://www.google.iq/maps/search/+34.1032,42.3734/@34.1032,42.3734,14z?hl=en","Maplink2")</f>
        <v>Maplink2</v>
      </c>
      <c r="AV44" s="12" t="str">
        <f>HYPERLINK("http://www.bing.com/maps/?lvl=14&amp;sty=h&amp;cp=34.1032~42.3734&amp;sp=point.34.1032_42.3734","Maplink3")</f>
        <v>Maplink3</v>
      </c>
    </row>
    <row r="45" spans="1:48" ht="15" customHeight="1" x14ac:dyDescent="0.25">
      <c r="A45" s="19">
        <v>244</v>
      </c>
      <c r="B45" s="20" t="s">
        <v>9</v>
      </c>
      <c r="C45" s="20" t="s">
        <v>105</v>
      </c>
      <c r="D45" s="20" t="s">
        <v>124</v>
      </c>
      <c r="E45" s="20" t="s">
        <v>125</v>
      </c>
      <c r="F45" s="20">
        <v>34.138294000000002</v>
      </c>
      <c r="G45" s="20">
        <v>42.368898999999999</v>
      </c>
      <c r="H45" s="22">
        <v>95</v>
      </c>
      <c r="I45" s="22">
        <v>570</v>
      </c>
      <c r="J45" s="21">
        <v>95</v>
      </c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>
        <v>68</v>
      </c>
      <c r="AD45" s="21"/>
      <c r="AE45" s="21"/>
      <c r="AF45" s="21"/>
      <c r="AG45" s="21"/>
      <c r="AH45" s="21">
        <v>27</v>
      </c>
      <c r="AI45" s="21"/>
      <c r="AJ45" s="21"/>
      <c r="AK45" s="21"/>
      <c r="AL45" s="21">
        <v>95</v>
      </c>
      <c r="AM45" s="21"/>
      <c r="AN45" s="21"/>
      <c r="AO45" s="21"/>
      <c r="AP45" s="21"/>
      <c r="AQ45" s="21"/>
      <c r="AR45" s="21"/>
      <c r="AS45" s="21"/>
      <c r="AT45" s="12" t="str">
        <f>HYPERLINK("http://www.openstreetmap.org/?mlat=34.1383&amp;mlon=42.3689&amp;zoom=12#map=12/34.1383/42.3689","Maplink1")</f>
        <v>Maplink1</v>
      </c>
      <c r="AU45" s="12" t="str">
        <f>HYPERLINK("https://www.google.iq/maps/search/+34.1383,42.3689/@34.1383,42.3689,14z?hl=en","Maplink2")</f>
        <v>Maplink2</v>
      </c>
      <c r="AV45" s="12" t="str">
        <f>HYPERLINK("http://www.bing.com/maps/?lvl=14&amp;sty=h&amp;cp=34.1383~42.3689&amp;sp=point.34.1383_42.3689","Maplink3")</f>
        <v>Maplink3</v>
      </c>
    </row>
    <row r="46" spans="1:48" ht="15" customHeight="1" x14ac:dyDescent="0.25">
      <c r="A46" s="19">
        <v>23892</v>
      </c>
      <c r="B46" s="20" t="s">
        <v>9</v>
      </c>
      <c r="C46" s="20" t="s">
        <v>105</v>
      </c>
      <c r="D46" s="20" t="s">
        <v>126</v>
      </c>
      <c r="E46" s="20" t="s">
        <v>127</v>
      </c>
      <c r="F46" s="20">
        <v>34.133848999999998</v>
      </c>
      <c r="G46" s="20">
        <v>42.370731999999997</v>
      </c>
      <c r="H46" s="22">
        <v>2</v>
      </c>
      <c r="I46" s="22">
        <v>12</v>
      </c>
      <c r="J46" s="21">
        <v>2</v>
      </c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>
        <v>2</v>
      </c>
      <c r="AD46" s="21"/>
      <c r="AE46" s="21"/>
      <c r="AF46" s="21"/>
      <c r="AG46" s="21"/>
      <c r="AH46" s="21"/>
      <c r="AI46" s="21"/>
      <c r="AJ46" s="21"/>
      <c r="AK46" s="21"/>
      <c r="AL46" s="21">
        <v>2</v>
      </c>
      <c r="AM46" s="21"/>
      <c r="AN46" s="21"/>
      <c r="AO46" s="21"/>
      <c r="AP46" s="21"/>
      <c r="AQ46" s="21"/>
      <c r="AR46" s="21"/>
      <c r="AS46" s="21"/>
      <c r="AT46" s="12" t="str">
        <f>HYPERLINK("http://www.openstreetmap.org/?mlat=34.1338&amp;mlon=42.3707&amp;zoom=12#map=12/34.1338/42.3707","Maplink1")</f>
        <v>Maplink1</v>
      </c>
      <c r="AU46" s="12" t="str">
        <f>HYPERLINK("https://www.google.iq/maps/search/+34.1338,42.3707/@34.1338,42.3707,14z?hl=en","Maplink2")</f>
        <v>Maplink2</v>
      </c>
      <c r="AV46" s="12" t="str">
        <f>HYPERLINK("http://www.bing.com/maps/?lvl=14&amp;sty=h&amp;cp=34.1338~42.3707&amp;sp=point.34.1338_42.3707","Maplink3")</f>
        <v>Maplink3</v>
      </c>
    </row>
    <row r="47" spans="1:48" ht="15" customHeight="1" x14ac:dyDescent="0.25">
      <c r="A47" s="19">
        <v>23806</v>
      </c>
      <c r="B47" s="20" t="s">
        <v>9</v>
      </c>
      <c r="C47" s="20" t="s">
        <v>105</v>
      </c>
      <c r="D47" s="20" t="s">
        <v>128</v>
      </c>
      <c r="E47" s="20" t="s">
        <v>129</v>
      </c>
      <c r="F47" s="20">
        <v>34.132922999999998</v>
      </c>
      <c r="G47" s="20">
        <v>42.362316</v>
      </c>
      <c r="H47" s="22">
        <v>26</v>
      </c>
      <c r="I47" s="22">
        <v>156</v>
      </c>
      <c r="J47" s="21">
        <v>26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>
        <v>12</v>
      </c>
      <c r="AD47" s="21"/>
      <c r="AE47" s="21"/>
      <c r="AF47" s="21"/>
      <c r="AG47" s="21"/>
      <c r="AH47" s="21">
        <v>14</v>
      </c>
      <c r="AI47" s="21"/>
      <c r="AJ47" s="21"/>
      <c r="AK47" s="21"/>
      <c r="AL47" s="21">
        <v>26</v>
      </c>
      <c r="AM47" s="21"/>
      <c r="AN47" s="21"/>
      <c r="AO47" s="21"/>
      <c r="AP47" s="21"/>
      <c r="AQ47" s="21"/>
      <c r="AR47" s="21"/>
      <c r="AS47" s="21"/>
      <c r="AT47" s="12" t="str">
        <f>HYPERLINK("http://www.openstreetmap.org/?mlat=34.1329&amp;mlon=42.3623&amp;zoom=12#map=12/34.1329/42.3623","Maplink1")</f>
        <v>Maplink1</v>
      </c>
      <c r="AU47" s="12" t="str">
        <f>HYPERLINK("https://www.google.iq/maps/search/+34.1329,42.3623/@34.1329,42.3623,14z?hl=en","Maplink2")</f>
        <v>Maplink2</v>
      </c>
      <c r="AV47" s="12" t="str">
        <f>HYPERLINK("http://www.bing.com/maps/?lvl=14&amp;sty=h&amp;cp=34.1329~42.3623&amp;sp=point.34.1329_42.3623","Maplink3")</f>
        <v>Maplink3</v>
      </c>
    </row>
    <row r="48" spans="1:48" ht="15" customHeight="1" x14ac:dyDescent="0.25">
      <c r="A48" s="19">
        <v>79</v>
      </c>
      <c r="B48" s="20" t="s">
        <v>9</v>
      </c>
      <c r="C48" s="20" t="s">
        <v>105</v>
      </c>
      <c r="D48" s="20" t="s">
        <v>5626</v>
      </c>
      <c r="E48" s="20" t="s">
        <v>115</v>
      </c>
      <c r="F48" s="20">
        <v>34.120063999999999</v>
      </c>
      <c r="G48" s="20">
        <v>42.381936000000003</v>
      </c>
      <c r="H48" s="22">
        <v>28</v>
      </c>
      <c r="I48" s="22">
        <v>168</v>
      </c>
      <c r="J48" s="21">
        <v>28</v>
      </c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>
        <v>20</v>
      </c>
      <c r="AD48" s="21"/>
      <c r="AE48" s="21"/>
      <c r="AF48" s="21"/>
      <c r="AG48" s="21"/>
      <c r="AH48" s="21">
        <v>8</v>
      </c>
      <c r="AI48" s="21"/>
      <c r="AJ48" s="21"/>
      <c r="AK48" s="21"/>
      <c r="AL48" s="21">
        <v>8</v>
      </c>
      <c r="AM48" s="21"/>
      <c r="AN48" s="21"/>
      <c r="AO48" s="21"/>
      <c r="AP48" s="21"/>
      <c r="AQ48" s="21"/>
      <c r="AR48" s="21"/>
      <c r="AS48" s="21">
        <v>20</v>
      </c>
      <c r="AT48" s="12" t="str">
        <f>HYPERLINK("http://www.openstreetmap.org/?mlat=34.1201&amp;mlon=42.3819&amp;zoom=12#map=12/34.1201/42.3819","Maplink1")</f>
        <v>Maplink1</v>
      </c>
      <c r="AU48" s="12" t="str">
        <f>HYPERLINK("https://www.google.iq/maps/search/+34.1201,42.3819/@34.1201,42.3819,14z?hl=en","Maplink2")</f>
        <v>Maplink2</v>
      </c>
      <c r="AV48" s="12" t="str">
        <f>HYPERLINK("http://www.bing.com/maps/?lvl=14&amp;sty=h&amp;cp=34.1201~42.3819&amp;sp=point.34.1201_42.3819","Maplink3")</f>
        <v>Maplink3</v>
      </c>
    </row>
    <row r="49" spans="1:48" ht="15" customHeight="1" x14ac:dyDescent="0.25">
      <c r="A49" s="19">
        <v>23808</v>
      </c>
      <c r="B49" s="20" t="s">
        <v>9</v>
      </c>
      <c r="C49" s="20" t="s">
        <v>105</v>
      </c>
      <c r="D49" s="20" t="s">
        <v>131</v>
      </c>
      <c r="E49" s="20" t="s">
        <v>132</v>
      </c>
      <c r="F49" s="20">
        <v>34.158132000000002</v>
      </c>
      <c r="G49" s="20">
        <v>42.378256999999998</v>
      </c>
      <c r="H49" s="22">
        <v>28</v>
      </c>
      <c r="I49" s="22">
        <v>168</v>
      </c>
      <c r="J49" s="21">
        <v>28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>
        <v>28</v>
      </c>
      <c r="AD49" s="21"/>
      <c r="AE49" s="21"/>
      <c r="AF49" s="21"/>
      <c r="AG49" s="21"/>
      <c r="AH49" s="21"/>
      <c r="AI49" s="21"/>
      <c r="AJ49" s="21"/>
      <c r="AK49" s="21"/>
      <c r="AL49" s="21">
        <v>10</v>
      </c>
      <c r="AM49" s="21"/>
      <c r="AN49" s="21"/>
      <c r="AO49" s="21"/>
      <c r="AP49" s="21"/>
      <c r="AQ49" s="21"/>
      <c r="AR49" s="21"/>
      <c r="AS49" s="21">
        <v>18</v>
      </c>
      <c r="AT49" s="12" t="str">
        <f>HYPERLINK("http://www.openstreetmap.org/?mlat=34.1581&amp;mlon=42.3783&amp;zoom=12#map=12/34.1581/42.3783","Maplink1")</f>
        <v>Maplink1</v>
      </c>
      <c r="AU49" s="12" t="str">
        <f>HYPERLINK("https://www.google.iq/maps/search/+34.1581,42.3783/@34.1581,42.3783,14z?hl=en","Maplink2")</f>
        <v>Maplink2</v>
      </c>
      <c r="AV49" s="12" t="str">
        <f>HYPERLINK("http://www.bing.com/maps/?lvl=14&amp;sty=h&amp;cp=34.1581~42.3783&amp;sp=point.34.1581_42.3783","Maplink3")</f>
        <v>Maplink3</v>
      </c>
    </row>
    <row r="50" spans="1:48" ht="15" customHeight="1" x14ac:dyDescent="0.25">
      <c r="A50" s="19">
        <v>152</v>
      </c>
      <c r="B50" s="20" t="s">
        <v>9</v>
      </c>
      <c r="C50" s="20" t="s">
        <v>133</v>
      </c>
      <c r="D50" s="20" t="s">
        <v>135</v>
      </c>
      <c r="E50" s="20" t="s">
        <v>136</v>
      </c>
      <c r="F50" s="20">
        <v>33.553959999999996</v>
      </c>
      <c r="G50" s="20">
        <v>42.901949999999999</v>
      </c>
      <c r="H50" s="22">
        <v>28</v>
      </c>
      <c r="I50" s="22">
        <v>168</v>
      </c>
      <c r="J50" s="21">
        <v>28</v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>
        <v>28</v>
      </c>
      <c r="AD50" s="21"/>
      <c r="AE50" s="21"/>
      <c r="AF50" s="21"/>
      <c r="AG50" s="21"/>
      <c r="AH50" s="21"/>
      <c r="AI50" s="21"/>
      <c r="AJ50" s="21"/>
      <c r="AK50" s="21"/>
      <c r="AL50" s="21">
        <v>28</v>
      </c>
      <c r="AM50" s="21"/>
      <c r="AN50" s="21"/>
      <c r="AO50" s="21"/>
      <c r="AP50" s="21"/>
      <c r="AQ50" s="21"/>
      <c r="AR50" s="21"/>
      <c r="AS50" s="21"/>
      <c r="AT50" s="12" t="str">
        <f>HYPERLINK("http://www.openstreetmap.org/?mlat=33.554&amp;mlon=42.9019&amp;zoom=12#map=12/33.554/42.9019","Maplink1")</f>
        <v>Maplink1</v>
      </c>
      <c r="AU50" s="12" t="str">
        <f>HYPERLINK("https://www.google.iq/maps/search/+33.554,42.9019/@33.554,42.9019,14z?hl=en","Maplink2")</f>
        <v>Maplink2</v>
      </c>
      <c r="AV50" s="12" t="str">
        <f>HYPERLINK("http://www.bing.com/maps/?lvl=14&amp;sty=h&amp;cp=33.554~42.9019&amp;sp=point.33.554_42.9019","Maplink3")</f>
        <v>Maplink3</v>
      </c>
    </row>
    <row r="51" spans="1:48" ht="15" customHeight="1" x14ac:dyDescent="0.25">
      <c r="A51" s="19">
        <v>23826</v>
      </c>
      <c r="B51" s="20" t="s">
        <v>9</v>
      </c>
      <c r="C51" s="20" t="s">
        <v>133</v>
      </c>
      <c r="D51" s="20" t="s">
        <v>137</v>
      </c>
      <c r="E51" s="20" t="s">
        <v>138</v>
      </c>
      <c r="F51" s="20">
        <v>33.706510000000002</v>
      </c>
      <c r="G51" s="20">
        <v>42.727089999999997</v>
      </c>
      <c r="H51" s="22">
        <v>58</v>
      </c>
      <c r="I51" s="22">
        <v>348</v>
      </c>
      <c r="J51" s="21">
        <v>58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>
        <v>58</v>
      </c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>
        <v>58</v>
      </c>
      <c r="AT51" s="12" t="str">
        <f>HYPERLINK("http://www.openstreetmap.org/?mlat=33.7065&amp;mlon=42.7271&amp;zoom=12#map=12/33.7065/42.7271","Maplink1")</f>
        <v>Maplink1</v>
      </c>
      <c r="AU51" s="12" t="str">
        <f>HYPERLINK("https://www.google.iq/maps/search/+33.7065,42.7271/@33.7065,42.7271,14z?hl=en","Maplink2")</f>
        <v>Maplink2</v>
      </c>
      <c r="AV51" s="12" t="str">
        <f>HYPERLINK("http://www.bing.com/maps/?lvl=14&amp;sty=h&amp;cp=33.7065~42.7271&amp;sp=point.33.7065_42.7271","Maplink3")</f>
        <v>Maplink3</v>
      </c>
    </row>
    <row r="52" spans="1:48" ht="15" customHeight="1" x14ac:dyDescent="0.25">
      <c r="A52" s="19">
        <v>23832</v>
      </c>
      <c r="B52" s="20" t="s">
        <v>9</v>
      </c>
      <c r="C52" s="20" t="s">
        <v>133</v>
      </c>
      <c r="D52" s="20" t="s">
        <v>139</v>
      </c>
      <c r="E52" s="20" t="s">
        <v>140</v>
      </c>
      <c r="F52" s="20">
        <v>33.629280000000001</v>
      </c>
      <c r="G52" s="20">
        <v>42.797409999999999</v>
      </c>
      <c r="H52" s="22">
        <v>17</v>
      </c>
      <c r="I52" s="22">
        <v>102</v>
      </c>
      <c r="J52" s="21">
        <v>17</v>
      </c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>
        <v>17</v>
      </c>
      <c r="AD52" s="21"/>
      <c r="AE52" s="21"/>
      <c r="AF52" s="21"/>
      <c r="AG52" s="21"/>
      <c r="AH52" s="21"/>
      <c r="AI52" s="21"/>
      <c r="AJ52" s="21"/>
      <c r="AK52" s="21"/>
      <c r="AL52" s="21">
        <v>17</v>
      </c>
      <c r="AM52" s="21"/>
      <c r="AN52" s="21"/>
      <c r="AO52" s="21"/>
      <c r="AP52" s="21"/>
      <c r="AQ52" s="21"/>
      <c r="AR52" s="21"/>
      <c r="AS52" s="21"/>
      <c r="AT52" s="12" t="str">
        <f>HYPERLINK("http://www.openstreetmap.org/?mlat=33.6293&amp;mlon=42.7974&amp;zoom=12#map=12/33.6293/42.7974","Maplink1")</f>
        <v>Maplink1</v>
      </c>
      <c r="AU52" s="12" t="str">
        <f>HYPERLINK("https://www.google.iq/maps/search/+33.6293,42.7974/@33.6293,42.7974,14z?hl=en","Maplink2")</f>
        <v>Maplink2</v>
      </c>
      <c r="AV52" s="12" t="str">
        <f>HYPERLINK("http://www.bing.com/maps/?lvl=14&amp;sty=h&amp;cp=33.6293~42.7974&amp;sp=point.33.6293_42.7974","Maplink3")</f>
        <v>Maplink3</v>
      </c>
    </row>
    <row r="53" spans="1:48" ht="15" customHeight="1" x14ac:dyDescent="0.25">
      <c r="A53" s="19">
        <v>21323</v>
      </c>
      <c r="B53" s="20" t="s">
        <v>9</v>
      </c>
      <c r="C53" s="20" t="s">
        <v>133</v>
      </c>
      <c r="D53" s="20" t="s">
        <v>5627</v>
      </c>
      <c r="E53" s="20" t="s">
        <v>134</v>
      </c>
      <c r="F53" s="20">
        <v>33.920729999999999</v>
      </c>
      <c r="G53" s="20">
        <v>42.523380000000003</v>
      </c>
      <c r="H53" s="22">
        <v>15</v>
      </c>
      <c r="I53" s="22">
        <v>90</v>
      </c>
      <c r="J53" s="21">
        <v>15</v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>
        <v>10</v>
      </c>
      <c r="AD53" s="21"/>
      <c r="AE53" s="21"/>
      <c r="AF53" s="21"/>
      <c r="AG53" s="21"/>
      <c r="AH53" s="21">
        <v>5</v>
      </c>
      <c r="AI53" s="21"/>
      <c r="AJ53" s="21"/>
      <c r="AK53" s="21"/>
      <c r="AL53" s="21">
        <v>15</v>
      </c>
      <c r="AM53" s="21"/>
      <c r="AN53" s="21"/>
      <c r="AO53" s="21"/>
      <c r="AP53" s="21"/>
      <c r="AQ53" s="21"/>
      <c r="AR53" s="21"/>
      <c r="AS53" s="21"/>
      <c r="AT53" s="12" t="str">
        <f>HYPERLINK("http://www.openstreetmap.org/?mlat=33.9207&amp;mlon=42.5234&amp;zoom=12#map=12/33.9207/42.5234","Maplink1")</f>
        <v>Maplink1</v>
      </c>
      <c r="AU53" s="12" t="str">
        <f>HYPERLINK("https://www.google.iq/maps/search/+33.9207,42.5234/@33.9207,42.5234,14z?hl=en","Maplink2")</f>
        <v>Maplink2</v>
      </c>
      <c r="AV53" s="12" t="str">
        <f>HYPERLINK("http://www.bing.com/maps/?lvl=14&amp;sty=h&amp;cp=33.9207~42.5234&amp;sp=point.33.9207_42.5234","Maplink3")</f>
        <v>Maplink3</v>
      </c>
    </row>
    <row r="54" spans="1:48" ht="15" customHeight="1" x14ac:dyDescent="0.25">
      <c r="A54" s="19">
        <v>23827</v>
      </c>
      <c r="B54" s="20" t="s">
        <v>9</v>
      </c>
      <c r="C54" s="20" t="s">
        <v>133</v>
      </c>
      <c r="D54" s="20" t="s">
        <v>141</v>
      </c>
      <c r="E54" s="20" t="s">
        <v>142</v>
      </c>
      <c r="F54" s="20">
        <v>33.642130000000002</v>
      </c>
      <c r="G54" s="20">
        <v>42.825870000000002</v>
      </c>
      <c r="H54" s="22">
        <v>83</v>
      </c>
      <c r="I54" s="22">
        <v>498</v>
      </c>
      <c r="J54" s="21">
        <v>83</v>
      </c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>
        <v>48</v>
      </c>
      <c r="AD54" s="21"/>
      <c r="AE54" s="21"/>
      <c r="AF54" s="21"/>
      <c r="AG54" s="21"/>
      <c r="AH54" s="21">
        <v>35</v>
      </c>
      <c r="AI54" s="21"/>
      <c r="AJ54" s="21"/>
      <c r="AK54" s="21"/>
      <c r="AL54" s="21">
        <v>35</v>
      </c>
      <c r="AM54" s="21"/>
      <c r="AN54" s="21"/>
      <c r="AO54" s="21"/>
      <c r="AP54" s="21"/>
      <c r="AQ54" s="21"/>
      <c r="AR54" s="21"/>
      <c r="AS54" s="21">
        <v>48</v>
      </c>
      <c r="AT54" s="12" t="str">
        <f>HYPERLINK("http://www.openstreetmap.org/?mlat=33.6421&amp;mlon=42.8259&amp;zoom=12#map=12/33.6421/42.8259","Maplink1")</f>
        <v>Maplink1</v>
      </c>
      <c r="AU54" s="12" t="str">
        <f>HYPERLINK("https://www.google.iq/maps/search/+33.6421,42.8259/@33.6421,42.8259,14z?hl=en","Maplink2")</f>
        <v>Maplink2</v>
      </c>
      <c r="AV54" s="12" t="str">
        <f>HYPERLINK("http://www.bing.com/maps/?lvl=14&amp;sty=h&amp;cp=33.6421~42.8259&amp;sp=point.33.6421_42.8259","Maplink3")</f>
        <v>Maplink3</v>
      </c>
    </row>
    <row r="55" spans="1:48" ht="15" customHeight="1" x14ac:dyDescent="0.25">
      <c r="A55" s="19">
        <v>312</v>
      </c>
      <c r="B55" s="20" t="s">
        <v>9</v>
      </c>
      <c r="C55" s="20" t="s">
        <v>133</v>
      </c>
      <c r="D55" s="20" t="s">
        <v>143</v>
      </c>
      <c r="E55" s="20" t="s">
        <v>144</v>
      </c>
      <c r="F55" s="20">
        <v>33.635469999999998</v>
      </c>
      <c r="G55" s="20">
        <v>42.826520000000002</v>
      </c>
      <c r="H55" s="22">
        <v>14</v>
      </c>
      <c r="I55" s="22">
        <v>84</v>
      </c>
      <c r="J55" s="21">
        <v>14</v>
      </c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>
        <v>14</v>
      </c>
      <c r="AD55" s="21"/>
      <c r="AE55" s="21"/>
      <c r="AF55" s="21"/>
      <c r="AG55" s="21"/>
      <c r="AH55" s="21"/>
      <c r="AI55" s="21"/>
      <c r="AJ55" s="21"/>
      <c r="AK55" s="21"/>
      <c r="AL55" s="21">
        <v>9</v>
      </c>
      <c r="AM55" s="21"/>
      <c r="AN55" s="21"/>
      <c r="AO55" s="21">
        <v>5</v>
      </c>
      <c r="AP55" s="21"/>
      <c r="AQ55" s="21"/>
      <c r="AR55" s="21"/>
      <c r="AS55" s="21"/>
      <c r="AT55" s="12" t="str">
        <f>HYPERLINK("http://www.openstreetmap.org/?mlat=33.6355&amp;mlon=42.8265&amp;zoom=12#map=12/33.6355/42.8265","Maplink1")</f>
        <v>Maplink1</v>
      </c>
      <c r="AU55" s="12" t="str">
        <f>HYPERLINK("https://www.google.iq/maps/search/+33.6355,42.8265/@33.6355,42.8265,14z?hl=en","Maplink2")</f>
        <v>Maplink2</v>
      </c>
      <c r="AV55" s="12" t="str">
        <f>HYPERLINK("http://www.bing.com/maps/?lvl=14&amp;sty=h&amp;cp=33.6355~42.8265&amp;sp=point.33.6355_42.8265","Maplink3")</f>
        <v>Maplink3</v>
      </c>
    </row>
    <row r="56" spans="1:48" ht="15" customHeight="1" x14ac:dyDescent="0.25">
      <c r="A56" s="19">
        <v>228</v>
      </c>
      <c r="B56" s="20" t="s">
        <v>9</v>
      </c>
      <c r="C56" s="20" t="s">
        <v>133</v>
      </c>
      <c r="D56" s="20" t="s">
        <v>146</v>
      </c>
      <c r="E56" s="20" t="s">
        <v>147</v>
      </c>
      <c r="F56" s="20">
        <v>33.640709999999999</v>
      </c>
      <c r="G56" s="20">
        <v>42.822029999999998</v>
      </c>
      <c r="H56" s="22">
        <v>19</v>
      </c>
      <c r="I56" s="22">
        <v>114</v>
      </c>
      <c r="J56" s="21">
        <v>19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>
        <v>19</v>
      </c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>
        <v>19</v>
      </c>
      <c r="AT56" s="12" t="str">
        <f>HYPERLINK("http://www.openstreetmap.org/?mlat=33.6407&amp;mlon=42.822&amp;zoom=12#map=12/33.6407/42.822","Maplink1")</f>
        <v>Maplink1</v>
      </c>
      <c r="AU56" s="12" t="str">
        <f>HYPERLINK("https://www.google.iq/maps/search/+33.6407,42.822/@33.6407,42.822,14z?hl=en","Maplink2")</f>
        <v>Maplink2</v>
      </c>
      <c r="AV56" s="12" t="str">
        <f>HYPERLINK("http://www.bing.com/maps/?lvl=14&amp;sty=h&amp;cp=33.6407~42.822&amp;sp=point.33.6407_42.822","Maplink3")</f>
        <v>Maplink3</v>
      </c>
    </row>
    <row r="57" spans="1:48" ht="15" customHeight="1" x14ac:dyDescent="0.25">
      <c r="A57" s="19">
        <v>218</v>
      </c>
      <c r="B57" s="20" t="s">
        <v>9</v>
      </c>
      <c r="C57" s="20" t="s">
        <v>133</v>
      </c>
      <c r="D57" s="20" t="s">
        <v>5628</v>
      </c>
      <c r="E57" s="20" t="s">
        <v>145</v>
      </c>
      <c r="F57" s="20">
        <v>33.632010000000001</v>
      </c>
      <c r="G57" s="20">
        <v>42.830120000000001</v>
      </c>
      <c r="H57" s="22">
        <v>31</v>
      </c>
      <c r="I57" s="22">
        <v>186</v>
      </c>
      <c r="J57" s="21">
        <v>31</v>
      </c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>
        <v>31</v>
      </c>
      <c r="AD57" s="21"/>
      <c r="AE57" s="21"/>
      <c r="AF57" s="21"/>
      <c r="AG57" s="21"/>
      <c r="AH57" s="21"/>
      <c r="AI57" s="21"/>
      <c r="AJ57" s="21"/>
      <c r="AK57" s="21"/>
      <c r="AL57" s="21">
        <v>31</v>
      </c>
      <c r="AM57" s="21"/>
      <c r="AN57" s="21"/>
      <c r="AO57" s="21"/>
      <c r="AP57" s="21"/>
      <c r="AQ57" s="21"/>
      <c r="AR57" s="21"/>
      <c r="AS57" s="21"/>
      <c r="AT57" s="12" t="str">
        <f>HYPERLINK("http://www.openstreetmap.org/?mlat=33.632&amp;mlon=42.8301&amp;zoom=12#map=12/33.632/42.8301","Maplink1")</f>
        <v>Maplink1</v>
      </c>
      <c r="AU57" s="12" t="str">
        <f>HYPERLINK("https://www.google.iq/maps/search/+33.632,42.8301/@33.632,42.8301,14z?hl=en","Maplink2")</f>
        <v>Maplink2</v>
      </c>
      <c r="AV57" s="12" t="str">
        <f>HYPERLINK("http://www.bing.com/maps/?lvl=14&amp;sty=h&amp;cp=33.632~42.8301&amp;sp=point.33.632_42.8301","Maplink3")</f>
        <v>Maplink3</v>
      </c>
    </row>
    <row r="58" spans="1:48" ht="15" customHeight="1" x14ac:dyDescent="0.25">
      <c r="A58" s="19">
        <v>219</v>
      </c>
      <c r="B58" s="20" t="s">
        <v>9</v>
      </c>
      <c r="C58" s="20" t="s">
        <v>133</v>
      </c>
      <c r="D58" s="20" t="s">
        <v>148</v>
      </c>
      <c r="E58" s="20" t="s">
        <v>149</v>
      </c>
      <c r="F58" s="20">
        <v>33.638379999999998</v>
      </c>
      <c r="G58" s="20">
        <v>42.81794</v>
      </c>
      <c r="H58" s="22">
        <v>17</v>
      </c>
      <c r="I58" s="22">
        <v>102</v>
      </c>
      <c r="J58" s="21">
        <v>17</v>
      </c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>
        <v>17</v>
      </c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>
        <v>17</v>
      </c>
      <c r="AT58" s="12" t="str">
        <f>HYPERLINK("http://www.openstreetmap.org/?mlat=33.6384&amp;mlon=42.8179&amp;zoom=12#map=12/33.6384/42.8179","Maplink1")</f>
        <v>Maplink1</v>
      </c>
      <c r="AU58" s="12" t="str">
        <f>HYPERLINK("https://www.google.iq/maps/search/+33.6384,42.8179/@33.6384,42.8179,14z?hl=en","Maplink2")</f>
        <v>Maplink2</v>
      </c>
      <c r="AV58" s="12" t="str">
        <f>HYPERLINK("http://www.bing.com/maps/?lvl=14&amp;sty=h&amp;cp=33.6384~42.8179&amp;sp=point.33.6384_42.8179","Maplink3")</f>
        <v>Maplink3</v>
      </c>
    </row>
    <row r="59" spans="1:48" ht="15" customHeight="1" x14ac:dyDescent="0.25">
      <c r="A59" s="19">
        <v>21231</v>
      </c>
      <c r="B59" s="20" t="s">
        <v>9</v>
      </c>
      <c r="C59" s="20" t="s">
        <v>133</v>
      </c>
      <c r="D59" s="20" t="s">
        <v>150</v>
      </c>
      <c r="E59" s="20" t="s">
        <v>151</v>
      </c>
      <c r="F59" s="20">
        <v>33.636090000000003</v>
      </c>
      <c r="G59" s="20">
        <v>42.836660000000002</v>
      </c>
      <c r="H59" s="22">
        <v>8</v>
      </c>
      <c r="I59" s="22">
        <v>48</v>
      </c>
      <c r="J59" s="21">
        <v>8</v>
      </c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>
        <v>8</v>
      </c>
      <c r="AI59" s="21"/>
      <c r="AJ59" s="21"/>
      <c r="AK59" s="21"/>
      <c r="AL59" s="21"/>
      <c r="AM59" s="21"/>
      <c r="AN59" s="21"/>
      <c r="AO59" s="21"/>
      <c r="AP59" s="21">
        <v>8</v>
      </c>
      <c r="AQ59" s="21"/>
      <c r="AR59" s="21"/>
      <c r="AS59" s="21"/>
      <c r="AT59" s="12" t="str">
        <f>HYPERLINK("http://www.openstreetmap.org/?mlat=33.6361&amp;mlon=42.8367&amp;zoom=12#map=12/33.6361/42.8367","Maplink1")</f>
        <v>Maplink1</v>
      </c>
      <c r="AU59" s="12" t="str">
        <f>HYPERLINK("https://www.google.iq/maps/search/+33.6361,42.8367/@33.6361,42.8367,14z?hl=en","Maplink2")</f>
        <v>Maplink2</v>
      </c>
      <c r="AV59" s="12" t="str">
        <f>HYPERLINK("http://www.bing.com/maps/?lvl=14&amp;sty=h&amp;cp=33.6361~42.8367&amp;sp=point.33.6361_42.8367","Maplink3")</f>
        <v>Maplink3</v>
      </c>
    </row>
    <row r="60" spans="1:48" ht="15" customHeight="1" x14ac:dyDescent="0.25">
      <c r="A60" s="19">
        <v>226</v>
      </c>
      <c r="B60" s="20" t="s">
        <v>9</v>
      </c>
      <c r="C60" s="20" t="s">
        <v>133</v>
      </c>
      <c r="D60" s="20" t="s">
        <v>152</v>
      </c>
      <c r="E60" s="20" t="s">
        <v>153</v>
      </c>
      <c r="F60" s="20">
        <v>33.593353999999998</v>
      </c>
      <c r="G60" s="20">
        <v>42.615312000000003</v>
      </c>
      <c r="H60" s="22">
        <v>5</v>
      </c>
      <c r="I60" s="22">
        <v>30</v>
      </c>
      <c r="J60" s="21">
        <v>5</v>
      </c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>
        <v>5</v>
      </c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>
        <v>5</v>
      </c>
      <c r="AP60" s="21"/>
      <c r="AQ60" s="21"/>
      <c r="AR60" s="21"/>
      <c r="AS60" s="21"/>
      <c r="AT60" s="12" t="str">
        <f>HYPERLINK("http://www.openstreetmap.org/?mlat=33.5934&amp;mlon=42.6153&amp;zoom=12#map=12/33.5934/42.6153","Maplink1")</f>
        <v>Maplink1</v>
      </c>
      <c r="AU60" s="12" t="str">
        <f>HYPERLINK("https://www.google.iq/maps/search/+33.5934,42.6153/@33.5934,42.6153,14z?hl=en","Maplink2")</f>
        <v>Maplink2</v>
      </c>
      <c r="AV60" s="12" t="str">
        <f>HYPERLINK("http://www.bing.com/maps/?lvl=14&amp;sty=h&amp;cp=33.5934~42.6153&amp;sp=point.33.5934_42.6153","Maplink3")</f>
        <v>Maplink3</v>
      </c>
    </row>
    <row r="61" spans="1:48" ht="15" customHeight="1" x14ac:dyDescent="0.25">
      <c r="A61" s="19">
        <v>191</v>
      </c>
      <c r="B61" s="20" t="s">
        <v>9</v>
      </c>
      <c r="C61" s="20" t="s">
        <v>133</v>
      </c>
      <c r="D61" s="20" t="s">
        <v>154</v>
      </c>
      <c r="E61" s="20" t="s">
        <v>155</v>
      </c>
      <c r="F61" s="20">
        <v>33.642949999999999</v>
      </c>
      <c r="G61" s="20">
        <v>42.812649999999998</v>
      </c>
      <c r="H61" s="22">
        <v>114</v>
      </c>
      <c r="I61" s="22">
        <v>684</v>
      </c>
      <c r="J61" s="21">
        <v>114</v>
      </c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>
        <v>114</v>
      </c>
      <c r="AD61" s="21"/>
      <c r="AE61" s="21"/>
      <c r="AF61" s="21"/>
      <c r="AG61" s="21"/>
      <c r="AH61" s="21"/>
      <c r="AI61" s="21"/>
      <c r="AJ61" s="21"/>
      <c r="AK61" s="21"/>
      <c r="AL61" s="21">
        <v>40</v>
      </c>
      <c r="AM61" s="21"/>
      <c r="AN61" s="21"/>
      <c r="AO61" s="21">
        <v>7</v>
      </c>
      <c r="AP61" s="21"/>
      <c r="AQ61" s="21"/>
      <c r="AR61" s="21"/>
      <c r="AS61" s="21">
        <v>67</v>
      </c>
      <c r="AT61" s="12" t="str">
        <f>HYPERLINK("http://www.openstreetmap.org/?mlat=33.6429&amp;mlon=42.8126&amp;zoom=12#map=12/33.6429/42.8126","Maplink1")</f>
        <v>Maplink1</v>
      </c>
      <c r="AU61" s="12" t="str">
        <f>HYPERLINK("https://www.google.iq/maps/search/+33.6429,42.8126/@33.6429,42.8126,14z?hl=en","Maplink2")</f>
        <v>Maplink2</v>
      </c>
      <c r="AV61" s="12" t="str">
        <f>HYPERLINK("http://www.bing.com/maps/?lvl=14&amp;sty=h&amp;cp=33.6429~42.8126&amp;sp=point.33.6429_42.8126","Maplink3")</f>
        <v>Maplink3</v>
      </c>
    </row>
    <row r="62" spans="1:48" ht="15" customHeight="1" x14ac:dyDescent="0.25">
      <c r="A62" s="19">
        <v>194</v>
      </c>
      <c r="B62" s="20" t="s">
        <v>9</v>
      </c>
      <c r="C62" s="20" t="s">
        <v>133</v>
      </c>
      <c r="D62" s="20" t="s">
        <v>156</v>
      </c>
      <c r="E62" s="20" t="s">
        <v>157</v>
      </c>
      <c r="F62" s="20">
        <v>33.631929999999997</v>
      </c>
      <c r="G62" s="20">
        <v>42.839619999999996</v>
      </c>
      <c r="H62" s="22">
        <v>51</v>
      </c>
      <c r="I62" s="22">
        <v>306</v>
      </c>
      <c r="J62" s="21">
        <v>51</v>
      </c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>
        <v>51</v>
      </c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>
        <v>51</v>
      </c>
      <c r="AT62" s="12" t="str">
        <f>HYPERLINK("http://www.openstreetmap.org/?mlat=33.6319&amp;mlon=42.8396&amp;zoom=12#map=12/33.6319/42.8396","Maplink1")</f>
        <v>Maplink1</v>
      </c>
      <c r="AU62" s="12" t="str">
        <f>HYPERLINK("https://www.google.iq/maps/search/+33.6319,42.8396/@33.6319,42.8396,14z?hl=en","Maplink2")</f>
        <v>Maplink2</v>
      </c>
      <c r="AV62" s="12" t="str">
        <f>HYPERLINK("http://www.bing.com/maps/?lvl=14&amp;sty=h&amp;cp=33.6319~42.8396&amp;sp=point.33.6319_42.8396","Maplink3")</f>
        <v>Maplink3</v>
      </c>
    </row>
    <row r="63" spans="1:48" ht="15" customHeight="1" x14ac:dyDescent="0.25">
      <c r="A63" s="19">
        <v>308</v>
      </c>
      <c r="B63" s="20" t="s">
        <v>9</v>
      </c>
      <c r="C63" s="20" t="s">
        <v>158</v>
      </c>
      <c r="D63" s="20" t="s">
        <v>5629</v>
      </c>
      <c r="E63" s="20" t="s">
        <v>176</v>
      </c>
      <c r="F63" s="20">
        <v>33.421050000000001</v>
      </c>
      <c r="G63" s="20">
        <v>43.245719999999999</v>
      </c>
      <c r="H63" s="22">
        <v>129</v>
      </c>
      <c r="I63" s="22">
        <v>774</v>
      </c>
      <c r="J63" s="21">
        <v>129</v>
      </c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>
        <v>129</v>
      </c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>
        <v>129</v>
      </c>
      <c r="AT63" s="12" t="str">
        <f>HYPERLINK("http://www.openstreetmap.org/?mlat=33.4211&amp;mlon=43.2457&amp;zoom=12#map=12/33.4211/43.2457","Maplink1")</f>
        <v>Maplink1</v>
      </c>
      <c r="AU63" s="12" t="str">
        <f>HYPERLINK("https://www.google.iq/maps/search/+33.4211,43.2457/@33.4211,43.2457,14z?hl=en","Maplink2")</f>
        <v>Maplink2</v>
      </c>
      <c r="AV63" s="12" t="str">
        <f>HYPERLINK("http://www.bing.com/maps/?lvl=14&amp;sty=h&amp;cp=33.4211~43.2457&amp;sp=point.33.4211_43.2457","Maplink3")</f>
        <v>Maplink3</v>
      </c>
    </row>
    <row r="64" spans="1:48" ht="15" customHeight="1" x14ac:dyDescent="0.25">
      <c r="A64" s="19">
        <v>23889</v>
      </c>
      <c r="B64" s="20" t="s">
        <v>9</v>
      </c>
      <c r="C64" s="20" t="s">
        <v>158</v>
      </c>
      <c r="D64" s="20" t="s">
        <v>5630</v>
      </c>
      <c r="E64" s="20" t="s">
        <v>159</v>
      </c>
      <c r="F64" s="20">
        <v>33.414079999999998</v>
      </c>
      <c r="G64" s="20">
        <v>43.191429999999997</v>
      </c>
      <c r="H64" s="22">
        <v>58</v>
      </c>
      <c r="I64" s="22">
        <v>348</v>
      </c>
      <c r="J64" s="21">
        <v>58</v>
      </c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>
        <v>58</v>
      </c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>
        <v>58</v>
      </c>
      <c r="AT64" s="12" t="str">
        <f>HYPERLINK("http://www.openstreetmap.org/?mlat=33.4141&amp;mlon=43.1914&amp;zoom=12#map=12/33.4141/43.1914","Maplink1")</f>
        <v>Maplink1</v>
      </c>
      <c r="AU64" s="12" t="str">
        <f>HYPERLINK("https://www.google.iq/maps/search/+33.4141,43.1914/@33.4141,43.1914,14z?hl=en","Maplink2")</f>
        <v>Maplink2</v>
      </c>
      <c r="AV64" s="12" t="str">
        <f>HYPERLINK("http://www.bing.com/maps/?lvl=14&amp;sty=h&amp;cp=33.4141~43.1914&amp;sp=point.33.4141_43.1914","Maplink3")</f>
        <v>Maplink3</v>
      </c>
    </row>
    <row r="65" spans="1:48" ht="15" customHeight="1" x14ac:dyDescent="0.25">
      <c r="A65" s="19">
        <v>23858</v>
      </c>
      <c r="B65" s="20" t="s">
        <v>9</v>
      </c>
      <c r="C65" s="20" t="s">
        <v>158</v>
      </c>
      <c r="D65" s="20" t="s">
        <v>5631</v>
      </c>
      <c r="E65" s="20" t="s">
        <v>160</v>
      </c>
      <c r="F65" s="20">
        <v>33.392490000000002</v>
      </c>
      <c r="G65" s="20">
        <v>43.543039999999998</v>
      </c>
      <c r="H65" s="22">
        <v>67</v>
      </c>
      <c r="I65" s="22">
        <v>402</v>
      </c>
      <c r="J65" s="21">
        <v>38</v>
      </c>
      <c r="K65" s="21">
        <v>19</v>
      </c>
      <c r="L65" s="21">
        <v>10</v>
      </c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>
        <v>67</v>
      </c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>
        <v>67</v>
      </c>
      <c r="AP65" s="21"/>
      <c r="AQ65" s="21"/>
      <c r="AR65" s="21"/>
      <c r="AS65" s="21"/>
      <c r="AT65" s="12" t="str">
        <f>HYPERLINK("http://www.openstreetmap.org/?mlat=33.3925&amp;mlon=43.543&amp;zoom=12#map=12/33.3925/43.543","Maplink1")</f>
        <v>Maplink1</v>
      </c>
      <c r="AU65" s="12" t="str">
        <f>HYPERLINK("https://www.google.iq/maps/search/+33.3925,43.543/@33.3925,43.543,14z?hl=en","Maplink2")</f>
        <v>Maplink2</v>
      </c>
      <c r="AV65" s="12" t="str">
        <f>HYPERLINK("http://www.bing.com/maps/?lvl=14&amp;sty=h&amp;cp=33.3925~43.543&amp;sp=point.33.3925_43.543","Maplink3")</f>
        <v>Maplink3</v>
      </c>
    </row>
    <row r="66" spans="1:48" ht="15" customHeight="1" x14ac:dyDescent="0.25">
      <c r="A66" s="19">
        <v>24730</v>
      </c>
      <c r="B66" s="20" t="s">
        <v>9</v>
      </c>
      <c r="C66" s="20" t="s">
        <v>158</v>
      </c>
      <c r="D66" s="20" t="s">
        <v>161</v>
      </c>
      <c r="E66" s="20" t="s">
        <v>162</v>
      </c>
      <c r="F66" s="20">
        <v>33.387219999999999</v>
      </c>
      <c r="G66" s="20">
        <v>43.52422</v>
      </c>
      <c r="H66" s="22">
        <v>36</v>
      </c>
      <c r="I66" s="22">
        <v>216</v>
      </c>
      <c r="J66" s="21">
        <v>36</v>
      </c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>
        <v>36</v>
      </c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>
        <v>36</v>
      </c>
      <c r="AP66" s="21"/>
      <c r="AQ66" s="21"/>
      <c r="AR66" s="21"/>
      <c r="AS66" s="21"/>
      <c r="AT66" s="12" t="str">
        <f>HYPERLINK("http://www.openstreetmap.org/?mlat=33.3872&amp;mlon=43.5242&amp;zoom=12#map=12/33.3872/43.5242","Maplink1")</f>
        <v>Maplink1</v>
      </c>
      <c r="AU66" s="12" t="str">
        <f>HYPERLINK("https://www.google.iq/maps/search/+33.3872,43.5242/@33.3872,43.5242,14z?hl=en","Maplink2")</f>
        <v>Maplink2</v>
      </c>
      <c r="AV66" s="12" t="str">
        <f>HYPERLINK("http://www.bing.com/maps/?lvl=14&amp;sty=h&amp;cp=33.3872~43.5242&amp;sp=point.33.3872_43.5242","Maplink3")</f>
        <v>Maplink3</v>
      </c>
    </row>
    <row r="67" spans="1:48" ht="15" customHeight="1" x14ac:dyDescent="0.25">
      <c r="A67" s="19">
        <v>115</v>
      </c>
      <c r="B67" s="20" t="s">
        <v>9</v>
      </c>
      <c r="C67" s="20" t="s">
        <v>158</v>
      </c>
      <c r="D67" s="20" t="s">
        <v>5632</v>
      </c>
      <c r="E67" s="20" t="s">
        <v>163</v>
      </c>
      <c r="F67" s="20">
        <v>33.436459999999997</v>
      </c>
      <c r="G67" s="20">
        <v>43.323009999999996</v>
      </c>
      <c r="H67" s="22">
        <v>225</v>
      </c>
      <c r="I67" s="22">
        <v>1350</v>
      </c>
      <c r="J67" s="21">
        <v>225</v>
      </c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>
        <v>225</v>
      </c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>
        <v>225</v>
      </c>
      <c r="AT67" s="12" t="str">
        <f>HYPERLINK("http://www.openstreetmap.org/?mlat=33.4365&amp;mlon=43.323&amp;zoom=12#map=12/33.4365/43.323","Maplink1")</f>
        <v>Maplink1</v>
      </c>
      <c r="AU67" s="12" t="str">
        <f>HYPERLINK("https://www.google.iq/maps/search/+33.4365,43.323/@33.4365,43.323,14z?hl=en","Maplink2")</f>
        <v>Maplink2</v>
      </c>
      <c r="AV67" s="12" t="str">
        <f>HYPERLINK("http://www.bing.com/maps/?lvl=14&amp;sty=h&amp;cp=33.4365~43.323&amp;sp=point.33.4365_43.323","Maplink3")</f>
        <v>Maplink3</v>
      </c>
    </row>
    <row r="68" spans="1:48" ht="15" customHeight="1" x14ac:dyDescent="0.25">
      <c r="A68" s="19">
        <v>24729</v>
      </c>
      <c r="B68" s="20" t="s">
        <v>9</v>
      </c>
      <c r="C68" s="20" t="s">
        <v>158</v>
      </c>
      <c r="D68" s="20" t="s">
        <v>5633</v>
      </c>
      <c r="E68" s="20" t="s">
        <v>164</v>
      </c>
      <c r="F68" s="20">
        <v>33.38852</v>
      </c>
      <c r="G68" s="20">
        <v>43.517290000000003</v>
      </c>
      <c r="H68" s="22">
        <v>17</v>
      </c>
      <c r="I68" s="22">
        <v>102</v>
      </c>
      <c r="J68" s="21">
        <v>17</v>
      </c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>
        <v>17</v>
      </c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>
        <v>17</v>
      </c>
      <c r="AQ68" s="21"/>
      <c r="AR68" s="21"/>
      <c r="AS68" s="21"/>
      <c r="AT68" s="12" t="str">
        <f>HYPERLINK("http://www.openstreetmap.org/?mlat=33.3885&amp;mlon=43.5173&amp;zoom=12#map=12/33.3885/43.5173","Maplink1")</f>
        <v>Maplink1</v>
      </c>
      <c r="AU68" s="12" t="str">
        <f>HYPERLINK("https://www.google.iq/maps/search/+33.3885,43.5173/@33.3885,43.5173,14z?hl=en","Maplink2")</f>
        <v>Maplink2</v>
      </c>
      <c r="AV68" s="12" t="str">
        <f>HYPERLINK("http://www.bing.com/maps/?lvl=14&amp;sty=h&amp;cp=33.3885~43.5173&amp;sp=point.33.3885_43.5173","Maplink3")</f>
        <v>Maplink3</v>
      </c>
    </row>
    <row r="69" spans="1:48" ht="15" customHeight="1" x14ac:dyDescent="0.25">
      <c r="A69" s="19">
        <v>21227</v>
      </c>
      <c r="B69" s="20" t="s">
        <v>9</v>
      </c>
      <c r="C69" s="20" t="s">
        <v>158</v>
      </c>
      <c r="D69" s="20" t="s">
        <v>165</v>
      </c>
      <c r="E69" s="20" t="s">
        <v>166</v>
      </c>
      <c r="F69" s="20">
        <v>33.465560000000004</v>
      </c>
      <c r="G69" s="20">
        <v>43.279260999999998</v>
      </c>
      <c r="H69" s="22">
        <v>75</v>
      </c>
      <c r="I69" s="22">
        <v>450</v>
      </c>
      <c r="J69" s="21">
        <v>75</v>
      </c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>
        <v>75</v>
      </c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>
        <v>75</v>
      </c>
      <c r="AT69" s="12" t="str">
        <f>HYPERLINK("http://www.openstreetmap.org/?mlat=33.4656&amp;mlon=43.2793&amp;zoom=12#map=12/33.4656/43.2793","Maplink1")</f>
        <v>Maplink1</v>
      </c>
      <c r="AU69" s="12" t="str">
        <f>HYPERLINK("https://www.google.iq/maps/search/+33.4656,43.2793/@33.4656,43.2793,14z?hl=en","Maplink2")</f>
        <v>Maplink2</v>
      </c>
      <c r="AV69" s="12" t="str">
        <f>HYPERLINK("http://www.bing.com/maps/?lvl=14&amp;sty=h&amp;cp=33.4656~43.2793&amp;sp=point.33.4656_43.2793","Maplink3")</f>
        <v>Maplink3</v>
      </c>
    </row>
    <row r="70" spans="1:48" ht="15" customHeight="1" x14ac:dyDescent="0.25">
      <c r="A70" s="19">
        <v>23853</v>
      </c>
      <c r="B70" s="20" t="s">
        <v>9</v>
      </c>
      <c r="C70" s="20" t="s">
        <v>158</v>
      </c>
      <c r="D70" s="20" t="s">
        <v>168</v>
      </c>
      <c r="E70" s="20" t="s">
        <v>169</v>
      </c>
      <c r="F70" s="20">
        <v>33.374490000000002</v>
      </c>
      <c r="G70" s="20">
        <v>43.588979999999999</v>
      </c>
      <c r="H70" s="22">
        <v>14</v>
      </c>
      <c r="I70" s="22">
        <v>84</v>
      </c>
      <c r="J70" s="21">
        <v>14</v>
      </c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>
        <v>14</v>
      </c>
      <c r="AI70" s="21"/>
      <c r="AJ70" s="21"/>
      <c r="AK70" s="21"/>
      <c r="AL70" s="21">
        <v>14</v>
      </c>
      <c r="AM70" s="21"/>
      <c r="AN70" s="21"/>
      <c r="AO70" s="21"/>
      <c r="AP70" s="21"/>
      <c r="AQ70" s="21"/>
      <c r="AR70" s="21"/>
      <c r="AS70" s="21"/>
      <c r="AT70" s="12" t="str">
        <f>HYPERLINK("http://www.openstreetmap.org/?mlat=33.3745&amp;mlon=43.589&amp;zoom=12#map=12/33.3745/43.589","Maplink1")</f>
        <v>Maplink1</v>
      </c>
      <c r="AU70" s="12" t="str">
        <f>HYPERLINK("https://www.google.iq/maps/search/+33.3745,43.589/@33.3745,43.589,14z?hl=en","Maplink2")</f>
        <v>Maplink2</v>
      </c>
      <c r="AV70" s="12" t="str">
        <f>HYPERLINK("http://www.bing.com/maps/?lvl=14&amp;sty=h&amp;cp=33.3745~43.589&amp;sp=point.33.3745_43.589","Maplink3")</f>
        <v>Maplink3</v>
      </c>
    </row>
    <row r="71" spans="1:48" ht="15" customHeight="1" x14ac:dyDescent="0.25">
      <c r="A71" s="19">
        <v>21409</v>
      </c>
      <c r="B71" s="20" t="s">
        <v>9</v>
      </c>
      <c r="C71" s="20" t="s">
        <v>158</v>
      </c>
      <c r="D71" s="20" t="s">
        <v>170</v>
      </c>
      <c r="E71" s="20" t="s">
        <v>171</v>
      </c>
      <c r="F71" s="20">
        <v>33.39284</v>
      </c>
      <c r="G71" s="20">
        <v>43.507910000000003</v>
      </c>
      <c r="H71" s="22">
        <v>20</v>
      </c>
      <c r="I71" s="22">
        <v>120</v>
      </c>
      <c r="J71" s="21">
        <v>20</v>
      </c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>
        <v>20</v>
      </c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>
        <v>20</v>
      </c>
      <c r="AP71" s="21"/>
      <c r="AQ71" s="21"/>
      <c r="AR71" s="21"/>
      <c r="AS71" s="21"/>
      <c r="AT71" s="12" t="str">
        <f>HYPERLINK("http://www.openstreetmap.org/?mlat=33.3928&amp;mlon=43.5079&amp;zoom=12#map=12/33.3928/43.5079","Maplink1")</f>
        <v>Maplink1</v>
      </c>
      <c r="AU71" s="12" t="str">
        <f>HYPERLINK("https://www.google.iq/maps/search/+33.3928,43.5079/@33.3928,43.5079,14z?hl=en","Maplink2")</f>
        <v>Maplink2</v>
      </c>
      <c r="AV71" s="12" t="str">
        <f>HYPERLINK("http://www.bing.com/maps/?lvl=14&amp;sty=h&amp;cp=33.3928~43.5079&amp;sp=point.33.3928_43.5079","Maplink3")</f>
        <v>Maplink3</v>
      </c>
    </row>
    <row r="72" spans="1:48" ht="15" customHeight="1" x14ac:dyDescent="0.25">
      <c r="A72" s="19">
        <v>23855</v>
      </c>
      <c r="B72" s="20" t="s">
        <v>9</v>
      </c>
      <c r="C72" s="20" t="s">
        <v>158</v>
      </c>
      <c r="D72" s="20" t="s">
        <v>172</v>
      </c>
      <c r="E72" s="20" t="s">
        <v>173</v>
      </c>
      <c r="F72" s="20">
        <v>33.388869999999997</v>
      </c>
      <c r="G72" s="20">
        <v>43.598050000000001</v>
      </c>
      <c r="H72" s="22">
        <v>20</v>
      </c>
      <c r="I72" s="22">
        <v>120</v>
      </c>
      <c r="J72" s="21">
        <v>20</v>
      </c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>
        <v>20</v>
      </c>
      <c r="AD72" s="21"/>
      <c r="AE72" s="21"/>
      <c r="AF72" s="21"/>
      <c r="AG72" s="21"/>
      <c r="AH72" s="21"/>
      <c r="AI72" s="21"/>
      <c r="AJ72" s="21"/>
      <c r="AK72" s="21"/>
      <c r="AL72" s="21">
        <v>20</v>
      </c>
      <c r="AM72" s="21"/>
      <c r="AN72" s="21"/>
      <c r="AO72" s="21"/>
      <c r="AP72" s="21"/>
      <c r="AQ72" s="21"/>
      <c r="AR72" s="21"/>
      <c r="AS72" s="21"/>
      <c r="AT72" s="12" t="str">
        <f>HYPERLINK("http://www.openstreetmap.org/?mlat=33.3889&amp;mlon=43.5981&amp;zoom=12#map=12/33.3889/43.5981","Maplink1")</f>
        <v>Maplink1</v>
      </c>
      <c r="AU72" s="12" t="str">
        <f>HYPERLINK("https://www.google.iq/maps/search/+33.3889,43.5981/@33.3889,43.5981,14z?hl=en","Maplink2")</f>
        <v>Maplink2</v>
      </c>
      <c r="AV72" s="12" t="str">
        <f>HYPERLINK("http://www.bing.com/maps/?lvl=14&amp;sty=h&amp;cp=33.3889~43.5981&amp;sp=point.33.3889_43.5981","Maplink3")</f>
        <v>Maplink3</v>
      </c>
    </row>
    <row r="73" spans="1:48" ht="15" customHeight="1" x14ac:dyDescent="0.25">
      <c r="A73" s="19">
        <v>182</v>
      </c>
      <c r="B73" s="20" t="s">
        <v>9</v>
      </c>
      <c r="C73" s="20" t="s">
        <v>158</v>
      </c>
      <c r="D73" s="20" t="s">
        <v>177</v>
      </c>
      <c r="E73" s="20" t="s">
        <v>178</v>
      </c>
      <c r="F73" s="20">
        <v>33.413330000000002</v>
      </c>
      <c r="G73" s="20">
        <v>43.276809999999998</v>
      </c>
      <c r="H73" s="22">
        <v>107</v>
      </c>
      <c r="I73" s="22">
        <v>642</v>
      </c>
      <c r="J73" s="21">
        <v>107</v>
      </c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>
        <v>107</v>
      </c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>
        <v>107</v>
      </c>
      <c r="AT73" s="12" t="str">
        <f>HYPERLINK("http://www.openstreetmap.org/?mlat=33.4133&amp;mlon=43.2768&amp;zoom=12#map=12/33.4133/43.2768","Maplink1")</f>
        <v>Maplink1</v>
      </c>
      <c r="AU73" s="12" t="str">
        <f>HYPERLINK("https://www.google.iq/maps/search/+33.4133,43.2768/@33.4133,43.2768,14z?hl=en","Maplink2")</f>
        <v>Maplink2</v>
      </c>
      <c r="AV73" s="12" t="str">
        <f>HYPERLINK("http://www.bing.com/maps/?lvl=14&amp;sty=h&amp;cp=33.4133~43.2768&amp;sp=point.33.4133_43.2768","Maplink3")</f>
        <v>Maplink3</v>
      </c>
    </row>
    <row r="74" spans="1:48" ht="15" customHeight="1" x14ac:dyDescent="0.25">
      <c r="A74" s="19">
        <v>20901</v>
      </c>
      <c r="B74" s="20" t="s">
        <v>9</v>
      </c>
      <c r="C74" s="20" t="s">
        <v>158</v>
      </c>
      <c r="D74" s="20" t="s">
        <v>179</v>
      </c>
      <c r="E74" s="20" t="s">
        <v>180</v>
      </c>
      <c r="F74" s="20">
        <v>33.366390000000003</v>
      </c>
      <c r="G74" s="20">
        <v>43.617139999999999</v>
      </c>
      <c r="H74" s="22">
        <v>4</v>
      </c>
      <c r="I74" s="22">
        <v>24</v>
      </c>
      <c r="J74" s="21">
        <v>4</v>
      </c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>
        <v>4</v>
      </c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>
        <v>4</v>
      </c>
      <c r="AP74" s="21"/>
      <c r="AQ74" s="21"/>
      <c r="AR74" s="21"/>
      <c r="AS74" s="21"/>
      <c r="AT74" s="12" t="str">
        <f>HYPERLINK("http://www.openstreetmap.org/?mlat=33.3664&amp;mlon=43.6171&amp;zoom=12#map=12/33.3664/43.6171","Maplink1")</f>
        <v>Maplink1</v>
      </c>
      <c r="AU74" s="12" t="str">
        <f>HYPERLINK("https://www.google.iq/maps/search/+33.3664,43.6171/@33.3664,43.6171,14z?hl=en","Maplink2")</f>
        <v>Maplink2</v>
      </c>
      <c r="AV74" s="12" t="str">
        <f>HYPERLINK("http://www.bing.com/maps/?lvl=14&amp;sty=h&amp;cp=33.3664~43.6171&amp;sp=point.33.3664_43.6171","Maplink3")</f>
        <v>Maplink3</v>
      </c>
    </row>
    <row r="75" spans="1:48" ht="15" customHeight="1" x14ac:dyDescent="0.25">
      <c r="A75" s="19">
        <v>184</v>
      </c>
      <c r="B75" s="20" t="s">
        <v>9</v>
      </c>
      <c r="C75" s="20" t="s">
        <v>158</v>
      </c>
      <c r="D75" s="20" t="s">
        <v>181</v>
      </c>
      <c r="E75" s="20" t="s">
        <v>182</v>
      </c>
      <c r="F75" s="20">
        <v>33.434019999999997</v>
      </c>
      <c r="G75" s="20">
        <v>43.275489999999998</v>
      </c>
      <c r="H75" s="22">
        <v>140</v>
      </c>
      <c r="I75" s="22">
        <v>840</v>
      </c>
      <c r="J75" s="21">
        <v>140</v>
      </c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>
        <v>140</v>
      </c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>
        <v>140</v>
      </c>
      <c r="AT75" s="12" t="str">
        <f>HYPERLINK("http://www.openstreetmap.org/?mlat=33.434&amp;mlon=43.2755&amp;zoom=12#map=12/33.434/43.2755","Maplink1")</f>
        <v>Maplink1</v>
      </c>
      <c r="AU75" s="12" t="str">
        <f>HYPERLINK("https://www.google.iq/maps/search/+33.434,43.2755/@33.434,43.2755,14z?hl=en","Maplink2")</f>
        <v>Maplink2</v>
      </c>
      <c r="AV75" s="12" t="str">
        <f>HYPERLINK("http://www.bing.com/maps/?lvl=14&amp;sty=h&amp;cp=33.434~43.2755&amp;sp=point.33.434_43.2755","Maplink3")</f>
        <v>Maplink3</v>
      </c>
    </row>
    <row r="76" spans="1:48" ht="15" customHeight="1" x14ac:dyDescent="0.25">
      <c r="A76" s="19">
        <v>23856</v>
      </c>
      <c r="B76" s="20" t="s">
        <v>9</v>
      </c>
      <c r="C76" s="20" t="s">
        <v>158</v>
      </c>
      <c r="D76" s="20" t="s">
        <v>5634</v>
      </c>
      <c r="E76" s="20" t="s">
        <v>183</v>
      </c>
      <c r="F76" s="20">
        <v>33.383929999999999</v>
      </c>
      <c r="G76" s="20">
        <v>43.604190000000003</v>
      </c>
      <c r="H76" s="22">
        <v>19</v>
      </c>
      <c r="I76" s="22">
        <v>114</v>
      </c>
      <c r="J76" s="21">
        <v>19</v>
      </c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>
        <v>19</v>
      </c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>
        <v>19</v>
      </c>
      <c r="AQ76" s="21"/>
      <c r="AR76" s="21"/>
      <c r="AS76" s="21"/>
      <c r="AT76" s="12" t="str">
        <f>HYPERLINK("http://www.openstreetmap.org/?mlat=33.3839&amp;mlon=43.6042&amp;zoom=12#map=12/33.3839/43.6042","Maplink1")</f>
        <v>Maplink1</v>
      </c>
      <c r="AU76" s="12" t="str">
        <f>HYPERLINK("https://www.google.iq/maps/search/+33.3839,43.6042/@33.3839,43.6042,14z?hl=en","Maplink2")</f>
        <v>Maplink2</v>
      </c>
      <c r="AV76" s="12" t="str">
        <f>HYPERLINK("http://www.bing.com/maps/?lvl=14&amp;sty=h&amp;cp=33.3839~43.6042&amp;sp=point.33.3839_43.6042","Maplink3")</f>
        <v>Maplink3</v>
      </c>
    </row>
    <row r="77" spans="1:48" ht="15" customHeight="1" x14ac:dyDescent="0.25">
      <c r="A77" s="19">
        <v>24594</v>
      </c>
      <c r="B77" s="20" t="s">
        <v>10</v>
      </c>
      <c r="C77" s="20" t="s">
        <v>184</v>
      </c>
      <c r="D77" s="20" t="s">
        <v>185</v>
      </c>
      <c r="E77" s="20" t="s">
        <v>186</v>
      </c>
      <c r="F77" s="20">
        <v>32.648603000000001</v>
      </c>
      <c r="G77" s="20">
        <v>44.353853000000001</v>
      </c>
      <c r="H77" s="22">
        <v>1</v>
      </c>
      <c r="I77" s="22">
        <v>6</v>
      </c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>
        <v>1</v>
      </c>
      <c r="Y77" s="21"/>
      <c r="Z77" s="21"/>
      <c r="AA77" s="21"/>
      <c r="AB77" s="21"/>
      <c r="AC77" s="21">
        <v>1</v>
      </c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>
        <v>1</v>
      </c>
      <c r="AO77" s="21"/>
      <c r="AP77" s="21"/>
      <c r="AQ77" s="21"/>
      <c r="AR77" s="21"/>
      <c r="AS77" s="21"/>
      <c r="AT77" s="12" t="str">
        <f>HYPERLINK("http://www.openstreetmap.org/?mlat=32.6486&amp;mlon=44.3539&amp;zoom=12#map=12/32.6486/44.3539","Maplink1")</f>
        <v>Maplink1</v>
      </c>
      <c r="AU77" s="12" t="str">
        <f>HYPERLINK("https://www.google.iq/maps/search/+32.6486,44.3539/@32.6486,44.3539,14z?hl=en","Maplink2")</f>
        <v>Maplink2</v>
      </c>
      <c r="AV77" s="12" t="str">
        <f>HYPERLINK("http://www.bing.com/maps/?lvl=14&amp;sty=h&amp;cp=32.6486~44.3539&amp;sp=point.32.6486_44.3539","Maplink3")</f>
        <v>Maplink3</v>
      </c>
    </row>
    <row r="78" spans="1:48" ht="15" customHeight="1" x14ac:dyDescent="0.25">
      <c r="A78" s="19">
        <v>21767</v>
      </c>
      <c r="B78" s="20" t="s">
        <v>10</v>
      </c>
      <c r="C78" s="20" t="s">
        <v>184</v>
      </c>
      <c r="D78" s="20" t="s">
        <v>187</v>
      </c>
      <c r="E78" s="20" t="s">
        <v>188</v>
      </c>
      <c r="F78" s="20">
        <v>32.651099600000002</v>
      </c>
      <c r="G78" s="20">
        <v>44.417029159999998</v>
      </c>
      <c r="H78" s="22">
        <v>5</v>
      </c>
      <c r="I78" s="22">
        <v>30</v>
      </c>
      <c r="J78" s="21">
        <v>5</v>
      </c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>
        <v>5</v>
      </c>
      <c r="AI78" s="21"/>
      <c r="AJ78" s="21"/>
      <c r="AK78" s="21"/>
      <c r="AL78" s="21"/>
      <c r="AM78" s="21"/>
      <c r="AN78" s="21"/>
      <c r="AO78" s="21"/>
      <c r="AP78" s="21">
        <v>5</v>
      </c>
      <c r="AQ78" s="21"/>
      <c r="AR78" s="21"/>
      <c r="AS78" s="21"/>
      <c r="AT78" s="12" t="str">
        <f>HYPERLINK("http://www.openstreetmap.org/?mlat=32.6511&amp;mlon=44.417&amp;zoom=12#map=12/32.6511/44.417","Maplink1")</f>
        <v>Maplink1</v>
      </c>
      <c r="AU78" s="12" t="str">
        <f>HYPERLINK("https://www.google.iq/maps/search/+32.6511,44.417/@32.6511,44.417,14z?hl=en","Maplink2")</f>
        <v>Maplink2</v>
      </c>
      <c r="AV78" s="12" t="str">
        <f>HYPERLINK("http://www.bing.com/maps/?lvl=14&amp;sty=h&amp;cp=32.6511~44.417&amp;sp=point.32.6511_44.417","Maplink3")</f>
        <v>Maplink3</v>
      </c>
    </row>
    <row r="79" spans="1:48" ht="15" customHeight="1" x14ac:dyDescent="0.25">
      <c r="A79" s="19">
        <v>29578</v>
      </c>
      <c r="B79" s="20" t="s">
        <v>10</v>
      </c>
      <c r="C79" s="20" t="s">
        <v>184</v>
      </c>
      <c r="D79" s="20" t="s">
        <v>189</v>
      </c>
      <c r="E79" s="20" t="s">
        <v>190</v>
      </c>
      <c r="F79" s="20">
        <v>32.778384000000003</v>
      </c>
      <c r="G79" s="20">
        <v>44.486558000000002</v>
      </c>
      <c r="H79" s="22">
        <v>10</v>
      </c>
      <c r="I79" s="22">
        <v>60</v>
      </c>
      <c r="J79" s="21"/>
      <c r="K79" s="21">
        <v>2</v>
      </c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>
        <v>8</v>
      </c>
      <c r="Y79" s="21"/>
      <c r="Z79" s="21"/>
      <c r="AA79" s="21"/>
      <c r="AB79" s="21"/>
      <c r="AC79" s="21">
        <v>10</v>
      </c>
      <c r="AD79" s="21"/>
      <c r="AE79" s="21"/>
      <c r="AF79" s="21"/>
      <c r="AG79" s="21"/>
      <c r="AH79" s="21"/>
      <c r="AI79" s="21"/>
      <c r="AJ79" s="21"/>
      <c r="AK79" s="21"/>
      <c r="AL79" s="21"/>
      <c r="AM79" s="21">
        <v>2</v>
      </c>
      <c r="AN79" s="21">
        <v>8</v>
      </c>
      <c r="AO79" s="21"/>
      <c r="AP79" s="21"/>
      <c r="AQ79" s="21"/>
      <c r="AR79" s="21"/>
      <c r="AS79" s="21"/>
      <c r="AT79" s="12" t="str">
        <f>HYPERLINK("http://www.openstreetmap.org/?mlat=32.7784&amp;mlon=44.4866&amp;zoom=12#map=12/32.7784/44.4866","Maplink1")</f>
        <v>Maplink1</v>
      </c>
      <c r="AU79" s="12" t="str">
        <f>HYPERLINK("https://www.google.iq/maps/search/+32.7784,44.4866/@32.7784,44.4866,14z?hl=en","Maplink2")</f>
        <v>Maplink2</v>
      </c>
      <c r="AV79" s="12" t="str">
        <f>HYPERLINK("http://www.bing.com/maps/?lvl=14&amp;sty=h&amp;cp=32.7784~44.4866&amp;sp=point.32.7784_44.4866","Maplink3")</f>
        <v>Maplink3</v>
      </c>
    </row>
    <row r="80" spans="1:48" ht="15" customHeight="1" x14ac:dyDescent="0.25">
      <c r="A80" s="19">
        <v>22372</v>
      </c>
      <c r="B80" s="20" t="s">
        <v>10</v>
      </c>
      <c r="C80" s="20" t="s">
        <v>184</v>
      </c>
      <c r="D80" s="20" t="s">
        <v>192</v>
      </c>
      <c r="E80" s="20" t="s">
        <v>193</v>
      </c>
      <c r="F80" s="20">
        <v>32.74512</v>
      </c>
      <c r="G80" s="20">
        <v>44.765889999999999</v>
      </c>
      <c r="H80" s="22">
        <v>5</v>
      </c>
      <c r="I80" s="22">
        <v>30</v>
      </c>
      <c r="J80" s="21"/>
      <c r="K80" s="21">
        <v>2</v>
      </c>
      <c r="L80" s="21">
        <v>2</v>
      </c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>
        <v>1</v>
      </c>
      <c r="Y80" s="21"/>
      <c r="Z80" s="21"/>
      <c r="AA80" s="21"/>
      <c r="AB80" s="21"/>
      <c r="AC80" s="21"/>
      <c r="AD80" s="21"/>
      <c r="AE80" s="21"/>
      <c r="AF80" s="21"/>
      <c r="AG80" s="21"/>
      <c r="AH80" s="21">
        <v>5</v>
      </c>
      <c r="AI80" s="21"/>
      <c r="AJ80" s="21"/>
      <c r="AK80" s="21"/>
      <c r="AL80" s="21">
        <v>1</v>
      </c>
      <c r="AM80" s="21">
        <v>3</v>
      </c>
      <c r="AN80" s="21">
        <v>1</v>
      </c>
      <c r="AO80" s="21"/>
      <c r="AP80" s="21"/>
      <c r="AQ80" s="21"/>
      <c r="AR80" s="21"/>
      <c r="AS80" s="21"/>
      <c r="AT80" s="12" t="str">
        <f>HYPERLINK("http://www.openstreetmap.org/?mlat=32.7451&amp;mlon=44.7659&amp;zoom=12#map=12/32.7451/44.7659","Maplink1")</f>
        <v>Maplink1</v>
      </c>
      <c r="AU80" s="12" t="str">
        <f>HYPERLINK("https://www.google.iq/maps/search/+32.7451,44.7659/@32.7451,44.7659,14z?hl=en","Maplink2")</f>
        <v>Maplink2</v>
      </c>
      <c r="AV80" s="12" t="str">
        <f>HYPERLINK("http://www.bing.com/maps/?lvl=14&amp;sty=h&amp;cp=32.7451~44.7659&amp;sp=point.32.7451_44.7659","Maplink3")</f>
        <v>Maplink3</v>
      </c>
    </row>
    <row r="81" spans="1:48" ht="15" customHeight="1" x14ac:dyDescent="0.25">
      <c r="A81" s="19">
        <v>23941</v>
      </c>
      <c r="B81" s="20" t="s">
        <v>10</v>
      </c>
      <c r="C81" s="20" t="s">
        <v>184</v>
      </c>
      <c r="D81" s="20" t="s">
        <v>194</v>
      </c>
      <c r="E81" s="20" t="s">
        <v>195</v>
      </c>
      <c r="F81" s="20">
        <v>32.622076710000002</v>
      </c>
      <c r="G81" s="20">
        <v>44.380430500000003</v>
      </c>
      <c r="H81" s="22">
        <v>5</v>
      </c>
      <c r="I81" s="22">
        <v>30</v>
      </c>
      <c r="J81" s="21">
        <v>5</v>
      </c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>
        <v>5</v>
      </c>
      <c r="AD81" s="21"/>
      <c r="AE81" s="21"/>
      <c r="AF81" s="21"/>
      <c r="AG81" s="21"/>
      <c r="AH81" s="21"/>
      <c r="AI81" s="21"/>
      <c r="AJ81" s="21"/>
      <c r="AK81" s="21"/>
      <c r="AL81" s="21"/>
      <c r="AM81" s="21">
        <v>1</v>
      </c>
      <c r="AN81" s="21"/>
      <c r="AO81" s="21"/>
      <c r="AP81" s="21">
        <v>4</v>
      </c>
      <c r="AQ81" s="21"/>
      <c r="AR81" s="21"/>
      <c r="AS81" s="21"/>
      <c r="AT81" s="12" t="str">
        <f>HYPERLINK("http://www.openstreetmap.org/?mlat=32.6221&amp;mlon=44.3804&amp;zoom=12#map=12/32.6221/44.3804","Maplink1")</f>
        <v>Maplink1</v>
      </c>
      <c r="AU81" s="12" t="str">
        <f>HYPERLINK("https://www.google.iq/maps/search/+32.6221,44.3804/@32.6221,44.3804,14z?hl=en","Maplink2")</f>
        <v>Maplink2</v>
      </c>
      <c r="AV81" s="12" t="str">
        <f>HYPERLINK("http://www.bing.com/maps/?lvl=14&amp;sty=h&amp;cp=32.6221~44.3804&amp;sp=point.32.6221_44.3804","Maplink3")</f>
        <v>Maplink3</v>
      </c>
    </row>
    <row r="82" spans="1:48" ht="15" customHeight="1" x14ac:dyDescent="0.25">
      <c r="A82" s="19">
        <v>25712</v>
      </c>
      <c r="B82" s="20" t="s">
        <v>10</v>
      </c>
      <c r="C82" s="20" t="s">
        <v>184</v>
      </c>
      <c r="D82" s="20" t="s">
        <v>196</v>
      </c>
      <c r="E82" s="20" t="s">
        <v>197</v>
      </c>
      <c r="F82" s="20">
        <v>32.654354789999999</v>
      </c>
      <c r="G82" s="20">
        <v>44.370916710000003</v>
      </c>
      <c r="H82" s="22">
        <v>3</v>
      </c>
      <c r="I82" s="22">
        <v>18</v>
      </c>
      <c r="J82" s="21"/>
      <c r="K82" s="21">
        <v>3</v>
      </c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>
        <v>3</v>
      </c>
      <c r="AI82" s="21"/>
      <c r="AJ82" s="21"/>
      <c r="AK82" s="21"/>
      <c r="AL82" s="21"/>
      <c r="AM82" s="21">
        <v>3</v>
      </c>
      <c r="AN82" s="21"/>
      <c r="AO82" s="21"/>
      <c r="AP82" s="21"/>
      <c r="AQ82" s="21"/>
      <c r="AR82" s="21"/>
      <c r="AS82" s="21"/>
      <c r="AT82" s="12" t="str">
        <f>HYPERLINK("http://www.openstreetmap.org/?mlat=32.6544&amp;mlon=44.3709&amp;zoom=12#map=12/32.6544/44.3709","Maplink1")</f>
        <v>Maplink1</v>
      </c>
      <c r="AU82" s="12" t="str">
        <f>HYPERLINK("https://www.google.iq/maps/search/+32.6544,44.3709/@32.6544,44.3709,14z?hl=en","Maplink2")</f>
        <v>Maplink2</v>
      </c>
      <c r="AV82" s="12" t="str">
        <f>HYPERLINK("http://www.bing.com/maps/?lvl=14&amp;sty=h&amp;cp=32.6544~44.3709&amp;sp=point.32.6544_44.3709","Maplink3")</f>
        <v>Maplink3</v>
      </c>
    </row>
    <row r="83" spans="1:48" ht="15" customHeight="1" x14ac:dyDescent="0.25">
      <c r="A83" s="19">
        <v>24517</v>
      </c>
      <c r="B83" s="20" t="s">
        <v>10</v>
      </c>
      <c r="C83" s="20" t="s">
        <v>184</v>
      </c>
      <c r="D83" s="20" t="s">
        <v>198</v>
      </c>
      <c r="E83" s="20" t="s">
        <v>199</v>
      </c>
      <c r="F83" s="20">
        <v>32.534100000000002</v>
      </c>
      <c r="G83" s="20">
        <v>44.48772314</v>
      </c>
      <c r="H83" s="22">
        <v>1</v>
      </c>
      <c r="I83" s="22">
        <v>6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>
        <v>1</v>
      </c>
      <c r="W83" s="21"/>
      <c r="X83" s="21"/>
      <c r="Y83" s="21"/>
      <c r="Z83" s="21"/>
      <c r="AA83" s="21"/>
      <c r="AB83" s="21"/>
      <c r="AC83" s="21">
        <v>1</v>
      </c>
      <c r="AD83" s="21"/>
      <c r="AE83" s="21"/>
      <c r="AF83" s="21"/>
      <c r="AG83" s="21"/>
      <c r="AH83" s="21"/>
      <c r="AI83" s="21"/>
      <c r="AJ83" s="21"/>
      <c r="AK83" s="21"/>
      <c r="AL83" s="21"/>
      <c r="AM83" s="21">
        <v>1</v>
      </c>
      <c r="AN83" s="21"/>
      <c r="AO83" s="21"/>
      <c r="AP83" s="21"/>
      <c r="AQ83" s="21"/>
      <c r="AR83" s="21"/>
      <c r="AS83" s="21"/>
      <c r="AT83" s="12" t="str">
        <f>HYPERLINK("http://www.openstreetmap.org/?mlat=32.5341&amp;mlon=44.4877&amp;zoom=12#map=12/32.5341/44.4877","Maplink1")</f>
        <v>Maplink1</v>
      </c>
      <c r="AU83" s="12" t="str">
        <f>HYPERLINK("https://www.google.iq/maps/search/+32.5341,44.4877/@32.5341,44.4877,14z?hl=en","Maplink2")</f>
        <v>Maplink2</v>
      </c>
      <c r="AV83" s="12" t="str">
        <f>HYPERLINK("http://www.bing.com/maps/?lvl=14&amp;sty=h&amp;cp=32.5341~44.4877&amp;sp=point.32.5341_44.4877","Maplink3")</f>
        <v>Maplink3</v>
      </c>
    </row>
    <row r="84" spans="1:48" ht="15" customHeight="1" x14ac:dyDescent="0.25">
      <c r="A84" s="19">
        <v>25617</v>
      </c>
      <c r="B84" s="20" t="s">
        <v>10</v>
      </c>
      <c r="C84" s="20" t="s">
        <v>184</v>
      </c>
      <c r="D84" s="20" t="s">
        <v>200</v>
      </c>
      <c r="E84" s="20" t="s">
        <v>201</v>
      </c>
      <c r="F84" s="20">
        <v>32.673334230000002</v>
      </c>
      <c r="G84" s="20">
        <v>44.39856417</v>
      </c>
      <c r="H84" s="22">
        <v>5</v>
      </c>
      <c r="I84" s="22">
        <v>30</v>
      </c>
      <c r="J84" s="21">
        <v>1</v>
      </c>
      <c r="K84" s="21">
        <v>4</v>
      </c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>
        <v>5</v>
      </c>
      <c r="AI84" s="21"/>
      <c r="AJ84" s="21"/>
      <c r="AK84" s="21"/>
      <c r="AL84" s="21"/>
      <c r="AM84" s="21"/>
      <c r="AN84" s="21">
        <v>4</v>
      </c>
      <c r="AO84" s="21">
        <v>1</v>
      </c>
      <c r="AP84" s="21"/>
      <c r="AQ84" s="21"/>
      <c r="AR84" s="21"/>
      <c r="AS84" s="21"/>
      <c r="AT84" s="12" t="str">
        <f>HYPERLINK("http://www.openstreetmap.org/?mlat=32.6733&amp;mlon=44.3986&amp;zoom=12#map=12/32.6733/44.3986","Maplink1")</f>
        <v>Maplink1</v>
      </c>
      <c r="AU84" s="12" t="str">
        <f>HYPERLINK("https://www.google.iq/maps/search/+32.6733,44.3986/@32.6733,44.3986,14z?hl=en","Maplink2")</f>
        <v>Maplink2</v>
      </c>
      <c r="AV84" s="12" t="str">
        <f>HYPERLINK("http://www.bing.com/maps/?lvl=14&amp;sty=h&amp;cp=32.6733~44.3986&amp;sp=point.32.6733_44.3986","Maplink3")</f>
        <v>Maplink3</v>
      </c>
    </row>
    <row r="85" spans="1:48" ht="15" customHeight="1" x14ac:dyDescent="0.25">
      <c r="A85" s="19">
        <v>24467</v>
      </c>
      <c r="B85" s="20" t="s">
        <v>10</v>
      </c>
      <c r="C85" s="20" t="s">
        <v>184</v>
      </c>
      <c r="D85" s="20" t="s">
        <v>202</v>
      </c>
      <c r="E85" s="20" t="s">
        <v>203</v>
      </c>
      <c r="F85" s="20">
        <v>32.783203</v>
      </c>
      <c r="G85" s="20">
        <v>44.421208999999998</v>
      </c>
      <c r="H85" s="22">
        <v>4</v>
      </c>
      <c r="I85" s="22">
        <v>24</v>
      </c>
      <c r="J85" s="21">
        <v>3</v>
      </c>
      <c r="K85" s="21">
        <v>1</v>
      </c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>
        <v>4</v>
      </c>
      <c r="AI85" s="21"/>
      <c r="AJ85" s="21"/>
      <c r="AK85" s="21"/>
      <c r="AL85" s="21"/>
      <c r="AM85" s="21">
        <v>3</v>
      </c>
      <c r="AN85" s="21">
        <v>1</v>
      </c>
      <c r="AO85" s="21"/>
      <c r="AP85" s="21"/>
      <c r="AQ85" s="21"/>
      <c r="AR85" s="21"/>
      <c r="AS85" s="21"/>
      <c r="AT85" s="12" t="str">
        <f>HYPERLINK("http://www.openstreetmap.org/?mlat=32.7832&amp;mlon=44.4212&amp;zoom=12#map=12/32.7832/44.4212","Maplink1")</f>
        <v>Maplink1</v>
      </c>
      <c r="AU85" s="12" t="str">
        <f>HYPERLINK("https://www.google.iq/maps/search/+32.7832,44.4212/@32.7832,44.4212,14z?hl=en","Maplink2")</f>
        <v>Maplink2</v>
      </c>
      <c r="AV85" s="12" t="str">
        <f>HYPERLINK("http://www.bing.com/maps/?lvl=14&amp;sty=h&amp;cp=32.7832~44.4212&amp;sp=point.32.7832_44.4212","Maplink3")</f>
        <v>Maplink3</v>
      </c>
    </row>
    <row r="86" spans="1:48" ht="15" customHeight="1" x14ac:dyDescent="0.25">
      <c r="A86" s="19">
        <v>24465</v>
      </c>
      <c r="B86" s="20" t="s">
        <v>10</v>
      </c>
      <c r="C86" s="20" t="s">
        <v>184</v>
      </c>
      <c r="D86" s="20" t="s">
        <v>204</v>
      </c>
      <c r="E86" s="20" t="s">
        <v>205</v>
      </c>
      <c r="F86" s="20">
        <v>32.675797739499998</v>
      </c>
      <c r="G86" s="20">
        <v>44.400739071399997</v>
      </c>
      <c r="H86" s="22">
        <v>5</v>
      </c>
      <c r="I86" s="22">
        <v>30</v>
      </c>
      <c r="J86" s="21">
        <v>2</v>
      </c>
      <c r="K86" s="21">
        <v>2</v>
      </c>
      <c r="L86" s="21">
        <v>1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>
        <v>5</v>
      </c>
      <c r="AI86" s="21"/>
      <c r="AJ86" s="21"/>
      <c r="AK86" s="21"/>
      <c r="AL86" s="21"/>
      <c r="AM86" s="21">
        <v>5</v>
      </c>
      <c r="AN86" s="21"/>
      <c r="AO86" s="21"/>
      <c r="AP86" s="21"/>
      <c r="AQ86" s="21"/>
      <c r="AR86" s="21"/>
      <c r="AS86" s="21"/>
      <c r="AT86" s="12" t="str">
        <f>HYPERLINK("http://www.openstreetmap.org/?mlat=32.6758&amp;mlon=44.4007&amp;zoom=12#map=12/32.6758/44.4007","Maplink1")</f>
        <v>Maplink1</v>
      </c>
      <c r="AU86" s="12" t="str">
        <f>HYPERLINK("https://www.google.iq/maps/search/+32.6758,44.4007/@32.6758,44.4007,14z?hl=en","Maplink2")</f>
        <v>Maplink2</v>
      </c>
      <c r="AV86" s="12" t="str">
        <f>HYPERLINK("http://www.bing.com/maps/?lvl=14&amp;sty=h&amp;cp=32.6758~44.4007&amp;sp=point.32.6758_44.4007","Maplink3")</f>
        <v>Maplink3</v>
      </c>
    </row>
    <row r="87" spans="1:48" ht="15" customHeight="1" x14ac:dyDescent="0.25">
      <c r="A87" s="19">
        <v>24469</v>
      </c>
      <c r="B87" s="20" t="s">
        <v>10</v>
      </c>
      <c r="C87" s="20" t="s">
        <v>184</v>
      </c>
      <c r="D87" s="20" t="s">
        <v>206</v>
      </c>
      <c r="E87" s="20" t="s">
        <v>207</v>
      </c>
      <c r="F87" s="20">
        <v>32.568181199999998</v>
      </c>
      <c r="G87" s="20">
        <v>44.405737309999999</v>
      </c>
      <c r="H87" s="22">
        <v>4</v>
      </c>
      <c r="I87" s="22">
        <v>24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>
        <v>4</v>
      </c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>
        <v>4</v>
      </c>
      <c r="AI87" s="21"/>
      <c r="AJ87" s="21"/>
      <c r="AK87" s="21"/>
      <c r="AL87" s="21"/>
      <c r="AM87" s="21">
        <v>4</v>
      </c>
      <c r="AN87" s="21"/>
      <c r="AO87" s="21"/>
      <c r="AP87" s="21"/>
      <c r="AQ87" s="21"/>
      <c r="AR87" s="21"/>
      <c r="AS87" s="21"/>
      <c r="AT87" s="12" t="str">
        <f>HYPERLINK("http://www.openstreetmap.org/?mlat=32.5682&amp;mlon=44.4057&amp;zoom=12#map=12/32.5682/44.4057","Maplink1")</f>
        <v>Maplink1</v>
      </c>
      <c r="AU87" s="12" t="str">
        <f>HYPERLINK("https://www.google.iq/maps/search/+32.5682,44.4057/@32.5682,44.4057,14z?hl=en","Maplink2")</f>
        <v>Maplink2</v>
      </c>
      <c r="AV87" s="12" t="str">
        <f>HYPERLINK("http://www.bing.com/maps/?lvl=14&amp;sty=h&amp;cp=32.5682~44.4057&amp;sp=point.32.5682_44.4057","Maplink3")</f>
        <v>Maplink3</v>
      </c>
    </row>
    <row r="88" spans="1:48" ht="15" customHeight="1" x14ac:dyDescent="0.25">
      <c r="A88" s="19">
        <v>23964</v>
      </c>
      <c r="B88" s="20" t="s">
        <v>10</v>
      </c>
      <c r="C88" s="20" t="s">
        <v>184</v>
      </c>
      <c r="D88" s="20" t="s">
        <v>208</v>
      </c>
      <c r="E88" s="20" t="s">
        <v>209</v>
      </c>
      <c r="F88" s="20">
        <v>32.624214809999998</v>
      </c>
      <c r="G88" s="20">
        <v>44.38810917</v>
      </c>
      <c r="H88" s="22">
        <v>5</v>
      </c>
      <c r="I88" s="22">
        <v>30</v>
      </c>
      <c r="J88" s="21">
        <v>5</v>
      </c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>
        <v>5</v>
      </c>
      <c r="AI88" s="21"/>
      <c r="AJ88" s="21"/>
      <c r="AK88" s="21"/>
      <c r="AL88" s="21">
        <v>5</v>
      </c>
      <c r="AM88" s="21"/>
      <c r="AN88" s="21"/>
      <c r="AO88" s="21"/>
      <c r="AP88" s="21"/>
      <c r="AQ88" s="21"/>
      <c r="AR88" s="21"/>
      <c r="AS88" s="21"/>
      <c r="AT88" s="12" t="str">
        <f>HYPERLINK("http://www.openstreetmap.org/?mlat=32.6242&amp;mlon=44.3881&amp;zoom=12#map=12/32.6242/44.3881","Maplink1")</f>
        <v>Maplink1</v>
      </c>
      <c r="AU88" s="12" t="str">
        <f>HYPERLINK("https://www.google.iq/maps/search/+32.6242,44.3881/@32.6242,44.3881,14z?hl=en","Maplink2")</f>
        <v>Maplink2</v>
      </c>
      <c r="AV88" s="12" t="str">
        <f>HYPERLINK("http://www.bing.com/maps/?lvl=14&amp;sty=h&amp;cp=32.6242~44.3881&amp;sp=point.32.6242_44.3881","Maplink3")</f>
        <v>Maplink3</v>
      </c>
    </row>
    <row r="89" spans="1:48" ht="15" customHeight="1" x14ac:dyDescent="0.25">
      <c r="A89" s="19">
        <v>23942</v>
      </c>
      <c r="B89" s="20" t="s">
        <v>10</v>
      </c>
      <c r="C89" s="20" t="s">
        <v>184</v>
      </c>
      <c r="D89" s="20" t="s">
        <v>210</v>
      </c>
      <c r="E89" s="20" t="s">
        <v>211</v>
      </c>
      <c r="F89" s="20">
        <v>32.59838396</v>
      </c>
      <c r="G89" s="20">
        <v>44.4051562</v>
      </c>
      <c r="H89" s="22">
        <v>3</v>
      </c>
      <c r="I89" s="22">
        <v>18</v>
      </c>
      <c r="J89" s="21"/>
      <c r="K89" s="21">
        <v>3</v>
      </c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>
        <v>3</v>
      </c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>
        <v>3</v>
      </c>
      <c r="AQ89" s="21"/>
      <c r="AR89" s="21"/>
      <c r="AS89" s="21"/>
      <c r="AT89" s="12" t="str">
        <f>HYPERLINK("http://www.openstreetmap.org/?mlat=32.5984&amp;mlon=44.4052&amp;zoom=12#map=12/32.5984/44.4052","Maplink1")</f>
        <v>Maplink1</v>
      </c>
      <c r="AU89" s="12" t="str">
        <f>HYPERLINK("https://www.google.iq/maps/search/+32.5984,44.4052/@32.5984,44.4052,14z?hl=en","Maplink2")</f>
        <v>Maplink2</v>
      </c>
      <c r="AV89" s="12" t="str">
        <f>HYPERLINK("http://www.bing.com/maps/?lvl=14&amp;sty=h&amp;cp=32.5984~44.4052&amp;sp=point.32.5984_44.4052","Maplink3")</f>
        <v>Maplink3</v>
      </c>
    </row>
    <row r="90" spans="1:48" ht="15" customHeight="1" x14ac:dyDescent="0.25">
      <c r="A90" s="19">
        <v>7231</v>
      </c>
      <c r="B90" s="20" t="s">
        <v>10</v>
      </c>
      <c r="C90" s="20" t="s">
        <v>184</v>
      </c>
      <c r="D90" s="20" t="s">
        <v>212</v>
      </c>
      <c r="E90" s="20" t="s">
        <v>213</v>
      </c>
      <c r="F90" s="20">
        <v>32.589153940000003</v>
      </c>
      <c r="G90" s="20">
        <v>44.428405669999997</v>
      </c>
      <c r="H90" s="22">
        <v>1</v>
      </c>
      <c r="I90" s="22">
        <v>6</v>
      </c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>
        <v>1</v>
      </c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>
        <v>1</v>
      </c>
      <c r="AI90" s="21"/>
      <c r="AJ90" s="21"/>
      <c r="AK90" s="21"/>
      <c r="AL90" s="21"/>
      <c r="AM90" s="21">
        <v>1</v>
      </c>
      <c r="AN90" s="21"/>
      <c r="AO90" s="21"/>
      <c r="AP90" s="21"/>
      <c r="AQ90" s="21"/>
      <c r="AR90" s="21"/>
      <c r="AS90" s="21"/>
      <c r="AT90" s="12" t="str">
        <f>HYPERLINK("http://www.openstreetmap.org/?mlat=32.5892&amp;mlon=44.4284&amp;zoom=12#map=12/32.5892/44.4284","Maplink1")</f>
        <v>Maplink1</v>
      </c>
      <c r="AU90" s="12" t="str">
        <f>HYPERLINK("https://www.google.iq/maps/search/+32.5892,44.4284/@32.5892,44.4284,14z?hl=en","Maplink2")</f>
        <v>Maplink2</v>
      </c>
      <c r="AV90" s="12" t="str">
        <f>HYPERLINK("http://www.bing.com/maps/?lvl=14&amp;sty=h&amp;cp=32.5892~44.4284&amp;sp=point.32.5892_44.4284","Maplink3")</f>
        <v>Maplink3</v>
      </c>
    </row>
    <row r="91" spans="1:48" ht="15" customHeight="1" x14ac:dyDescent="0.25">
      <c r="A91" s="19">
        <v>24960</v>
      </c>
      <c r="B91" s="20" t="s">
        <v>10</v>
      </c>
      <c r="C91" s="20" t="s">
        <v>184</v>
      </c>
      <c r="D91" s="20" t="s">
        <v>214</v>
      </c>
      <c r="E91" s="20" t="s">
        <v>70</v>
      </c>
      <c r="F91" s="20">
        <v>32.65082203</v>
      </c>
      <c r="G91" s="20">
        <v>44.415416479999998</v>
      </c>
      <c r="H91" s="22">
        <v>3</v>
      </c>
      <c r="I91" s="22">
        <v>18</v>
      </c>
      <c r="J91" s="21">
        <v>3</v>
      </c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>
        <v>3</v>
      </c>
      <c r="AI91" s="21"/>
      <c r="AJ91" s="21"/>
      <c r="AK91" s="21"/>
      <c r="AL91" s="21"/>
      <c r="AM91" s="21"/>
      <c r="AN91" s="21"/>
      <c r="AO91" s="21">
        <v>3</v>
      </c>
      <c r="AP91" s="21"/>
      <c r="AQ91" s="21"/>
      <c r="AR91" s="21"/>
      <c r="AS91" s="21"/>
      <c r="AT91" s="12" t="str">
        <f>HYPERLINK("http://www.openstreetmap.org/?mlat=32.6508&amp;mlon=44.4154&amp;zoom=12#map=12/32.6508/44.4154","Maplink1")</f>
        <v>Maplink1</v>
      </c>
      <c r="AU91" s="12" t="str">
        <f>HYPERLINK("https://www.google.iq/maps/search/+32.6508,44.4154/@32.6508,44.4154,14z?hl=en","Maplink2")</f>
        <v>Maplink2</v>
      </c>
      <c r="AV91" s="12" t="str">
        <f>HYPERLINK("http://www.bing.com/maps/?lvl=14&amp;sty=h&amp;cp=32.6508~44.4154&amp;sp=point.32.6508_44.4154","Maplink3")</f>
        <v>Maplink3</v>
      </c>
    </row>
    <row r="92" spans="1:48" ht="15" customHeight="1" x14ac:dyDescent="0.25">
      <c r="A92" s="19">
        <v>28455</v>
      </c>
      <c r="B92" s="20" t="s">
        <v>10</v>
      </c>
      <c r="C92" s="20" t="s">
        <v>184</v>
      </c>
      <c r="D92" s="20" t="s">
        <v>215</v>
      </c>
      <c r="E92" s="20" t="s">
        <v>216</v>
      </c>
      <c r="F92" s="20">
        <v>32.64909402</v>
      </c>
      <c r="G92" s="20">
        <v>44.409018580000001</v>
      </c>
      <c r="H92" s="22">
        <v>4</v>
      </c>
      <c r="I92" s="22">
        <v>24</v>
      </c>
      <c r="J92" s="21"/>
      <c r="K92" s="21"/>
      <c r="L92" s="21">
        <v>4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>
        <v>4</v>
      </c>
      <c r="AI92" s="21"/>
      <c r="AJ92" s="21"/>
      <c r="AK92" s="21"/>
      <c r="AL92" s="21"/>
      <c r="AM92" s="21"/>
      <c r="AN92" s="21">
        <v>4</v>
      </c>
      <c r="AO92" s="21"/>
      <c r="AP92" s="21"/>
      <c r="AQ92" s="21"/>
      <c r="AR92" s="21"/>
      <c r="AS92" s="21"/>
      <c r="AT92" s="12" t="str">
        <f>HYPERLINK("http://www.openstreetmap.org/?mlat=32.6491&amp;mlon=44.409&amp;zoom=12#map=12/32.6491/44.409","Maplink1")</f>
        <v>Maplink1</v>
      </c>
      <c r="AU92" s="12" t="str">
        <f>HYPERLINK("https://www.google.iq/maps/search/+32.6491,44.409/@32.6491,44.409,14z?hl=en","Maplink2")</f>
        <v>Maplink2</v>
      </c>
      <c r="AV92" s="12" t="str">
        <f>HYPERLINK("http://www.bing.com/maps/?lvl=14&amp;sty=h&amp;cp=32.6491~44.409&amp;sp=point.32.6491_44.409","Maplink3")</f>
        <v>Maplink3</v>
      </c>
    </row>
    <row r="93" spans="1:48" ht="15" customHeight="1" x14ac:dyDescent="0.25">
      <c r="A93" s="19">
        <v>29699</v>
      </c>
      <c r="B93" s="20" t="s">
        <v>10</v>
      </c>
      <c r="C93" s="20" t="s">
        <v>184</v>
      </c>
      <c r="D93" s="20" t="s">
        <v>120</v>
      </c>
      <c r="E93" s="20" t="s">
        <v>121</v>
      </c>
      <c r="F93" s="20">
        <v>32.668776000000001</v>
      </c>
      <c r="G93" s="20">
        <v>44.403579000000001</v>
      </c>
      <c r="H93" s="22">
        <v>2</v>
      </c>
      <c r="I93" s="22">
        <v>12</v>
      </c>
      <c r="J93" s="21">
        <v>2</v>
      </c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>
        <v>2</v>
      </c>
      <c r="AI93" s="21"/>
      <c r="AJ93" s="21"/>
      <c r="AK93" s="21"/>
      <c r="AL93" s="21"/>
      <c r="AM93" s="21"/>
      <c r="AN93" s="21"/>
      <c r="AO93" s="21">
        <v>2</v>
      </c>
      <c r="AP93" s="21"/>
      <c r="AQ93" s="21"/>
      <c r="AR93" s="21"/>
      <c r="AS93" s="21"/>
      <c r="AT93" s="12" t="str">
        <f>HYPERLINK("http://www.openstreetmap.org/?mlat=32.6688&amp;mlon=44.4036&amp;zoom=12#map=12/32.6688/44.4036","Maplink1")</f>
        <v>Maplink1</v>
      </c>
      <c r="AU93" s="12" t="str">
        <f>HYPERLINK("https://www.google.iq/maps/search/+32.6688,44.4036/@32.6688,44.4036,14z?hl=en","Maplink2")</f>
        <v>Maplink2</v>
      </c>
      <c r="AV93" s="12" t="str">
        <f>HYPERLINK("http://www.bing.com/maps/?lvl=14&amp;sty=h&amp;cp=32.6688~44.4036&amp;sp=point.32.6688_44.4036","Maplink3")</f>
        <v>Maplink3</v>
      </c>
    </row>
    <row r="94" spans="1:48" ht="15" customHeight="1" x14ac:dyDescent="0.25">
      <c r="A94" s="19">
        <v>7169</v>
      </c>
      <c r="B94" s="20" t="s">
        <v>10</v>
      </c>
      <c r="C94" s="20" t="s">
        <v>184</v>
      </c>
      <c r="D94" s="20" t="s">
        <v>217</v>
      </c>
      <c r="E94" s="20" t="s">
        <v>218</v>
      </c>
      <c r="F94" s="20">
        <v>32.651337560000002</v>
      </c>
      <c r="G94" s="20">
        <v>44.404179030000002</v>
      </c>
      <c r="H94" s="22">
        <v>3</v>
      </c>
      <c r="I94" s="22">
        <v>18</v>
      </c>
      <c r="J94" s="21">
        <v>3</v>
      </c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>
        <v>3</v>
      </c>
      <c r="AI94" s="21"/>
      <c r="AJ94" s="21"/>
      <c r="AK94" s="21"/>
      <c r="AL94" s="21"/>
      <c r="AM94" s="21"/>
      <c r="AN94" s="21"/>
      <c r="AO94" s="21">
        <v>3</v>
      </c>
      <c r="AP94" s="21"/>
      <c r="AQ94" s="21"/>
      <c r="AR94" s="21"/>
      <c r="AS94" s="21"/>
      <c r="AT94" s="12" t="str">
        <f>HYPERLINK("http://www.openstreetmap.org/?mlat=32.6513&amp;mlon=44.4042&amp;zoom=12#map=12/32.6513/44.4042","Maplink1")</f>
        <v>Maplink1</v>
      </c>
      <c r="AU94" s="12" t="str">
        <f>HYPERLINK("https://www.google.iq/maps/search/+32.6513,44.4042/@32.6513,44.4042,14z?hl=en","Maplink2")</f>
        <v>Maplink2</v>
      </c>
      <c r="AV94" s="12" t="str">
        <f>HYPERLINK("http://www.bing.com/maps/?lvl=14&amp;sty=h&amp;cp=32.6513~44.4042&amp;sp=point.32.6513_44.4042","Maplink3")</f>
        <v>Maplink3</v>
      </c>
    </row>
    <row r="95" spans="1:48" ht="15" customHeight="1" x14ac:dyDescent="0.25">
      <c r="A95" s="19">
        <v>29509</v>
      </c>
      <c r="B95" s="20" t="s">
        <v>10</v>
      </c>
      <c r="C95" s="20" t="s">
        <v>184</v>
      </c>
      <c r="D95" s="20" t="s">
        <v>219</v>
      </c>
      <c r="E95" s="20" t="s">
        <v>220</v>
      </c>
      <c r="F95" s="20">
        <v>32.54206713</v>
      </c>
      <c r="G95" s="20">
        <v>44.55021258</v>
      </c>
      <c r="H95" s="22">
        <v>1</v>
      </c>
      <c r="I95" s="22">
        <v>6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>
        <v>1</v>
      </c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>
        <v>1</v>
      </c>
      <c r="AI95" s="21"/>
      <c r="AJ95" s="21"/>
      <c r="AK95" s="21"/>
      <c r="AL95" s="21"/>
      <c r="AM95" s="21">
        <v>1</v>
      </c>
      <c r="AN95" s="21"/>
      <c r="AO95" s="21"/>
      <c r="AP95" s="21"/>
      <c r="AQ95" s="21"/>
      <c r="AR95" s="21"/>
      <c r="AS95" s="21"/>
      <c r="AT95" s="12" t="str">
        <f>HYPERLINK("http://www.openstreetmap.org/?mlat=32.5421&amp;mlon=44.5502&amp;zoom=12#map=12/32.5421/44.5502","Maplink1")</f>
        <v>Maplink1</v>
      </c>
      <c r="AU95" s="12" t="str">
        <f>HYPERLINK("https://www.google.iq/maps/search/+32.5421,44.5502/@32.5421,44.5502,14z?hl=en","Maplink2")</f>
        <v>Maplink2</v>
      </c>
      <c r="AV95" s="12" t="str">
        <f>HYPERLINK("http://www.bing.com/maps/?lvl=14&amp;sty=h&amp;cp=32.5421~44.5502&amp;sp=point.32.5421_44.5502","Maplink3")</f>
        <v>Maplink3</v>
      </c>
    </row>
    <row r="96" spans="1:48" ht="15" customHeight="1" x14ac:dyDescent="0.25">
      <c r="A96" s="19">
        <v>20927</v>
      </c>
      <c r="B96" s="20" t="s">
        <v>10</v>
      </c>
      <c r="C96" s="20" t="s">
        <v>184</v>
      </c>
      <c r="D96" s="20" t="s">
        <v>221</v>
      </c>
      <c r="E96" s="20" t="s">
        <v>222</v>
      </c>
      <c r="F96" s="20">
        <v>32.666537380000001</v>
      </c>
      <c r="G96" s="20">
        <v>44.406010559999999</v>
      </c>
      <c r="H96" s="22">
        <v>3</v>
      </c>
      <c r="I96" s="22">
        <v>18</v>
      </c>
      <c r="J96" s="21"/>
      <c r="K96" s="21">
        <v>3</v>
      </c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>
        <v>3</v>
      </c>
      <c r="AI96" s="21"/>
      <c r="AJ96" s="21"/>
      <c r="AK96" s="21"/>
      <c r="AL96" s="21"/>
      <c r="AM96" s="21"/>
      <c r="AN96" s="21">
        <v>3</v>
      </c>
      <c r="AO96" s="21"/>
      <c r="AP96" s="21"/>
      <c r="AQ96" s="21"/>
      <c r="AR96" s="21"/>
      <c r="AS96" s="21"/>
      <c r="AT96" s="12" t="str">
        <f>HYPERLINK("http://www.openstreetmap.org/?mlat=32.6665&amp;mlon=44.406&amp;zoom=12#map=12/32.6665/44.406","Maplink1")</f>
        <v>Maplink1</v>
      </c>
      <c r="AU96" s="12" t="str">
        <f>HYPERLINK("https://www.google.iq/maps/search/+32.6665,44.406/@32.6665,44.406,14z?hl=en","Maplink2")</f>
        <v>Maplink2</v>
      </c>
      <c r="AV96" s="12" t="str">
        <f>HYPERLINK("http://www.bing.com/maps/?lvl=14&amp;sty=h&amp;cp=32.6665~44.406&amp;sp=point.32.6665_44.406","Maplink3")</f>
        <v>Maplink3</v>
      </c>
    </row>
    <row r="97" spans="1:48" ht="15" customHeight="1" x14ac:dyDescent="0.25">
      <c r="A97" s="19">
        <v>7202</v>
      </c>
      <c r="B97" s="20" t="s">
        <v>10</v>
      </c>
      <c r="C97" s="20" t="s">
        <v>184</v>
      </c>
      <c r="D97" s="20" t="s">
        <v>223</v>
      </c>
      <c r="E97" s="20" t="s">
        <v>224</v>
      </c>
      <c r="F97" s="20">
        <v>32.661520979999999</v>
      </c>
      <c r="G97" s="20">
        <v>44.410774170000003</v>
      </c>
      <c r="H97" s="22">
        <v>3</v>
      </c>
      <c r="I97" s="22">
        <v>18</v>
      </c>
      <c r="J97" s="21">
        <v>1</v>
      </c>
      <c r="K97" s="21"/>
      <c r="L97" s="21">
        <v>2</v>
      </c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>
        <v>3</v>
      </c>
      <c r="AI97" s="21"/>
      <c r="AJ97" s="21"/>
      <c r="AK97" s="21"/>
      <c r="AL97" s="21"/>
      <c r="AM97" s="21">
        <v>2</v>
      </c>
      <c r="AN97" s="21"/>
      <c r="AO97" s="21">
        <v>1</v>
      </c>
      <c r="AP97" s="21"/>
      <c r="AQ97" s="21"/>
      <c r="AR97" s="21"/>
      <c r="AS97" s="21"/>
      <c r="AT97" s="12" t="str">
        <f>HYPERLINK("http://www.openstreetmap.org/?mlat=32.6615&amp;mlon=44.4108&amp;zoom=12#map=12/32.6615/44.4108","Maplink1")</f>
        <v>Maplink1</v>
      </c>
      <c r="AU97" s="12" t="str">
        <f>HYPERLINK("https://www.google.iq/maps/search/+32.6615,44.4108/@32.6615,44.4108,14z?hl=en","Maplink2")</f>
        <v>Maplink2</v>
      </c>
      <c r="AV97" s="12" t="str">
        <f>HYPERLINK("http://www.bing.com/maps/?lvl=14&amp;sty=h&amp;cp=32.6615~44.4108&amp;sp=point.32.6615_44.4108","Maplink3")</f>
        <v>Maplink3</v>
      </c>
    </row>
    <row r="98" spans="1:48" ht="15" customHeight="1" x14ac:dyDescent="0.25">
      <c r="A98" s="19">
        <v>26094</v>
      </c>
      <c r="B98" s="20" t="s">
        <v>10</v>
      </c>
      <c r="C98" s="20" t="s">
        <v>184</v>
      </c>
      <c r="D98" s="20" t="s">
        <v>225</v>
      </c>
      <c r="E98" s="20" t="s">
        <v>226</v>
      </c>
      <c r="F98" s="20">
        <v>32.663860200000002</v>
      </c>
      <c r="G98" s="20">
        <v>44.400784700000003</v>
      </c>
      <c r="H98" s="22">
        <v>5</v>
      </c>
      <c r="I98" s="22">
        <v>30</v>
      </c>
      <c r="J98" s="21">
        <v>5</v>
      </c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>
        <v>5</v>
      </c>
      <c r="AI98" s="21"/>
      <c r="AJ98" s="21"/>
      <c r="AK98" s="21"/>
      <c r="AL98" s="21"/>
      <c r="AM98" s="21"/>
      <c r="AN98" s="21"/>
      <c r="AO98" s="21">
        <v>5</v>
      </c>
      <c r="AP98" s="21"/>
      <c r="AQ98" s="21"/>
      <c r="AR98" s="21"/>
      <c r="AS98" s="21"/>
      <c r="AT98" s="12" t="str">
        <f>HYPERLINK("http://www.openstreetmap.org/?mlat=32.6639&amp;mlon=44.4008&amp;zoom=12#map=12/32.6639/44.4008","Maplink1")</f>
        <v>Maplink1</v>
      </c>
      <c r="AU98" s="12" t="str">
        <f>HYPERLINK("https://www.google.iq/maps/search/+32.6639,44.4008/@32.6639,44.4008,14z?hl=en","Maplink2")</f>
        <v>Maplink2</v>
      </c>
      <c r="AV98" s="12" t="str">
        <f>HYPERLINK("http://www.bing.com/maps/?lvl=14&amp;sty=h&amp;cp=32.6639~44.4008&amp;sp=point.32.6639_44.4008","Maplink3")</f>
        <v>Maplink3</v>
      </c>
    </row>
    <row r="99" spans="1:48" ht="15" customHeight="1" x14ac:dyDescent="0.25">
      <c r="A99" s="19">
        <v>29511</v>
      </c>
      <c r="B99" s="20" t="s">
        <v>10</v>
      </c>
      <c r="C99" s="20" t="s">
        <v>184</v>
      </c>
      <c r="D99" s="20" t="s">
        <v>5955</v>
      </c>
      <c r="E99" s="20" t="s">
        <v>5956</v>
      </c>
      <c r="F99" s="20">
        <v>32.538902290000003</v>
      </c>
      <c r="G99" s="20">
        <v>44.551107430000002</v>
      </c>
      <c r="H99" s="22">
        <v>3</v>
      </c>
      <c r="I99" s="22">
        <v>18</v>
      </c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>
        <v>3</v>
      </c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>
        <v>3</v>
      </c>
      <c r="AI99" s="21"/>
      <c r="AJ99" s="21"/>
      <c r="AK99" s="21"/>
      <c r="AL99" s="21"/>
      <c r="AM99" s="21">
        <v>3</v>
      </c>
      <c r="AN99" s="21"/>
      <c r="AO99" s="21"/>
      <c r="AP99" s="21"/>
      <c r="AQ99" s="21"/>
      <c r="AR99" s="21"/>
      <c r="AS99" s="21"/>
      <c r="AT99" s="12" t="str">
        <f>HYPERLINK("http://www.openstreetmap.org/?mlat=32.5389&amp;mlon=44.5511&amp;zoom=12#map=12/32.5389/44.5511","Maplink1")</f>
        <v>Maplink1</v>
      </c>
      <c r="AU99" s="12" t="str">
        <f>HYPERLINK("https://www.google.iq/maps/search/+32.5389,44.5511/@32.5389,44.5511,14z?hl=en","Maplink2")</f>
        <v>Maplink2</v>
      </c>
      <c r="AV99" s="12" t="str">
        <f>HYPERLINK("http://www.bing.com/maps/?lvl=14&amp;sty=h&amp;cp=32.5389~44.5511&amp;sp=point.32.5389_44.5511","Maplink3")</f>
        <v>Maplink3</v>
      </c>
    </row>
    <row r="100" spans="1:48" ht="15" customHeight="1" x14ac:dyDescent="0.25">
      <c r="A100" s="19">
        <v>29510</v>
      </c>
      <c r="B100" s="20" t="s">
        <v>10</v>
      </c>
      <c r="C100" s="20" t="s">
        <v>184</v>
      </c>
      <c r="D100" s="20" t="s">
        <v>227</v>
      </c>
      <c r="E100" s="20" t="s">
        <v>228</v>
      </c>
      <c r="F100" s="20">
        <v>32.541539819999997</v>
      </c>
      <c r="G100" s="20">
        <v>44.546943300000002</v>
      </c>
      <c r="H100" s="22">
        <v>5</v>
      </c>
      <c r="I100" s="22">
        <v>30</v>
      </c>
      <c r="J100" s="21">
        <v>1</v>
      </c>
      <c r="K100" s="21"/>
      <c r="L100" s="21"/>
      <c r="M100" s="21"/>
      <c r="N100" s="21"/>
      <c r="O100" s="21"/>
      <c r="P100" s="21"/>
      <c r="Q100" s="21"/>
      <c r="R100" s="21">
        <v>1</v>
      </c>
      <c r="S100" s="21"/>
      <c r="T100" s="21"/>
      <c r="U100" s="21"/>
      <c r="V100" s="21">
        <v>3</v>
      </c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>
        <v>5</v>
      </c>
      <c r="AI100" s="21"/>
      <c r="AJ100" s="21"/>
      <c r="AK100" s="21"/>
      <c r="AL100" s="21"/>
      <c r="AM100" s="21">
        <v>3</v>
      </c>
      <c r="AN100" s="21"/>
      <c r="AO100" s="21">
        <v>1</v>
      </c>
      <c r="AP100" s="21"/>
      <c r="AQ100" s="21"/>
      <c r="AR100" s="21">
        <v>1</v>
      </c>
      <c r="AS100" s="21"/>
      <c r="AT100" s="12" t="str">
        <f>HYPERLINK("http://www.openstreetmap.org/?mlat=32.5415&amp;mlon=44.5469&amp;zoom=12#map=12/32.5415/44.5469","Maplink1")</f>
        <v>Maplink1</v>
      </c>
      <c r="AU100" s="12" t="str">
        <f>HYPERLINK("https://www.google.iq/maps/search/+32.5415,44.5469/@32.5415,44.5469,14z?hl=en","Maplink2")</f>
        <v>Maplink2</v>
      </c>
      <c r="AV100" s="12" t="str">
        <f>HYPERLINK("http://www.bing.com/maps/?lvl=14&amp;sty=h&amp;cp=32.5415~44.5469&amp;sp=point.32.5415_44.5469","Maplink3")</f>
        <v>Maplink3</v>
      </c>
    </row>
    <row r="101" spans="1:48" ht="15" customHeight="1" x14ac:dyDescent="0.25">
      <c r="A101" s="19">
        <v>29512</v>
      </c>
      <c r="B101" s="20" t="s">
        <v>10</v>
      </c>
      <c r="C101" s="20" t="s">
        <v>184</v>
      </c>
      <c r="D101" s="20" t="s">
        <v>5957</v>
      </c>
      <c r="E101" s="20" t="s">
        <v>229</v>
      </c>
      <c r="F101" s="20">
        <v>32.54331234</v>
      </c>
      <c r="G101" s="20">
        <v>44.542436850000001</v>
      </c>
      <c r="H101" s="22">
        <v>2</v>
      </c>
      <c r="I101" s="22">
        <v>12</v>
      </c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>
        <v>2</v>
      </c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>
        <v>2</v>
      </c>
      <c r="AI101" s="21"/>
      <c r="AJ101" s="21"/>
      <c r="AK101" s="21"/>
      <c r="AL101" s="21"/>
      <c r="AM101" s="21">
        <v>2</v>
      </c>
      <c r="AN101" s="21"/>
      <c r="AO101" s="21"/>
      <c r="AP101" s="21"/>
      <c r="AQ101" s="21"/>
      <c r="AR101" s="21"/>
      <c r="AS101" s="21"/>
      <c r="AT101" s="12" t="str">
        <f>HYPERLINK("http://www.openstreetmap.org/?mlat=32.5433&amp;mlon=44.5424&amp;zoom=12#map=12/32.5433/44.5424","Maplink1")</f>
        <v>Maplink1</v>
      </c>
      <c r="AU101" s="12" t="str">
        <f>HYPERLINK("https://www.google.iq/maps/search/+32.5433,44.5424/@32.5433,44.5424,14z?hl=en","Maplink2")</f>
        <v>Maplink2</v>
      </c>
      <c r="AV101" s="12" t="str">
        <f>HYPERLINK("http://www.bing.com/maps/?lvl=14&amp;sty=h&amp;cp=32.5433~44.5424&amp;sp=point.32.5433_44.5424","Maplink3")</f>
        <v>Maplink3</v>
      </c>
    </row>
    <row r="102" spans="1:48" ht="15" customHeight="1" x14ac:dyDescent="0.25">
      <c r="A102" s="19">
        <v>29518</v>
      </c>
      <c r="B102" s="20" t="s">
        <v>10</v>
      </c>
      <c r="C102" s="20" t="s">
        <v>184</v>
      </c>
      <c r="D102" s="20" t="s">
        <v>230</v>
      </c>
      <c r="E102" s="20" t="s">
        <v>231</v>
      </c>
      <c r="F102" s="20">
        <v>32.545331169999997</v>
      </c>
      <c r="G102" s="20">
        <v>44.54662579</v>
      </c>
      <c r="H102" s="22">
        <v>2</v>
      </c>
      <c r="I102" s="22">
        <v>12</v>
      </c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>
        <v>2</v>
      </c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>
        <v>2</v>
      </c>
      <c r="AI102" s="21"/>
      <c r="AJ102" s="21"/>
      <c r="AK102" s="21"/>
      <c r="AL102" s="21"/>
      <c r="AM102" s="21">
        <v>2</v>
      </c>
      <c r="AN102" s="21"/>
      <c r="AO102" s="21"/>
      <c r="AP102" s="21"/>
      <c r="AQ102" s="21"/>
      <c r="AR102" s="21"/>
      <c r="AS102" s="21"/>
      <c r="AT102" s="12" t="str">
        <f>HYPERLINK("http://www.openstreetmap.org/?mlat=32.5453&amp;mlon=44.5466&amp;zoom=12#map=12/32.5453/44.5466","Maplink1")</f>
        <v>Maplink1</v>
      </c>
      <c r="AU102" s="12" t="str">
        <f>HYPERLINK("https://www.google.iq/maps/search/+32.5453,44.5466/@32.5453,44.5466,14z?hl=en","Maplink2")</f>
        <v>Maplink2</v>
      </c>
      <c r="AV102" s="12" t="str">
        <f>HYPERLINK("http://www.bing.com/maps/?lvl=14&amp;sty=h&amp;cp=32.5453~44.5466&amp;sp=point.32.5453_44.5466","Maplink3")</f>
        <v>Maplink3</v>
      </c>
    </row>
    <row r="103" spans="1:48" ht="15" customHeight="1" x14ac:dyDescent="0.25">
      <c r="A103" s="19">
        <v>26096</v>
      </c>
      <c r="B103" s="20" t="s">
        <v>10</v>
      </c>
      <c r="C103" s="20" t="s">
        <v>184</v>
      </c>
      <c r="D103" s="20" t="s">
        <v>232</v>
      </c>
      <c r="E103" s="20" t="s">
        <v>233</v>
      </c>
      <c r="F103" s="20">
        <v>32.649336380000001</v>
      </c>
      <c r="G103" s="20">
        <v>44.410342419999999</v>
      </c>
      <c r="H103" s="22">
        <v>3</v>
      </c>
      <c r="I103" s="22">
        <v>18</v>
      </c>
      <c r="J103" s="21">
        <v>2</v>
      </c>
      <c r="K103" s="21"/>
      <c r="L103" s="21">
        <v>1</v>
      </c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>
        <v>3</v>
      </c>
      <c r="AI103" s="21"/>
      <c r="AJ103" s="21"/>
      <c r="AK103" s="21"/>
      <c r="AL103" s="21"/>
      <c r="AM103" s="21"/>
      <c r="AN103" s="21">
        <v>1</v>
      </c>
      <c r="AO103" s="21"/>
      <c r="AP103" s="21">
        <v>2</v>
      </c>
      <c r="AQ103" s="21"/>
      <c r="AR103" s="21"/>
      <c r="AS103" s="21"/>
      <c r="AT103" s="12" t="str">
        <f>HYPERLINK("http://www.openstreetmap.org/?mlat=32.6493&amp;mlon=44.4103&amp;zoom=12#map=12/32.6493/44.4103","Maplink1")</f>
        <v>Maplink1</v>
      </c>
      <c r="AU103" s="12" t="str">
        <f>HYPERLINK("https://www.google.iq/maps/search/+32.6493,44.4103/@32.6493,44.4103,14z?hl=en","Maplink2")</f>
        <v>Maplink2</v>
      </c>
      <c r="AV103" s="12" t="str">
        <f>HYPERLINK("http://www.bing.com/maps/?lvl=14&amp;sty=h&amp;cp=32.6493~44.4103&amp;sp=point.32.6493_44.4103","Maplink3")</f>
        <v>Maplink3</v>
      </c>
    </row>
    <row r="104" spans="1:48" ht="15" customHeight="1" x14ac:dyDescent="0.25">
      <c r="A104" s="19">
        <v>6365</v>
      </c>
      <c r="B104" s="20" t="s">
        <v>10</v>
      </c>
      <c r="C104" s="20" t="s">
        <v>184</v>
      </c>
      <c r="D104" s="20" t="s">
        <v>234</v>
      </c>
      <c r="E104" s="20" t="s">
        <v>235</v>
      </c>
      <c r="F104" s="20">
        <v>32.772672</v>
      </c>
      <c r="G104" s="20">
        <v>44.588427000000003</v>
      </c>
      <c r="H104" s="22">
        <v>7</v>
      </c>
      <c r="I104" s="22">
        <v>42</v>
      </c>
      <c r="J104" s="21"/>
      <c r="K104" s="21">
        <v>5</v>
      </c>
      <c r="L104" s="21">
        <v>2</v>
      </c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>
        <v>7</v>
      </c>
      <c r="AI104" s="21"/>
      <c r="AJ104" s="21"/>
      <c r="AK104" s="21"/>
      <c r="AL104" s="21"/>
      <c r="AM104" s="21">
        <v>2</v>
      </c>
      <c r="AN104" s="21">
        <v>5</v>
      </c>
      <c r="AO104" s="21"/>
      <c r="AP104" s="21"/>
      <c r="AQ104" s="21"/>
      <c r="AR104" s="21"/>
      <c r="AS104" s="21"/>
      <c r="AT104" s="12" t="str">
        <f>HYPERLINK("http://www.openstreetmap.org/?mlat=32.7727&amp;mlon=44.5884&amp;zoom=12#map=12/32.7727/44.5884","Maplink1")</f>
        <v>Maplink1</v>
      </c>
      <c r="AU104" s="12" t="str">
        <f>HYPERLINK("https://www.google.iq/maps/search/+32.7727,44.5884/@32.7727,44.5884,14z?hl=en","Maplink2")</f>
        <v>Maplink2</v>
      </c>
      <c r="AV104" s="12" t="str">
        <f>HYPERLINK("http://www.bing.com/maps/?lvl=14&amp;sty=h&amp;cp=32.7727~44.5884&amp;sp=point.32.7727_44.5884","Maplink3")</f>
        <v>Maplink3</v>
      </c>
    </row>
    <row r="105" spans="1:48" ht="15" customHeight="1" x14ac:dyDescent="0.25">
      <c r="A105" s="19">
        <v>7128</v>
      </c>
      <c r="B105" s="20" t="s">
        <v>10</v>
      </c>
      <c r="C105" s="20" t="s">
        <v>236</v>
      </c>
      <c r="D105" s="20" t="s">
        <v>237</v>
      </c>
      <c r="E105" s="20" t="s">
        <v>238</v>
      </c>
      <c r="F105" s="20">
        <v>32.831485999999998</v>
      </c>
      <c r="G105" s="20">
        <v>44.278015000000003</v>
      </c>
      <c r="H105" s="22">
        <v>119</v>
      </c>
      <c r="I105" s="22">
        <v>714</v>
      </c>
      <c r="J105" s="21"/>
      <c r="K105" s="21">
        <v>119</v>
      </c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>
        <v>119</v>
      </c>
      <c r="AI105" s="21"/>
      <c r="AJ105" s="21"/>
      <c r="AK105" s="21"/>
      <c r="AL105" s="21"/>
      <c r="AM105" s="21">
        <v>65</v>
      </c>
      <c r="AN105" s="21"/>
      <c r="AO105" s="21">
        <v>54</v>
      </c>
      <c r="AP105" s="21"/>
      <c r="AQ105" s="21"/>
      <c r="AR105" s="21"/>
      <c r="AS105" s="21"/>
      <c r="AT105" s="12" t="str">
        <f>HYPERLINK("http://www.openstreetmap.org/?mlat=32.8315&amp;mlon=44.278&amp;zoom=12#map=12/32.8315/44.278","Maplink1")</f>
        <v>Maplink1</v>
      </c>
      <c r="AU105" s="12" t="str">
        <f>HYPERLINK("https://www.google.iq/maps/search/+32.8315,44.278/@32.8315,44.278,14z?hl=en","Maplink2")</f>
        <v>Maplink2</v>
      </c>
      <c r="AV105" s="12" t="str">
        <f>HYPERLINK("http://www.bing.com/maps/?lvl=14&amp;sty=h&amp;cp=32.8315~44.278&amp;sp=point.32.8315_44.278","Maplink3")</f>
        <v>Maplink3</v>
      </c>
    </row>
    <row r="106" spans="1:48" ht="15" customHeight="1" x14ac:dyDescent="0.25">
      <c r="A106" s="19">
        <v>24957</v>
      </c>
      <c r="B106" s="20" t="s">
        <v>10</v>
      </c>
      <c r="C106" s="20" t="s">
        <v>236</v>
      </c>
      <c r="D106" s="20" t="s">
        <v>239</v>
      </c>
      <c r="E106" s="20" t="s">
        <v>240</v>
      </c>
      <c r="F106" s="20">
        <v>32.806707529999997</v>
      </c>
      <c r="G106" s="20">
        <v>44.267913010000001</v>
      </c>
      <c r="H106" s="22">
        <v>51</v>
      </c>
      <c r="I106" s="22">
        <v>306</v>
      </c>
      <c r="J106" s="21"/>
      <c r="K106" s="21">
        <v>51</v>
      </c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>
        <v>51</v>
      </c>
      <c r="AI106" s="21"/>
      <c r="AJ106" s="21"/>
      <c r="AK106" s="21"/>
      <c r="AL106" s="21"/>
      <c r="AM106" s="21">
        <v>39</v>
      </c>
      <c r="AN106" s="21">
        <v>12</v>
      </c>
      <c r="AO106" s="21"/>
      <c r="AP106" s="21"/>
      <c r="AQ106" s="21"/>
      <c r="AR106" s="21"/>
      <c r="AS106" s="21"/>
      <c r="AT106" s="12" t="str">
        <f>HYPERLINK("http://www.openstreetmap.org/?mlat=32.8067&amp;mlon=44.2679&amp;zoom=12#map=12/32.8067/44.2679","Maplink1")</f>
        <v>Maplink1</v>
      </c>
      <c r="AU106" s="12" t="str">
        <f>HYPERLINK("https://www.google.iq/maps/search/+32.8067,44.2679/@32.8067,44.2679,14z?hl=en","Maplink2")</f>
        <v>Maplink2</v>
      </c>
      <c r="AV106" s="12" t="str">
        <f>HYPERLINK("http://www.bing.com/maps/?lvl=14&amp;sty=h&amp;cp=32.8067~44.2679&amp;sp=point.32.8067_44.2679","Maplink3")</f>
        <v>Maplink3</v>
      </c>
    </row>
    <row r="107" spans="1:48" ht="15" customHeight="1" x14ac:dyDescent="0.25">
      <c r="A107" s="19">
        <v>28454</v>
      </c>
      <c r="B107" s="20" t="s">
        <v>10</v>
      </c>
      <c r="C107" s="20" t="s">
        <v>236</v>
      </c>
      <c r="D107" s="20" t="s">
        <v>241</v>
      </c>
      <c r="E107" s="20" t="s">
        <v>242</v>
      </c>
      <c r="F107" s="20">
        <v>32.793357999999998</v>
      </c>
      <c r="G107" s="20">
        <v>44.314793000000002</v>
      </c>
      <c r="H107" s="22">
        <v>8</v>
      </c>
      <c r="I107" s="22">
        <v>48</v>
      </c>
      <c r="J107" s="21"/>
      <c r="K107" s="21">
        <v>3</v>
      </c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>
        <v>5</v>
      </c>
      <c r="W107" s="21"/>
      <c r="X107" s="21"/>
      <c r="Y107" s="21"/>
      <c r="Z107" s="21"/>
      <c r="AA107" s="21"/>
      <c r="AB107" s="21"/>
      <c r="AC107" s="21">
        <v>8</v>
      </c>
      <c r="AD107" s="21"/>
      <c r="AE107" s="21"/>
      <c r="AF107" s="21"/>
      <c r="AG107" s="21"/>
      <c r="AH107" s="21"/>
      <c r="AI107" s="21"/>
      <c r="AJ107" s="21"/>
      <c r="AK107" s="21"/>
      <c r="AL107" s="21"/>
      <c r="AM107" s="21">
        <v>5</v>
      </c>
      <c r="AN107" s="21">
        <v>3</v>
      </c>
      <c r="AO107" s="21"/>
      <c r="AP107" s="21"/>
      <c r="AQ107" s="21"/>
      <c r="AR107" s="21"/>
      <c r="AS107" s="21"/>
      <c r="AT107" s="12" t="str">
        <f>HYPERLINK("http://www.openstreetmap.org/?mlat=32.7934&amp;mlon=44.3148&amp;zoom=12#map=12/32.7934/44.3148","Maplink1")</f>
        <v>Maplink1</v>
      </c>
      <c r="AU107" s="12" t="str">
        <f>HYPERLINK("https://www.google.iq/maps/search/+32.7934,44.3148/@32.7934,44.3148,14z?hl=en","Maplink2")</f>
        <v>Maplink2</v>
      </c>
      <c r="AV107" s="12" t="str">
        <f>HYPERLINK("http://www.bing.com/maps/?lvl=14&amp;sty=h&amp;cp=32.7934~44.3148&amp;sp=point.32.7934_44.3148","Maplink3")</f>
        <v>Maplink3</v>
      </c>
    </row>
    <row r="108" spans="1:48" ht="15" customHeight="1" x14ac:dyDescent="0.25">
      <c r="A108" s="19">
        <v>24168</v>
      </c>
      <c r="B108" s="20" t="s">
        <v>10</v>
      </c>
      <c r="C108" s="20" t="s">
        <v>236</v>
      </c>
      <c r="D108" s="20" t="s">
        <v>243</v>
      </c>
      <c r="E108" s="20" t="s">
        <v>244</v>
      </c>
      <c r="F108" s="20">
        <v>32.784396039999997</v>
      </c>
      <c r="G108" s="20">
        <v>44.268306459999998</v>
      </c>
      <c r="H108" s="22">
        <v>78</v>
      </c>
      <c r="I108" s="22">
        <v>468</v>
      </c>
      <c r="J108" s="21"/>
      <c r="K108" s="21">
        <v>78</v>
      </c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>
        <v>78</v>
      </c>
      <c r="AI108" s="21"/>
      <c r="AJ108" s="21"/>
      <c r="AK108" s="21"/>
      <c r="AL108" s="21"/>
      <c r="AM108" s="21">
        <v>78</v>
      </c>
      <c r="AN108" s="21"/>
      <c r="AO108" s="21"/>
      <c r="AP108" s="21"/>
      <c r="AQ108" s="21"/>
      <c r="AR108" s="21"/>
      <c r="AS108" s="21"/>
      <c r="AT108" s="12" t="str">
        <f>HYPERLINK("http://www.openstreetmap.org/?mlat=32.7844&amp;mlon=44.2683&amp;zoom=12#map=12/32.7844/44.2683","Maplink1")</f>
        <v>Maplink1</v>
      </c>
      <c r="AU108" s="12" t="str">
        <f>HYPERLINK("https://www.google.iq/maps/search/+32.7844,44.2683/@32.7844,44.2683,14z?hl=en","Maplink2")</f>
        <v>Maplink2</v>
      </c>
      <c r="AV108" s="12" t="str">
        <f>HYPERLINK("http://www.bing.com/maps/?lvl=14&amp;sty=h&amp;cp=32.7844~44.2683&amp;sp=point.32.7844_44.2683","Maplink3")</f>
        <v>Maplink3</v>
      </c>
    </row>
    <row r="109" spans="1:48" ht="15" customHeight="1" x14ac:dyDescent="0.25">
      <c r="A109" s="19">
        <v>24164</v>
      </c>
      <c r="B109" s="20" t="s">
        <v>10</v>
      </c>
      <c r="C109" s="20" t="s">
        <v>236</v>
      </c>
      <c r="D109" s="20" t="s">
        <v>245</v>
      </c>
      <c r="E109" s="20" t="s">
        <v>246</v>
      </c>
      <c r="F109" s="20">
        <v>32.803550029999997</v>
      </c>
      <c r="G109" s="20">
        <v>44.270416769999997</v>
      </c>
      <c r="H109" s="22">
        <v>83</v>
      </c>
      <c r="I109" s="22">
        <v>498</v>
      </c>
      <c r="J109" s="21"/>
      <c r="K109" s="21">
        <v>83</v>
      </c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>
        <v>83</v>
      </c>
      <c r="AI109" s="21"/>
      <c r="AJ109" s="21"/>
      <c r="AK109" s="21"/>
      <c r="AL109" s="21"/>
      <c r="AM109" s="21">
        <v>83</v>
      </c>
      <c r="AN109" s="21"/>
      <c r="AO109" s="21"/>
      <c r="AP109" s="21"/>
      <c r="AQ109" s="21"/>
      <c r="AR109" s="21"/>
      <c r="AS109" s="21"/>
      <c r="AT109" s="12" t="str">
        <f>HYPERLINK("http://www.openstreetmap.org/?mlat=32.8036&amp;mlon=44.2704&amp;zoom=12#map=12/32.8036/44.2704","Maplink1")</f>
        <v>Maplink1</v>
      </c>
      <c r="AU109" s="12" t="str">
        <f>HYPERLINK("https://www.google.iq/maps/search/+32.8036,44.2704/@32.8036,44.2704,14z?hl=en","Maplink2")</f>
        <v>Maplink2</v>
      </c>
      <c r="AV109" s="12" t="str">
        <f>HYPERLINK("http://www.bing.com/maps/?lvl=14&amp;sty=h&amp;cp=32.8036~44.2704&amp;sp=point.32.8036_44.2704","Maplink3")</f>
        <v>Maplink3</v>
      </c>
    </row>
    <row r="110" spans="1:48" ht="15" customHeight="1" x14ac:dyDescent="0.25">
      <c r="A110" s="19">
        <v>26117</v>
      </c>
      <c r="B110" s="20" t="s">
        <v>10</v>
      </c>
      <c r="C110" s="20" t="s">
        <v>236</v>
      </c>
      <c r="D110" s="20" t="s">
        <v>247</v>
      </c>
      <c r="E110" s="20" t="s">
        <v>248</v>
      </c>
      <c r="F110" s="20">
        <v>32.796993409999999</v>
      </c>
      <c r="G110" s="20">
        <v>44.273182800000001</v>
      </c>
      <c r="H110" s="22">
        <v>64</v>
      </c>
      <c r="I110" s="22">
        <v>384</v>
      </c>
      <c r="J110" s="21"/>
      <c r="K110" s="21">
        <v>64</v>
      </c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>
        <v>64</v>
      </c>
      <c r="AI110" s="21"/>
      <c r="AJ110" s="21"/>
      <c r="AK110" s="21"/>
      <c r="AL110" s="21"/>
      <c r="AM110" s="21">
        <v>64</v>
      </c>
      <c r="AN110" s="21"/>
      <c r="AO110" s="21"/>
      <c r="AP110" s="21"/>
      <c r="AQ110" s="21"/>
      <c r="AR110" s="21"/>
      <c r="AS110" s="21"/>
      <c r="AT110" s="12" t="str">
        <f>HYPERLINK("http://www.openstreetmap.org/?mlat=32.797&amp;mlon=44.2732&amp;zoom=12#map=12/32.797/44.2732","Maplink1")</f>
        <v>Maplink1</v>
      </c>
      <c r="AU110" s="12" t="str">
        <f>HYPERLINK("https://www.google.iq/maps/search/+32.797,44.2732/@32.797,44.2732,14z?hl=en","Maplink2")</f>
        <v>Maplink2</v>
      </c>
      <c r="AV110" s="12" t="str">
        <f>HYPERLINK("http://www.bing.com/maps/?lvl=14&amp;sty=h&amp;cp=32.797~44.2732&amp;sp=point.32.797_44.2732","Maplink3")</f>
        <v>Maplink3</v>
      </c>
    </row>
    <row r="111" spans="1:48" ht="15" customHeight="1" x14ac:dyDescent="0.25">
      <c r="A111" s="19">
        <v>7126</v>
      </c>
      <c r="B111" s="20" t="s">
        <v>10</v>
      </c>
      <c r="C111" s="20" t="s">
        <v>236</v>
      </c>
      <c r="D111" s="20" t="s">
        <v>249</v>
      </c>
      <c r="E111" s="20" t="s">
        <v>250</v>
      </c>
      <c r="F111" s="20">
        <v>32.812929590000003</v>
      </c>
      <c r="G111" s="20">
        <v>44.265174639999998</v>
      </c>
      <c r="H111" s="22">
        <v>76</v>
      </c>
      <c r="I111" s="22">
        <v>456</v>
      </c>
      <c r="J111" s="21"/>
      <c r="K111" s="21">
        <v>76</v>
      </c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>
        <v>76</v>
      </c>
      <c r="AI111" s="21"/>
      <c r="AJ111" s="21"/>
      <c r="AK111" s="21"/>
      <c r="AL111" s="21"/>
      <c r="AM111" s="21">
        <v>76</v>
      </c>
      <c r="AN111" s="21"/>
      <c r="AO111" s="21"/>
      <c r="AP111" s="21"/>
      <c r="AQ111" s="21"/>
      <c r="AR111" s="21"/>
      <c r="AS111" s="21"/>
      <c r="AT111" s="12" t="str">
        <f>HYPERLINK("http://www.openstreetmap.org/?mlat=32.8129&amp;mlon=44.2652&amp;zoom=12#map=12/32.8129/44.2652","Maplink1")</f>
        <v>Maplink1</v>
      </c>
      <c r="AU111" s="12" t="str">
        <f>HYPERLINK("https://www.google.iq/maps/search/+32.8129,44.2652/@32.8129,44.2652,14z?hl=en","Maplink2")</f>
        <v>Maplink2</v>
      </c>
      <c r="AV111" s="12" t="str">
        <f>HYPERLINK("http://www.bing.com/maps/?lvl=14&amp;sty=h&amp;cp=32.8129~44.2652&amp;sp=point.32.8129_44.2652","Maplink3")</f>
        <v>Maplink3</v>
      </c>
    </row>
    <row r="112" spans="1:48" ht="15" customHeight="1" x14ac:dyDescent="0.25">
      <c r="A112" s="19">
        <v>24163</v>
      </c>
      <c r="B112" s="20" t="s">
        <v>10</v>
      </c>
      <c r="C112" s="20" t="s">
        <v>236</v>
      </c>
      <c r="D112" s="20" t="s">
        <v>251</v>
      </c>
      <c r="E112" s="20" t="s">
        <v>252</v>
      </c>
      <c r="F112" s="20">
        <v>32.81468572</v>
      </c>
      <c r="G112" s="20">
        <v>44.263841079999999</v>
      </c>
      <c r="H112" s="22">
        <v>49</v>
      </c>
      <c r="I112" s="22">
        <v>294</v>
      </c>
      <c r="J112" s="21"/>
      <c r="K112" s="21">
        <v>49</v>
      </c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>
        <v>49</v>
      </c>
      <c r="AI112" s="21"/>
      <c r="AJ112" s="21"/>
      <c r="AK112" s="21"/>
      <c r="AL112" s="21"/>
      <c r="AM112" s="21">
        <v>49</v>
      </c>
      <c r="AN112" s="21"/>
      <c r="AO112" s="21"/>
      <c r="AP112" s="21"/>
      <c r="AQ112" s="21"/>
      <c r="AR112" s="21"/>
      <c r="AS112" s="21"/>
      <c r="AT112" s="12" t="str">
        <f>HYPERLINK("http://www.openstreetmap.org/?mlat=32.8147&amp;mlon=44.2638&amp;zoom=12#map=12/32.8147/44.2638","Maplink1")</f>
        <v>Maplink1</v>
      </c>
      <c r="AU112" s="12" t="str">
        <f>HYPERLINK("https://www.google.iq/maps/search/+32.8147,44.2638/@32.8147,44.2638,14z?hl=en","Maplink2")</f>
        <v>Maplink2</v>
      </c>
      <c r="AV112" s="12" t="str">
        <f>HYPERLINK("http://www.bing.com/maps/?lvl=14&amp;sty=h&amp;cp=32.8147~44.2638&amp;sp=point.32.8147_44.2638","Maplink3")</f>
        <v>Maplink3</v>
      </c>
    </row>
    <row r="113" spans="1:48" ht="15" customHeight="1" x14ac:dyDescent="0.25">
      <c r="A113" s="19">
        <v>24165</v>
      </c>
      <c r="B113" s="20" t="s">
        <v>10</v>
      </c>
      <c r="C113" s="20" t="s">
        <v>236</v>
      </c>
      <c r="D113" s="20" t="s">
        <v>253</v>
      </c>
      <c r="E113" s="20" t="s">
        <v>254</v>
      </c>
      <c r="F113" s="20">
        <v>32.809355670000002</v>
      </c>
      <c r="G113" s="20">
        <v>44.266671819999999</v>
      </c>
      <c r="H113" s="22">
        <v>84</v>
      </c>
      <c r="I113" s="22">
        <v>504</v>
      </c>
      <c r="J113" s="21"/>
      <c r="K113" s="21">
        <v>84</v>
      </c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>
        <v>54</v>
      </c>
      <c r="AD113" s="21"/>
      <c r="AE113" s="21"/>
      <c r="AF113" s="21"/>
      <c r="AG113" s="21"/>
      <c r="AH113" s="21">
        <v>30</v>
      </c>
      <c r="AI113" s="21"/>
      <c r="AJ113" s="21"/>
      <c r="AK113" s="21"/>
      <c r="AL113" s="21">
        <v>30</v>
      </c>
      <c r="AM113" s="21">
        <v>54</v>
      </c>
      <c r="AN113" s="21"/>
      <c r="AO113" s="21"/>
      <c r="AP113" s="21"/>
      <c r="AQ113" s="21"/>
      <c r="AR113" s="21"/>
      <c r="AS113" s="21"/>
      <c r="AT113" s="12" t="str">
        <f>HYPERLINK("http://www.openstreetmap.org/?mlat=32.8094&amp;mlon=44.2667&amp;zoom=12#map=12/32.8094/44.2667","Maplink1")</f>
        <v>Maplink1</v>
      </c>
      <c r="AU113" s="12" t="str">
        <f>HYPERLINK("https://www.google.iq/maps/search/+32.8094,44.2667/@32.8094,44.2667,14z?hl=en","Maplink2")</f>
        <v>Maplink2</v>
      </c>
      <c r="AV113" s="12" t="str">
        <f>HYPERLINK("http://www.bing.com/maps/?lvl=14&amp;sty=h&amp;cp=32.8094~44.2667&amp;sp=point.32.8094_44.2667","Maplink3")</f>
        <v>Maplink3</v>
      </c>
    </row>
    <row r="114" spans="1:48" ht="15" customHeight="1" x14ac:dyDescent="0.25">
      <c r="A114" s="19">
        <v>24296</v>
      </c>
      <c r="B114" s="20" t="s">
        <v>10</v>
      </c>
      <c r="C114" s="20" t="s">
        <v>236</v>
      </c>
      <c r="D114" s="20" t="s">
        <v>255</v>
      </c>
      <c r="E114" s="20" t="s">
        <v>256</v>
      </c>
      <c r="F114" s="20">
        <v>32.877830000000003</v>
      </c>
      <c r="G114" s="20">
        <v>44.415480000000002</v>
      </c>
      <c r="H114" s="22">
        <v>34</v>
      </c>
      <c r="I114" s="22">
        <v>204</v>
      </c>
      <c r="J114" s="21"/>
      <c r="K114" s="21">
        <v>34</v>
      </c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>
        <v>34</v>
      </c>
      <c r="AD114" s="21"/>
      <c r="AE114" s="21"/>
      <c r="AF114" s="21"/>
      <c r="AG114" s="21"/>
      <c r="AH114" s="21"/>
      <c r="AI114" s="21"/>
      <c r="AJ114" s="21"/>
      <c r="AK114" s="21"/>
      <c r="AL114" s="21"/>
      <c r="AM114" s="21">
        <v>34</v>
      </c>
      <c r="AN114" s="21"/>
      <c r="AO114" s="21"/>
      <c r="AP114" s="21"/>
      <c r="AQ114" s="21"/>
      <c r="AR114" s="21"/>
      <c r="AS114" s="21"/>
      <c r="AT114" s="12" t="str">
        <f>HYPERLINK("http://www.openstreetmap.org/?mlat=32.8778&amp;mlon=44.4155&amp;zoom=12#map=12/32.8778/44.4155","Maplink1")</f>
        <v>Maplink1</v>
      </c>
      <c r="AU114" s="12" t="str">
        <f>HYPERLINK("https://www.google.iq/maps/search/+32.8778,44.4155/@32.8778,44.4155,14z?hl=en","Maplink2")</f>
        <v>Maplink2</v>
      </c>
      <c r="AV114" s="12" t="str">
        <f>HYPERLINK("http://www.bing.com/maps/?lvl=14&amp;sty=h&amp;cp=32.8778~44.4155&amp;sp=point.32.8778_44.4155","Maplink3")</f>
        <v>Maplink3</v>
      </c>
    </row>
    <row r="115" spans="1:48" ht="15" customHeight="1" x14ac:dyDescent="0.25">
      <c r="A115" s="19">
        <v>26118</v>
      </c>
      <c r="B115" s="20" t="s">
        <v>10</v>
      </c>
      <c r="C115" s="20" t="s">
        <v>236</v>
      </c>
      <c r="D115" s="20" t="s">
        <v>191</v>
      </c>
      <c r="E115" s="20" t="s">
        <v>257</v>
      </c>
      <c r="F115" s="20">
        <v>32.704470229999998</v>
      </c>
      <c r="G115" s="20">
        <v>44.268592030000001</v>
      </c>
      <c r="H115" s="22">
        <v>3</v>
      </c>
      <c r="I115" s="22">
        <v>18</v>
      </c>
      <c r="J115" s="21"/>
      <c r="K115" s="21">
        <v>3</v>
      </c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>
        <v>3</v>
      </c>
      <c r="AI115" s="21"/>
      <c r="AJ115" s="21"/>
      <c r="AK115" s="21"/>
      <c r="AL115" s="21"/>
      <c r="AM115" s="21">
        <v>3</v>
      </c>
      <c r="AN115" s="21"/>
      <c r="AO115" s="21"/>
      <c r="AP115" s="21"/>
      <c r="AQ115" s="21"/>
      <c r="AR115" s="21"/>
      <c r="AS115" s="21"/>
      <c r="AT115" s="12" t="str">
        <f>HYPERLINK("http://www.openstreetmap.org/?mlat=32.7045&amp;mlon=44.2686&amp;zoom=12#map=12/32.7045/44.2686","Maplink1")</f>
        <v>Maplink1</v>
      </c>
      <c r="AU115" s="12" t="str">
        <f>HYPERLINK("https://www.google.iq/maps/search/+32.7045,44.2686/@32.7045,44.2686,14z?hl=en","Maplink2")</f>
        <v>Maplink2</v>
      </c>
      <c r="AV115" s="12" t="str">
        <f>HYPERLINK("http://www.bing.com/maps/?lvl=14&amp;sty=h&amp;cp=32.7045~44.2686&amp;sp=point.32.7045_44.2686","Maplink3")</f>
        <v>Maplink3</v>
      </c>
    </row>
    <row r="116" spans="1:48" ht="15" customHeight="1" x14ac:dyDescent="0.25">
      <c r="A116" s="19">
        <v>26098</v>
      </c>
      <c r="B116" s="20" t="s">
        <v>10</v>
      </c>
      <c r="C116" s="20" t="s">
        <v>236</v>
      </c>
      <c r="D116" s="20" t="s">
        <v>258</v>
      </c>
      <c r="E116" s="20" t="s">
        <v>259</v>
      </c>
      <c r="F116" s="20">
        <v>32.883908089999998</v>
      </c>
      <c r="G116" s="20">
        <v>44.350657980000001</v>
      </c>
      <c r="H116" s="22">
        <v>28</v>
      </c>
      <c r="I116" s="22">
        <v>168</v>
      </c>
      <c r="J116" s="21"/>
      <c r="K116" s="21">
        <v>28</v>
      </c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>
        <v>28</v>
      </c>
      <c r="AI116" s="21"/>
      <c r="AJ116" s="21"/>
      <c r="AK116" s="21"/>
      <c r="AL116" s="21"/>
      <c r="AM116" s="21">
        <v>28</v>
      </c>
      <c r="AN116" s="21"/>
      <c r="AO116" s="21"/>
      <c r="AP116" s="21"/>
      <c r="AQ116" s="21"/>
      <c r="AR116" s="21"/>
      <c r="AS116" s="21"/>
      <c r="AT116" s="12" t="str">
        <f>HYPERLINK("http://www.openstreetmap.org/?mlat=32.8839&amp;mlon=44.3507&amp;zoom=12#map=12/32.8839/44.3507","Maplink1")</f>
        <v>Maplink1</v>
      </c>
      <c r="AU116" s="12" t="str">
        <f>HYPERLINK("https://www.google.iq/maps/search/+32.8839,44.3507/@32.8839,44.3507,14z?hl=en","Maplink2")</f>
        <v>Maplink2</v>
      </c>
      <c r="AV116" s="12" t="str">
        <f>HYPERLINK("http://www.bing.com/maps/?lvl=14&amp;sty=h&amp;cp=32.8839~44.3507&amp;sp=point.32.8839_44.3507","Maplink3")</f>
        <v>Maplink3</v>
      </c>
    </row>
    <row r="117" spans="1:48" ht="15" customHeight="1" x14ac:dyDescent="0.25">
      <c r="A117" s="19">
        <v>25613</v>
      </c>
      <c r="B117" s="20" t="s">
        <v>10</v>
      </c>
      <c r="C117" s="20" t="s">
        <v>236</v>
      </c>
      <c r="D117" s="20" t="s">
        <v>260</v>
      </c>
      <c r="E117" s="20" t="s">
        <v>261</v>
      </c>
      <c r="F117" s="20">
        <v>32.882505879999997</v>
      </c>
      <c r="G117" s="20">
        <v>44.383139120000003</v>
      </c>
      <c r="H117" s="22">
        <v>22</v>
      </c>
      <c r="I117" s="22">
        <v>132</v>
      </c>
      <c r="J117" s="21"/>
      <c r="K117" s="21">
        <v>22</v>
      </c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>
        <v>22</v>
      </c>
      <c r="AI117" s="21"/>
      <c r="AJ117" s="21"/>
      <c r="AK117" s="21"/>
      <c r="AL117" s="21"/>
      <c r="AM117" s="21">
        <v>22</v>
      </c>
      <c r="AN117" s="21"/>
      <c r="AO117" s="21"/>
      <c r="AP117" s="21"/>
      <c r="AQ117" s="21"/>
      <c r="AR117" s="21"/>
      <c r="AS117" s="21"/>
      <c r="AT117" s="12" t="str">
        <f>HYPERLINK("http://www.openstreetmap.org/?mlat=32.8825&amp;mlon=44.3831&amp;zoom=12#map=12/32.8825/44.3831","Maplink1")</f>
        <v>Maplink1</v>
      </c>
      <c r="AU117" s="12" t="str">
        <f>HYPERLINK("https://www.google.iq/maps/search/+32.8825,44.3831/@32.8825,44.3831,14z?hl=en","Maplink2")</f>
        <v>Maplink2</v>
      </c>
      <c r="AV117" s="12" t="str">
        <f>HYPERLINK("http://www.bing.com/maps/?lvl=14&amp;sty=h&amp;cp=32.8825~44.3831&amp;sp=point.32.8825_44.3831","Maplink3")</f>
        <v>Maplink3</v>
      </c>
    </row>
    <row r="118" spans="1:48" ht="15" customHeight="1" x14ac:dyDescent="0.25">
      <c r="A118" s="19">
        <v>25768</v>
      </c>
      <c r="B118" s="20" t="s">
        <v>10</v>
      </c>
      <c r="C118" s="20" t="s">
        <v>236</v>
      </c>
      <c r="D118" s="20" t="s">
        <v>262</v>
      </c>
      <c r="E118" s="20" t="s">
        <v>263</v>
      </c>
      <c r="F118" s="20">
        <v>32.882871539999996</v>
      </c>
      <c r="G118" s="20">
        <v>44.348066969999998</v>
      </c>
      <c r="H118" s="22">
        <v>53</v>
      </c>
      <c r="I118" s="22">
        <v>318</v>
      </c>
      <c r="J118" s="21"/>
      <c r="K118" s="21">
        <v>53</v>
      </c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>
        <v>53</v>
      </c>
      <c r="AI118" s="21"/>
      <c r="AJ118" s="21"/>
      <c r="AK118" s="21"/>
      <c r="AL118" s="21"/>
      <c r="AM118" s="21">
        <v>53</v>
      </c>
      <c r="AN118" s="21"/>
      <c r="AO118" s="21"/>
      <c r="AP118" s="21"/>
      <c r="AQ118" s="21"/>
      <c r="AR118" s="21"/>
      <c r="AS118" s="21"/>
      <c r="AT118" s="12" t="str">
        <f>HYPERLINK("http://www.openstreetmap.org/?mlat=32.8829&amp;mlon=44.3481&amp;zoom=12#map=12/32.8829/44.3481","Maplink1")</f>
        <v>Maplink1</v>
      </c>
      <c r="AU118" s="12" t="str">
        <f>HYPERLINK("https://www.google.iq/maps/search/+32.8829,44.3481/@32.8829,44.3481,14z?hl=en","Maplink2")</f>
        <v>Maplink2</v>
      </c>
      <c r="AV118" s="12" t="str">
        <f>HYPERLINK("http://www.bing.com/maps/?lvl=14&amp;sty=h&amp;cp=32.8829~44.3481&amp;sp=point.32.8829_44.3481","Maplink3")</f>
        <v>Maplink3</v>
      </c>
    </row>
    <row r="119" spans="1:48" ht="15" customHeight="1" x14ac:dyDescent="0.25">
      <c r="A119" s="19">
        <v>24652</v>
      </c>
      <c r="B119" s="20" t="s">
        <v>10</v>
      </c>
      <c r="C119" s="20" t="s">
        <v>236</v>
      </c>
      <c r="D119" s="20" t="s">
        <v>264</v>
      </c>
      <c r="E119" s="20" t="s">
        <v>265</v>
      </c>
      <c r="F119" s="20">
        <v>32.927199999999999</v>
      </c>
      <c r="G119" s="20">
        <v>44.350200000000001</v>
      </c>
      <c r="H119" s="22">
        <v>37</v>
      </c>
      <c r="I119" s="22">
        <v>222</v>
      </c>
      <c r="J119" s="21"/>
      <c r="K119" s="21">
        <v>37</v>
      </c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>
        <v>37</v>
      </c>
      <c r="AI119" s="21"/>
      <c r="AJ119" s="21"/>
      <c r="AK119" s="21"/>
      <c r="AL119" s="21"/>
      <c r="AM119" s="21">
        <v>37</v>
      </c>
      <c r="AN119" s="21"/>
      <c r="AO119" s="21"/>
      <c r="AP119" s="21"/>
      <c r="AQ119" s="21"/>
      <c r="AR119" s="21"/>
      <c r="AS119" s="21"/>
      <c r="AT119" s="12" t="str">
        <f>HYPERLINK("http://www.openstreetmap.org/?mlat=32.9272&amp;mlon=44.3502&amp;zoom=12#map=12/32.9272/44.3502","Maplink1")</f>
        <v>Maplink1</v>
      </c>
      <c r="AU119" s="12" t="str">
        <f>HYPERLINK("https://www.google.iq/maps/search/+32.9272,44.3502/@32.9272,44.3502,14z?hl=en","Maplink2")</f>
        <v>Maplink2</v>
      </c>
      <c r="AV119" s="12" t="str">
        <f>HYPERLINK("http://www.bing.com/maps/?lvl=14&amp;sty=h&amp;cp=32.9272~44.3502&amp;sp=point.32.9272_44.3502","Maplink3")</f>
        <v>Maplink3</v>
      </c>
    </row>
    <row r="120" spans="1:48" ht="15" customHeight="1" x14ac:dyDescent="0.25">
      <c r="A120" s="19">
        <v>24166</v>
      </c>
      <c r="B120" s="20" t="s">
        <v>10</v>
      </c>
      <c r="C120" s="20" t="s">
        <v>236</v>
      </c>
      <c r="D120" s="20" t="s">
        <v>266</v>
      </c>
      <c r="E120" s="20" t="s">
        <v>267</v>
      </c>
      <c r="F120" s="20">
        <v>32.777556529999998</v>
      </c>
      <c r="G120" s="20">
        <v>44.283572839999998</v>
      </c>
      <c r="H120" s="22">
        <v>7</v>
      </c>
      <c r="I120" s="22">
        <v>42</v>
      </c>
      <c r="J120" s="21">
        <v>1</v>
      </c>
      <c r="K120" s="21">
        <v>6</v>
      </c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>
        <v>7</v>
      </c>
      <c r="AI120" s="21"/>
      <c r="AJ120" s="21"/>
      <c r="AK120" s="21"/>
      <c r="AL120" s="21"/>
      <c r="AM120" s="21">
        <v>6</v>
      </c>
      <c r="AN120" s="21"/>
      <c r="AO120" s="21">
        <v>1</v>
      </c>
      <c r="AP120" s="21"/>
      <c r="AQ120" s="21"/>
      <c r="AR120" s="21"/>
      <c r="AS120" s="21"/>
      <c r="AT120" s="12" t="str">
        <f>HYPERLINK("http://www.openstreetmap.org/?mlat=32.7776&amp;mlon=44.2836&amp;zoom=12#map=12/32.7776/44.2836","Maplink1")</f>
        <v>Maplink1</v>
      </c>
      <c r="AU120" s="12" t="str">
        <f>HYPERLINK("https://www.google.iq/maps/search/+32.7776,44.2836/@32.7776,44.2836,14z?hl=en","Maplink2")</f>
        <v>Maplink2</v>
      </c>
      <c r="AV120" s="12" t="str">
        <f>HYPERLINK("http://www.bing.com/maps/?lvl=14&amp;sty=h&amp;cp=32.7776~44.2836&amp;sp=point.32.7776_44.2836","Maplink3")</f>
        <v>Maplink3</v>
      </c>
    </row>
    <row r="121" spans="1:48" ht="15" customHeight="1" x14ac:dyDescent="0.25">
      <c r="A121" s="19">
        <v>24569</v>
      </c>
      <c r="B121" s="20" t="s">
        <v>10</v>
      </c>
      <c r="C121" s="20" t="s">
        <v>236</v>
      </c>
      <c r="D121" s="20" t="s">
        <v>268</v>
      </c>
      <c r="E121" s="20" t="s">
        <v>269</v>
      </c>
      <c r="F121" s="20">
        <v>32.78329067</v>
      </c>
      <c r="G121" s="20">
        <v>44.296995359999997</v>
      </c>
      <c r="H121" s="22">
        <v>4</v>
      </c>
      <c r="I121" s="22">
        <v>24</v>
      </c>
      <c r="J121" s="21"/>
      <c r="K121" s="21">
        <v>4</v>
      </c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>
        <v>4</v>
      </c>
      <c r="AI121" s="21"/>
      <c r="AJ121" s="21"/>
      <c r="AK121" s="21"/>
      <c r="AL121" s="21"/>
      <c r="AM121" s="21"/>
      <c r="AN121" s="21">
        <v>4</v>
      </c>
      <c r="AO121" s="21"/>
      <c r="AP121" s="21"/>
      <c r="AQ121" s="21"/>
      <c r="AR121" s="21"/>
      <c r="AS121" s="21"/>
      <c r="AT121" s="12" t="str">
        <f>HYPERLINK("http://www.openstreetmap.org/?mlat=32.7833&amp;mlon=44.297&amp;zoom=12#map=12/32.7833/44.297","Maplink1")</f>
        <v>Maplink1</v>
      </c>
      <c r="AU121" s="12" t="str">
        <f>HYPERLINK("https://www.google.iq/maps/search/+32.7833,44.297/@32.7833,44.297,14z?hl=en","Maplink2")</f>
        <v>Maplink2</v>
      </c>
      <c r="AV121" s="12" t="str">
        <f>HYPERLINK("http://www.bing.com/maps/?lvl=14&amp;sty=h&amp;cp=32.7833~44.297&amp;sp=point.32.7833_44.297","Maplink3")</f>
        <v>Maplink3</v>
      </c>
    </row>
    <row r="122" spans="1:48" ht="15" customHeight="1" x14ac:dyDescent="0.25">
      <c r="A122" s="19">
        <v>7220</v>
      </c>
      <c r="B122" s="20" t="s">
        <v>10</v>
      </c>
      <c r="C122" s="20" t="s">
        <v>236</v>
      </c>
      <c r="D122" s="20" t="s">
        <v>270</v>
      </c>
      <c r="E122" s="20" t="s">
        <v>271</v>
      </c>
      <c r="F122" s="20">
        <v>32.784247999999998</v>
      </c>
      <c r="G122" s="20">
        <v>44.282775000000001</v>
      </c>
      <c r="H122" s="22">
        <v>33</v>
      </c>
      <c r="I122" s="22">
        <v>198</v>
      </c>
      <c r="J122" s="21"/>
      <c r="K122" s="21">
        <v>33</v>
      </c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>
        <v>33</v>
      </c>
      <c r="AI122" s="21"/>
      <c r="AJ122" s="21"/>
      <c r="AK122" s="21"/>
      <c r="AL122" s="21"/>
      <c r="AM122" s="21">
        <v>33</v>
      </c>
      <c r="AN122" s="21"/>
      <c r="AO122" s="21"/>
      <c r="AP122" s="21"/>
      <c r="AQ122" s="21"/>
      <c r="AR122" s="21"/>
      <c r="AS122" s="21"/>
      <c r="AT122" s="12" t="str">
        <f>HYPERLINK("http://www.openstreetmap.org/?mlat=32.7842&amp;mlon=44.2828&amp;zoom=12#map=12/32.7842/44.2828","Maplink1")</f>
        <v>Maplink1</v>
      </c>
      <c r="AU122" s="12" t="str">
        <f>HYPERLINK("https://www.google.iq/maps/search/+32.7842,44.2828/@32.7842,44.2828,14z?hl=en","Maplink2")</f>
        <v>Maplink2</v>
      </c>
      <c r="AV122" s="12" t="str">
        <f>HYPERLINK("http://www.bing.com/maps/?lvl=14&amp;sty=h&amp;cp=32.7842~44.2828&amp;sp=point.32.7842_44.2828","Maplink3")</f>
        <v>Maplink3</v>
      </c>
    </row>
    <row r="123" spans="1:48" ht="15" customHeight="1" x14ac:dyDescent="0.25">
      <c r="A123" s="19">
        <v>6376</v>
      </c>
      <c r="B123" s="20" t="s">
        <v>10</v>
      </c>
      <c r="C123" s="20" t="s">
        <v>236</v>
      </c>
      <c r="D123" s="20" t="s">
        <v>272</v>
      </c>
      <c r="E123" s="20" t="s">
        <v>273</v>
      </c>
      <c r="F123" s="20">
        <v>32.70365966</v>
      </c>
      <c r="G123" s="20">
        <v>44.323353519999998</v>
      </c>
      <c r="H123" s="22">
        <v>17</v>
      </c>
      <c r="I123" s="22">
        <v>102</v>
      </c>
      <c r="J123" s="21"/>
      <c r="K123" s="21">
        <v>7</v>
      </c>
      <c r="L123" s="21">
        <v>10</v>
      </c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>
        <v>17</v>
      </c>
      <c r="AD123" s="21"/>
      <c r="AE123" s="21"/>
      <c r="AF123" s="21"/>
      <c r="AG123" s="21"/>
      <c r="AH123" s="21"/>
      <c r="AI123" s="21"/>
      <c r="AJ123" s="21"/>
      <c r="AK123" s="21"/>
      <c r="AL123" s="21"/>
      <c r="AM123" s="21">
        <v>7</v>
      </c>
      <c r="AN123" s="21">
        <v>10</v>
      </c>
      <c r="AO123" s="21"/>
      <c r="AP123" s="21"/>
      <c r="AQ123" s="21"/>
      <c r="AR123" s="21"/>
      <c r="AS123" s="21"/>
      <c r="AT123" s="12" t="str">
        <f>HYPERLINK("http://www.openstreetmap.org/?mlat=32.7037&amp;mlon=44.3234&amp;zoom=12#map=12/32.7037/44.3234","Maplink1")</f>
        <v>Maplink1</v>
      </c>
      <c r="AU123" s="12" t="str">
        <f>HYPERLINK("https://www.google.iq/maps/search/+32.7037,44.3234/@32.7037,44.3234,14z?hl=en","Maplink2")</f>
        <v>Maplink2</v>
      </c>
      <c r="AV123" s="12" t="str">
        <f>HYPERLINK("http://www.bing.com/maps/?lvl=14&amp;sty=h&amp;cp=32.7037~44.3234&amp;sp=point.32.7037_44.3234","Maplink3")</f>
        <v>Maplink3</v>
      </c>
    </row>
    <row r="124" spans="1:48" ht="15" customHeight="1" x14ac:dyDescent="0.25">
      <c r="A124" s="19">
        <v>26097</v>
      </c>
      <c r="B124" s="20" t="s">
        <v>10</v>
      </c>
      <c r="C124" s="20" t="s">
        <v>236</v>
      </c>
      <c r="D124" s="20" t="s">
        <v>5929</v>
      </c>
      <c r="E124" s="20" t="s">
        <v>5930</v>
      </c>
      <c r="F124" s="20">
        <v>32.784945999999998</v>
      </c>
      <c r="G124" s="20">
        <v>44.31324</v>
      </c>
      <c r="H124" s="22">
        <v>1</v>
      </c>
      <c r="I124" s="22">
        <v>6</v>
      </c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>
        <v>1</v>
      </c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>
        <v>1</v>
      </c>
      <c r="AI124" s="21"/>
      <c r="AJ124" s="21"/>
      <c r="AK124" s="21"/>
      <c r="AL124" s="21"/>
      <c r="AM124" s="21">
        <v>1</v>
      </c>
      <c r="AN124" s="21"/>
      <c r="AO124" s="21"/>
      <c r="AP124" s="21"/>
      <c r="AQ124" s="21"/>
      <c r="AR124" s="21"/>
      <c r="AS124" s="21"/>
      <c r="AT124" s="12" t="str">
        <f>HYPERLINK("http://www.openstreetmap.org/?mlat=32.7849&amp;mlon=44.3132&amp;zoom=12#map=12/32.7849/44.3132","Maplink1")</f>
        <v>Maplink1</v>
      </c>
      <c r="AU124" s="12" t="str">
        <f>HYPERLINK("https://www.google.iq/maps/search/+32.7849,44.3132/@32.7849,44.3132,14z?hl=en","Maplink2")</f>
        <v>Maplink2</v>
      </c>
      <c r="AV124" s="12" t="str">
        <f>HYPERLINK("http://www.bing.com/maps/?lvl=14&amp;sty=h&amp;cp=32.7849~44.3132&amp;sp=point.32.7849_44.3132","Maplink3")</f>
        <v>Maplink3</v>
      </c>
    </row>
    <row r="125" spans="1:48" ht="15" customHeight="1" x14ac:dyDescent="0.25">
      <c r="A125" s="19">
        <v>24649</v>
      </c>
      <c r="B125" s="20" t="s">
        <v>10</v>
      </c>
      <c r="C125" s="20" t="s">
        <v>236</v>
      </c>
      <c r="D125" s="20" t="s">
        <v>274</v>
      </c>
      <c r="E125" s="20" t="s">
        <v>275</v>
      </c>
      <c r="F125" s="20">
        <v>32.886606559999997</v>
      </c>
      <c r="G125" s="20">
        <v>44.38234585</v>
      </c>
      <c r="H125" s="22">
        <v>102</v>
      </c>
      <c r="I125" s="22">
        <v>612</v>
      </c>
      <c r="J125" s="21"/>
      <c r="K125" s="21">
        <v>102</v>
      </c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>
        <v>102</v>
      </c>
      <c r="AI125" s="21"/>
      <c r="AJ125" s="21"/>
      <c r="AK125" s="21"/>
      <c r="AL125" s="21"/>
      <c r="AM125" s="21">
        <v>102</v>
      </c>
      <c r="AN125" s="21"/>
      <c r="AO125" s="21"/>
      <c r="AP125" s="21"/>
      <c r="AQ125" s="21"/>
      <c r="AR125" s="21"/>
      <c r="AS125" s="21"/>
      <c r="AT125" s="12" t="str">
        <f>HYPERLINK("http://www.openstreetmap.org/?mlat=32.8866&amp;mlon=44.3823&amp;zoom=12#map=12/32.8866/44.3823","Maplink1")</f>
        <v>Maplink1</v>
      </c>
      <c r="AU125" s="12" t="str">
        <f>HYPERLINK("https://www.google.iq/maps/search/+32.8866,44.3823/@32.8866,44.3823,14z?hl=en","Maplink2")</f>
        <v>Maplink2</v>
      </c>
      <c r="AV125" s="12" t="str">
        <f>HYPERLINK("http://www.bing.com/maps/?lvl=14&amp;sty=h&amp;cp=32.8866~44.3823&amp;sp=point.32.8866_44.3823","Maplink3")</f>
        <v>Maplink3</v>
      </c>
    </row>
    <row r="126" spans="1:48" ht="15" customHeight="1" x14ac:dyDescent="0.25">
      <c r="A126" s="19">
        <v>24177</v>
      </c>
      <c r="B126" s="20" t="s">
        <v>10</v>
      </c>
      <c r="C126" s="20" t="s">
        <v>236</v>
      </c>
      <c r="D126" s="20" t="s">
        <v>276</v>
      </c>
      <c r="E126" s="20" t="s">
        <v>277</v>
      </c>
      <c r="F126" s="20">
        <v>32.779209999999999</v>
      </c>
      <c r="G126" s="20">
        <v>44.293999999999997</v>
      </c>
      <c r="H126" s="22">
        <v>25</v>
      </c>
      <c r="I126" s="22">
        <v>150</v>
      </c>
      <c r="J126" s="21"/>
      <c r="K126" s="21">
        <v>25</v>
      </c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>
        <v>25</v>
      </c>
      <c r="AI126" s="21"/>
      <c r="AJ126" s="21"/>
      <c r="AK126" s="21"/>
      <c r="AL126" s="21"/>
      <c r="AM126" s="21">
        <v>25</v>
      </c>
      <c r="AN126" s="21"/>
      <c r="AO126" s="21"/>
      <c r="AP126" s="21"/>
      <c r="AQ126" s="21"/>
      <c r="AR126" s="21"/>
      <c r="AS126" s="21"/>
      <c r="AT126" s="12" t="str">
        <f>HYPERLINK("http://www.openstreetmap.org/?mlat=32.7792&amp;mlon=44.294&amp;zoom=12#map=12/32.7792/44.294","Maplink1")</f>
        <v>Maplink1</v>
      </c>
      <c r="AU126" s="12" t="str">
        <f>HYPERLINK("https://www.google.iq/maps/search/+32.7792,44.294/@32.7792,44.294,14z?hl=en","Maplink2")</f>
        <v>Maplink2</v>
      </c>
      <c r="AV126" s="12" t="str">
        <f>HYPERLINK("http://www.bing.com/maps/?lvl=14&amp;sty=h&amp;cp=32.7792~44.294&amp;sp=point.32.7792_44.294","Maplink3")</f>
        <v>Maplink3</v>
      </c>
    </row>
    <row r="127" spans="1:48" ht="15" customHeight="1" x14ac:dyDescent="0.25">
      <c r="A127" s="19">
        <v>24707</v>
      </c>
      <c r="B127" s="20" t="s">
        <v>10</v>
      </c>
      <c r="C127" s="20" t="s">
        <v>236</v>
      </c>
      <c r="D127" s="20" t="s">
        <v>278</v>
      </c>
      <c r="E127" s="20" t="s">
        <v>279</v>
      </c>
      <c r="F127" s="20">
        <v>32.788276609999997</v>
      </c>
      <c r="G127" s="20">
        <v>44.2774626</v>
      </c>
      <c r="H127" s="22">
        <v>264</v>
      </c>
      <c r="I127" s="22">
        <v>1584</v>
      </c>
      <c r="J127" s="21"/>
      <c r="K127" s="21">
        <v>264</v>
      </c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>
        <v>264</v>
      </c>
      <c r="AI127" s="21"/>
      <c r="AJ127" s="21"/>
      <c r="AK127" s="21"/>
      <c r="AL127" s="21"/>
      <c r="AM127" s="21">
        <v>264</v>
      </c>
      <c r="AN127" s="21"/>
      <c r="AO127" s="21"/>
      <c r="AP127" s="21"/>
      <c r="AQ127" s="21"/>
      <c r="AR127" s="21"/>
      <c r="AS127" s="21"/>
      <c r="AT127" s="12" t="str">
        <f>HYPERLINK("http://www.openstreetmap.org/?mlat=32.7883&amp;mlon=44.2775&amp;zoom=12#map=12/32.7883/44.2775","Maplink1")</f>
        <v>Maplink1</v>
      </c>
      <c r="AU127" s="12" t="str">
        <f>HYPERLINK("https://www.google.iq/maps/search/+32.7883,44.2775/@32.7883,44.2775,14z?hl=en","Maplink2")</f>
        <v>Maplink2</v>
      </c>
      <c r="AV127" s="12" t="str">
        <f>HYPERLINK("http://www.bing.com/maps/?lvl=14&amp;sty=h&amp;cp=32.7883~44.2775&amp;sp=point.32.7883_44.2775","Maplink3")</f>
        <v>Maplink3</v>
      </c>
    </row>
    <row r="128" spans="1:48" ht="15" customHeight="1" x14ac:dyDescent="0.25">
      <c r="A128" s="19">
        <v>24959</v>
      </c>
      <c r="B128" s="20" t="s">
        <v>10</v>
      </c>
      <c r="C128" s="20" t="s">
        <v>236</v>
      </c>
      <c r="D128" s="20" t="s">
        <v>280</v>
      </c>
      <c r="E128" s="20" t="s">
        <v>281</v>
      </c>
      <c r="F128" s="20">
        <v>32.778497999999999</v>
      </c>
      <c r="G128" s="20">
        <v>44.288753</v>
      </c>
      <c r="H128" s="22">
        <v>8</v>
      </c>
      <c r="I128" s="22">
        <v>48</v>
      </c>
      <c r="J128" s="21"/>
      <c r="K128" s="21">
        <v>8</v>
      </c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>
        <v>8</v>
      </c>
      <c r="AI128" s="21"/>
      <c r="AJ128" s="21"/>
      <c r="AK128" s="21"/>
      <c r="AL128" s="21"/>
      <c r="AM128" s="21"/>
      <c r="AN128" s="21">
        <v>8</v>
      </c>
      <c r="AO128" s="21"/>
      <c r="AP128" s="21"/>
      <c r="AQ128" s="21"/>
      <c r="AR128" s="21"/>
      <c r="AS128" s="21"/>
      <c r="AT128" s="12" t="str">
        <f>HYPERLINK("http://www.openstreetmap.org/?mlat=32.7785&amp;mlon=44.2888&amp;zoom=12#map=12/32.7785/44.2888","Maplink1")</f>
        <v>Maplink1</v>
      </c>
      <c r="AU128" s="12" t="str">
        <f>HYPERLINK("https://www.google.iq/maps/search/+32.7785,44.2888/@32.7785,44.2888,14z?hl=en","Maplink2")</f>
        <v>Maplink2</v>
      </c>
      <c r="AV128" s="12" t="str">
        <f>HYPERLINK("http://www.bing.com/maps/?lvl=14&amp;sty=h&amp;cp=32.7785~44.2888&amp;sp=point.32.7785_44.2888","Maplink3")</f>
        <v>Maplink3</v>
      </c>
    </row>
    <row r="129" spans="1:48" ht="15" customHeight="1" x14ac:dyDescent="0.25">
      <c r="A129" s="19">
        <v>26125</v>
      </c>
      <c r="B129" s="20" t="s">
        <v>10</v>
      </c>
      <c r="C129" s="20" t="s">
        <v>236</v>
      </c>
      <c r="D129" s="20" t="s">
        <v>282</v>
      </c>
      <c r="E129" s="20" t="s">
        <v>283</v>
      </c>
      <c r="F129" s="20">
        <v>32.788154400000003</v>
      </c>
      <c r="G129" s="20">
        <v>44.269671199999998</v>
      </c>
      <c r="H129" s="22">
        <v>78</v>
      </c>
      <c r="I129" s="22">
        <v>468</v>
      </c>
      <c r="J129" s="21"/>
      <c r="K129" s="21">
        <v>78</v>
      </c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>
        <v>78</v>
      </c>
      <c r="AI129" s="21"/>
      <c r="AJ129" s="21"/>
      <c r="AK129" s="21"/>
      <c r="AL129" s="21"/>
      <c r="AM129" s="21">
        <v>78</v>
      </c>
      <c r="AN129" s="21"/>
      <c r="AO129" s="21"/>
      <c r="AP129" s="21"/>
      <c r="AQ129" s="21"/>
      <c r="AR129" s="21"/>
      <c r="AS129" s="21"/>
      <c r="AT129" s="12" t="str">
        <f>HYPERLINK("http://www.openstreetmap.org/?mlat=32.7882&amp;mlon=44.2697&amp;zoom=12#map=12/32.7882/44.2697","Maplink1")</f>
        <v>Maplink1</v>
      </c>
      <c r="AU129" s="12" t="str">
        <f>HYPERLINK("https://www.google.iq/maps/search/+32.7882,44.2697/@32.7882,44.2697,14z?hl=en","Maplink2")</f>
        <v>Maplink2</v>
      </c>
      <c r="AV129" s="12" t="str">
        <f>HYPERLINK("http://www.bing.com/maps/?lvl=14&amp;sty=h&amp;cp=32.7882~44.2697&amp;sp=point.32.7882_44.2697","Maplink3")</f>
        <v>Maplink3</v>
      </c>
    </row>
    <row r="130" spans="1:48" ht="15" customHeight="1" x14ac:dyDescent="0.25">
      <c r="A130" s="19">
        <v>26119</v>
      </c>
      <c r="B130" s="20" t="s">
        <v>10</v>
      </c>
      <c r="C130" s="20" t="s">
        <v>236</v>
      </c>
      <c r="D130" s="20" t="s">
        <v>284</v>
      </c>
      <c r="E130" s="20" t="s">
        <v>285</v>
      </c>
      <c r="F130" s="20">
        <v>32.781665420000003</v>
      </c>
      <c r="G130" s="20">
        <v>44.269144400000002</v>
      </c>
      <c r="H130" s="22">
        <v>47</v>
      </c>
      <c r="I130" s="22">
        <v>282</v>
      </c>
      <c r="J130" s="21">
        <v>1</v>
      </c>
      <c r="K130" s="21">
        <v>46</v>
      </c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>
        <v>47</v>
      </c>
      <c r="AI130" s="21"/>
      <c r="AJ130" s="21"/>
      <c r="AK130" s="21"/>
      <c r="AL130" s="21"/>
      <c r="AM130" s="21">
        <v>46</v>
      </c>
      <c r="AN130" s="21"/>
      <c r="AO130" s="21">
        <v>1</v>
      </c>
      <c r="AP130" s="21"/>
      <c r="AQ130" s="21"/>
      <c r="AR130" s="21"/>
      <c r="AS130" s="21"/>
      <c r="AT130" s="12" t="str">
        <f>HYPERLINK("http://www.openstreetmap.org/?mlat=32.7817&amp;mlon=44.2691&amp;zoom=12#map=12/32.7817/44.2691","Maplink1")</f>
        <v>Maplink1</v>
      </c>
      <c r="AU130" s="12" t="str">
        <f>HYPERLINK("https://www.google.iq/maps/search/+32.7817,44.2691/@32.7817,44.2691,14z?hl=en","Maplink2")</f>
        <v>Maplink2</v>
      </c>
      <c r="AV130" s="12" t="str">
        <f>HYPERLINK("http://www.bing.com/maps/?lvl=14&amp;sty=h&amp;cp=32.7817~44.2691&amp;sp=point.32.7817_44.2691","Maplink3")</f>
        <v>Maplink3</v>
      </c>
    </row>
    <row r="131" spans="1:48" ht="15" customHeight="1" x14ac:dyDescent="0.25">
      <c r="A131" s="19">
        <v>24169</v>
      </c>
      <c r="B131" s="20" t="s">
        <v>10</v>
      </c>
      <c r="C131" s="20" t="s">
        <v>236</v>
      </c>
      <c r="D131" s="20" t="s">
        <v>286</v>
      </c>
      <c r="E131" s="20" t="s">
        <v>287</v>
      </c>
      <c r="F131" s="20">
        <v>32.779579419999997</v>
      </c>
      <c r="G131" s="20">
        <v>44.264166719999999</v>
      </c>
      <c r="H131" s="22">
        <v>77</v>
      </c>
      <c r="I131" s="22">
        <v>462</v>
      </c>
      <c r="J131" s="21">
        <v>1</v>
      </c>
      <c r="K131" s="21">
        <v>76</v>
      </c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>
        <v>77</v>
      </c>
      <c r="AI131" s="21"/>
      <c r="AJ131" s="21"/>
      <c r="AK131" s="21"/>
      <c r="AL131" s="21"/>
      <c r="AM131" s="21">
        <v>76</v>
      </c>
      <c r="AN131" s="21"/>
      <c r="AO131" s="21">
        <v>1</v>
      </c>
      <c r="AP131" s="21"/>
      <c r="AQ131" s="21"/>
      <c r="AR131" s="21"/>
      <c r="AS131" s="21"/>
      <c r="AT131" s="12" t="str">
        <f>HYPERLINK("http://www.openstreetmap.org/?mlat=32.7796&amp;mlon=44.2642&amp;zoom=12#map=12/32.7796/44.2642","Maplink1")</f>
        <v>Maplink1</v>
      </c>
      <c r="AU131" s="12" t="str">
        <f>HYPERLINK("https://www.google.iq/maps/search/+32.7796,44.2642/@32.7796,44.2642,14z?hl=en","Maplink2")</f>
        <v>Maplink2</v>
      </c>
      <c r="AV131" s="12" t="str">
        <f>HYPERLINK("http://www.bing.com/maps/?lvl=14&amp;sty=h&amp;cp=32.7796~44.2642&amp;sp=point.32.7796_44.2642","Maplink3")</f>
        <v>Maplink3</v>
      </c>
    </row>
    <row r="132" spans="1:48" ht="15" customHeight="1" x14ac:dyDescent="0.25">
      <c r="A132" s="19">
        <v>29582</v>
      </c>
      <c r="B132" s="20" t="s">
        <v>10</v>
      </c>
      <c r="C132" s="20" t="s">
        <v>236</v>
      </c>
      <c r="D132" s="20" t="s">
        <v>288</v>
      </c>
      <c r="E132" s="20" t="s">
        <v>289</v>
      </c>
      <c r="F132" s="20">
        <v>32.787942999999999</v>
      </c>
      <c r="G132" s="20">
        <v>44.270777000000002</v>
      </c>
      <c r="H132" s="22">
        <v>92</v>
      </c>
      <c r="I132" s="22">
        <v>552</v>
      </c>
      <c r="J132" s="21"/>
      <c r="K132" s="21">
        <v>92</v>
      </c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>
        <v>92</v>
      </c>
      <c r="AI132" s="21"/>
      <c r="AJ132" s="21"/>
      <c r="AK132" s="21"/>
      <c r="AL132" s="21"/>
      <c r="AM132" s="21">
        <v>77</v>
      </c>
      <c r="AN132" s="21">
        <v>15</v>
      </c>
      <c r="AO132" s="21"/>
      <c r="AP132" s="21"/>
      <c r="AQ132" s="21"/>
      <c r="AR132" s="21"/>
      <c r="AS132" s="21"/>
      <c r="AT132" s="12" t="str">
        <f>HYPERLINK("http://www.openstreetmap.org/?mlat=32.7879&amp;mlon=44.2708&amp;zoom=12#map=12/32.7879/44.2708","Maplink1")</f>
        <v>Maplink1</v>
      </c>
      <c r="AU132" s="12" t="str">
        <f>HYPERLINK("https://www.google.iq/maps/search/+32.7879,44.2708/@32.7879,44.2708,14z?hl=en","Maplink2")</f>
        <v>Maplink2</v>
      </c>
      <c r="AV132" s="12" t="str">
        <f>HYPERLINK("http://www.bing.com/maps/?lvl=14&amp;sty=h&amp;cp=32.7879~44.2708&amp;sp=point.32.7879_44.2708","Maplink3")</f>
        <v>Maplink3</v>
      </c>
    </row>
    <row r="133" spans="1:48" ht="15" customHeight="1" x14ac:dyDescent="0.25">
      <c r="A133" s="19">
        <v>24982</v>
      </c>
      <c r="B133" s="20" t="s">
        <v>10</v>
      </c>
      <c r="C133" s="20" t="s">
        <v>236</v>
      </c>
      <c r="D133" s="20" t="s">
        <v>290</v>
      </c>
      <c r="E133" s="20" t="s">
        <v>291</v>
      </c>
      <c r="F133" s="20">
        <v>32.781397869999999</v>
      </c>
      <c r="G133" s="20">
        <v>44.26462772</v>
      </c>
      <c r="H133" s="22">
        <v>155</v>
      </c>
      <c r="I133" s="22">
        <v>930</v>
      </c>
      <c r="J133" s="21"/>
      <c r="K133" s="21">
        <v>155</v>
      </c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>
        <v>155</v>
      </c>
      <c r="AI133" s="21"/>
      <c r="AJ133" s="21"/>
      <c r="AK133" s="21"/>
      <c r="AL133" s="21"/>
      <c r="AM133" s="21">
        <v>75</v>
      </c>
      <c r="AN133" s="21">
        <v>80</v>
      </c>
      <c r="AO133" s="21"/>
      <c r="AP133" s="21"/>
      <c r="AQ133" s="21"/>
      <c r="AR133" s="21"/>
      <c r="AS133" s="21"/>
      <c r="AT133" s="12" t="str">
        <f>HYPERLINK("http://www.openstreetmap.org/?mlat=32.7814&amp;mlon=44.2646&amp;zoom=12#map=12/32.7814/44.2646","Maplink1")</f>
        <v>Maplink1</v>
      </c>
      <c r="AU133" s="12" t="str">
        <f>HYPERLINK("https://www.google.iq/maps/search/+32.7814,44.2646/@32.7814,44.2646,14z?hl=en","Maplink2")</f>
        <v>Maplink2</v>
      </c>
      <c r="AV133" s="12" t="str">
        <f>HYPERLINK("http://www.bing.com/maps/?lvl=14&amp;sty=h&amp;cp=32.7814~44.2646&amp;sp=point.32.7814_44.2646","Maplink3")</f>
        <v>Maplink3</v>
      </c>
    </row>
    <row r="134" spans="1:48" ht="15" customHeight="1" x14ac:dyDescent="0.25">
      <c r="A134" s="19">
        <v>24171</v>
      </c>
      <c r="B134" s="20" t="s">
        <v>10</v>
      </c>
      <c r="C134" s="20" t="s">
        <v>236</v>
      </c>
      <c r="D134" s="20" t="s">
        <v>292</v>
      </c>
      <c r="E134" s="20" t="s">
        <v>293</v>
      </c>
      <c r="F134" s="20">
        <v>32.784516070000002</v>
      </c>
      <c r="G134" s="20">
        <v>44.266340479999997</v>
      </c>
      <c r="H134" s="22">
        <v>145</v>
      </c>
      <c r="I134" s="22">
        <v>870</v>
      </c>
      <c r="J134" s="21"/>
      <c r="K134" s="21">
        <v>145</v>
      </c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>
        <v>145</v>
      </c>
      <c r="AI134" s="21"/>
      <c r="AJ134" s="21"/>
      <c r="AK134" s="21"/>
      <c r="AL134" s="21"/>
      <c r="AM134" s="21">
        <v>77</v>
      </c>
      <c r="AN134" s="21">
        <v>68</v>
      </c>
      <c r="AO134" s="21"/>
      <c r="AP134" s="21"/>
      <c r="AQ134" s="21"/>
      <c r="AR134" s="21"/>
      <c r="AS134" s="21"/>
      <c r="AT134" s="12" t="str">
        <f>HYPERLINK("http://www.openstreetmap.org/?mlat=32.7845&amp;mlon=44.2663&amp;zoom=12#map=12/32.7845/44.2663","Maplink1")</f>
        <v>Maplink1</v>
      </c>
      <c r="AU134" s="12" t="str">
        <f>HYPERLINK("https://www.google.iq/maps/search/+32.7845,44.2663/@32.7845,44.2663,14z?hl=en","Maplink2")</f>
        <v>Maplink2</v>
      </c>
      <c r="AV134" s="12" t="str">
        <f>HYPERLINK("http://www.bing.com/maps/?lvl=14&amp;sty=h&amp;cp=32.7845~44.2663&amp;sp=point.32.7845_44.2663","Maplink3")</f>
        <v>Maplink3</v>
      </c>
    </row>
    <row r="135" spans="1:48" ht="15" customHeight="1" x14ac:dyDescent="0.25">
      <c r="A135" s="19">
        <v>27308</v>
      </c>
      <c r="B135" s="20" t="s">
        <v>10</v>
      </c>
      <c r="C135" s="20" t="s">
        <v>236</v>
      </c>
      <c r="D135" s="20" t="s">
        <v>294</v>
      </c>
      <c r="E135" s="20" t="s">
        <v>229</v>
      </c>
      <c r="F135" s="20">
        <v>32.751503</v>
      </c>
      <c r="G135" s="20">
        <v>44.276806999999998</v>
      </c>
      <c r="H135" s="22">
        <v>8</v>
      </c>
      <c r="I135" s="22">
        <v>48</v>
      </c>
      <c r="J135" s="21"/>
      <c r="K135" s="21">
        <v>8</v>
      </c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>
        <v>8</v>
      </c>
      <c r="AI135" s="21"/>
      <c r="AJ135" s="21"/>
      <c r="AK135" s="21"/>
      <c r="AL135" s="21"/>
      <c r="AM135" s="21">
        <v>8</v>
      </c>
      <c r="AN135" s="21"/>
      <c r="AO135" s="21"/>
      <c r="AP135" s="21"/>
      <c r="AQ135" s="21"/>
      <c r="AR135" s="21"/>
      <c r="AS135" s="21"/>
      <c r="AT135" s="12" t="str">
        <f>HYPERLINK("http://www.openstreetmap.org/?mlat=32.7515&amp;mlon=44.2768&amp;zoom=12#map=12/32.7515/44.2768","Maplink1")</f>
        <v>Maplink1</v>
      </c>
      <c r="AU135" s="12" t="str">
        <f>HYPERLINK("https://www.google.iq/maps/search/+32.7515,44.2768/@32.7515,44.2768,14z?hl=en","Maplink2")</f>
        <v>Maplink2</v>
      </c>
      <c r="AV135" s="12" t="str">
        <f>HYPERLINK("http://www.bing.com/maps/?lvl=14&amp;sty=h&amp;cp=32.7515~44.2768&amp;sp=point.32.7515_44.2768","Maplink3")</f>
        <v>Maplink3</v>
      </c>
    </row>
    <row r="136" spans="1:48" ht="15" customHeight="1" x14ac:dyDescent="0.25">
      <c r="A136" s="19">
        <v>7218</v>
      </c>
      <c r="B136" s="20" t="s">
        <v>10</v>
      </c>
      <c r="C136" s="20" t="s">
        <v>236</v>
      </c>
      <c r="D136" s="20" t="s">
        <v>295</v>
      </c>
      <c r="E136" s="20" t="s">
        <v>296</v>
      </c>
      <c r="F136" s="20">
        <v>32.696738140000001</v>
      </c>
      <c r="G136" s="20">
        <v>44.264054479999999</v>
      </c>
      <c r="H136" s="22">
        <v>2</v>
      </c>
      <c r="I136" s="22">
        <v>12</v>
      </c>
      <c r="J136" s="21"/>
      <c r="K136" s="21">
        <v>2</v>
      </c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>
        <v>2</v>
      </c>
      <c r="AI136" s="21"/>
      <c r="AJ136" s="21"/>
      <c r="AK136" s="21"/>
      <c r="AL136" s="21"/>
      <c r="AM136" s="21">
        <v>2</v>
      </c>
      <c r="AN136" s="21"/>
      <c r="AO136" s="21"/>
      <c r="AP136" s="21"/>
      <c r="AQ136" s="21"/>
      <c r="AR136" s="21"/>
      <c r="AS136" s="21"/>
      <c r="AT136" s="12" t="str">
        <f>HYPERLINK("http://www.openstreetmap.org/?mlat=32.6967&amp;mlon=44.2641&amp;zoom=12#map=12/32.6967/44.2641","Maplink1")</f>
        <v>Maplink1</v>
      </c>
      <c r="AU136" s="12" t="str">
        <f>HYPERLINK("https://www.google.iq/maps/search/+32.6967,44.2641/@32.6967,44.2641,14z?hl=en","Maplink2")</f>
        <v>Maplink2</v>
      </c>
      <c r="AV136" s="12" t="str">
        <f>HYPERLINK("http://www.bing.com/maps/?lvl=14&amp;sty=h&amp;cp=32.6967~44.2641&amp;sp=point.32.6967_44.2641","Maplink3")</f>
        <v>Maplink3</v>
      </c>
    </row>
    <row r="137" spans="1:48" ht="15" customHeight="1" x14ac:dyDescent="0.25">
      <c r="A137" s="19">
        <v>24648</v>
      </c>
      <c r="B137" s="20" t="s">
        <v>10</v>
      </c>
      <c r="C137" s="20" t="s">
        <v>236</v>
      </c>
      <c r="D137" s="20" t="s">
        <v>297</v>
      </c>
      <c r="E137" s="20" t="s">
        <v>298</v>
      </c>
      <c r="F137" s="20">
        <v>32.877728240000003</v>
      </c>
      <c r="G137" s="20">
        <v>44.384520870000003</v>
      </c>
      <c r="H137" s="22">
        <v>2</v>
      </c>
      <c r="I137" s="22">
        <v>12</v>
      </c>
      <c r="J137" s="21"/>
      <c r="K137" s="21">
        <v>2</v>
      </c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>
        <v>2</v>
      </c>
      <c r="AI137" s="21"/>
      <c r="AJ137" s="21"/>
      <c r="AK137" s="21"/>
      <c r="AL137" s="21"/>
      <c r="AM137" s="21">
        <v>2</v>
      </c>
      <c r="AN137" s="21"/>
      <c r="AO137" s="21"/>
      <c r="AP137" s="21"/>
      <c r="AQ137" s="21"/>
      <c r="AR137" s="21"/>
      <c r="AS137" s="21"/>
      <c r="AT137" s="12" t="str">
        <f>HYPERLINK("http://www.openstreetmap.org/?mlat=32.8777&amp;mlon=44.3845&amp;zoom=12#map=12/32.8777/44.3845","Maplink1")</f>
        <v>Maplink1</v>
      </c>
      <c r="AU137" s="12" t="str">
        <f>HYPERLINK("https://www.google.iq/maps/search/+32.8777,44.3845/@32.8777,44.3845,14z?hl=en","Maplink2")</f>
        <v>Maplink2</v>
      </c>
      <c r="AV137" s="12" t="str">
        <f>HYPERLINK("http://www.bing.com/maps/?lvl=14&amp;sty=h&amp;cp=32.8777~44.3845&amp;sp=point.32.8777_44.3845","Maplink3")</f>
        <v>Maplink3</v>
      </c>
    </row>
    <row r="138" spans="1:48" ht="15" customHeight="1" x14ac:dyDescent="0.25">
      <c r="A138" s="19">
        <v>24706</v>
      </c>
      <c r="B138" s="20" t="s">
        <v>10</v>
      </c>
      <c r="C138" s="20" t="s">
        <v>236</v>
      </c>
      <c r="D138" s="20" t="s">
        <v>299</v>
      </c>
      <c r="E138" s="20" t="s">
        <v>300</v>
      </c>
      <c r="F138" s="20">
        <v>32.709159530000001</v>
      </c>
      <c r="G138" s="20">
        <v>44.269356459999997</v>
      </c>
      <c r="H138" s="22">
        <v>6</v>
      </c>
      <c r="I138" s="22">
        <v>36</v>
      </c>
      <c r="J138" s="21"/>
      <c r="K138" s="21">
        <v>6</v>
      </c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>
        <v>6</v>
      </c>
      <c r="AI138" s="21"/>
      <c r="AJ138" s="21"/>
      <c r="AK138" s="21"/>
      <c r="AL138" s="21"/>
      <c r="AM138" s="21">
        <v>6</v>
      </c>
      <c r="AN138" s="21"/>
      <c r="AO138" s="21"/>
      <c r="AP138" s="21"/>
      <c r="AQ138" s="21"/>
      <c r="AR138" s="21"/>
      <c r="AS138" s="21"/>
      <c r="AT138" s="12" t="str">
        <f>HYPERLINK("http://www.openstreetmap.org/?mlat=32.7092&amp;mlon=44.2694&amp;zoom=12#map=12/32.7092/44.2694","Maplink1")</f>
        <v>Maplink1</v>
      </c>
      <c r="AU138" s="12" t="str">
        <f>HYPERLINK("https://www.google.iq/maps/search/+32.7092,44.2694/@32.7092,44.2694,14z?hl=en","Maplink2")</f>
        <v>Maplink2</v>
      </c>
      <c r="AV138" s="12" t="str">
        <f>HYPERLINK("http://www.bing.com/maps/?lvl=14&amp;sty=h&amp;cp=32.7092~44.2694&amp;sp=point.32.7092_44.2694","Maplink3")</f>
        <v>Maplink3</v>
      </c>
    </row>
    <row r="139" spans="1:48" ht="15" customHeight="1" x14ac:dyDescent="0.25">
      <c r="A139" s="19">
        <v>24170</v>
      </c>
      <c r="B139" s="20" t="s">
        <v>10</v>
      </c>
      <c r="C139" s="20" t="s">
        <v>236</v>
      </c>
      <c r="D139" s="20" t="s">
        <v>122</v>
      </c>
      <c r="E139" s="20" t="s">
        <v>123</v>
      </c>
      <c r="F139" s="20">
        <v>32.78369</v>
      </c>
      <c r="G139" s="20">
        <v>44.27552</v>
      </c>
      <c r="H139" s="22">
        <v>28</v>
      </c>
      <c r="I139" s="22">
        <v>168</v>
      </c>
      <c r="J139" s="21"/>
      <c r="K139" s="21">
        <v>28</v>
      </c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>
        <v>28</v>
      </c>
      <c r="AI139" s="21"/>
      <c r="AJ139" s="21"/>
      <c r="AK139" s="21"/>
      <c r="AL139" s="21"/>
      <c r="AM139" s="21">
        <v>28</v>
      </c>
      <c r="AN139" s="21"/>
      <c r="AO139" s="21"/>
      <c r="AP139" s="21"/>
      <c r="AQ139" s="21"/>
      <c r="AR139" s="21"/>
      <c r="AS139" s="21"/>
      <c r="AT139" s="12" t="str">
        <f>HYPERLINK("http://www.openstreetmap.org/?mlat=32.7837&amp;mlon=44.2755&amp;zoom=12#map=12/32.7837/44.2755","Maplink1")</f>
        <v>Maplink1</v>
      </c>
      <c r="AU139" s="12" t="str">
        <f>HYPERLINK("https://www.google.iq/maps/search/+32.7837,44.2755/@32.7837,44.2755,14z?hl=en","Maplink2")</f>
        <v>Maplink2</v>
      </c>
      <c r="AV139" s="12" t="str">
        <f>HYPERLINK("http://www.bing.com/maps/?lvl=14&amp;sty=h&amp;cp=32.7837~44.2755&amp;sp=point.32.7837_44.2755","Maplink3")</f>
        <v>Maplink3</v>
      </c>
    </row>
    <row r="140" spans="1:48" ht="15" customHeight="1" x14ac:dyDescent="0.25">
      <c r="A140" s="19">
        <v>24653</v>
      </c>
      <c r="B140" s="20" t="s">
        <v>10</v>
      </c>
      <c r="C140" s="20" t="s">
        <v>236</v>
      </c>
      <c r="D140" s="20" t="s">
        <v>301</v>
      </c>
      <c r="E140" s="20" t="s">
        <v>302</v>
      </c>
      <c r="F140" s="20">
        <v>32.888733469999998</v>
      </c>
      <c r="G140" s="20">
        <v>44.382263709999997</v>
      </c>
      <c r="H140" s="22">
        <v>17</v>
      </c>
      <c r="I140" s="22">
        <v>102</v>
      </c>
      <c r="J140" s="21"/>
      <c r="K140" s="21">
        <v>17</v>
      </c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>
        <v>17</v>
      </c>
      <c r="AI140" s="21"/>
      <c r="AJ140" s="21"/>
      <c r="AK140" s="21"/>
      <c r="AL140" s="21"/>
      <c r="AM140" s="21"/>
      <c r="AN140" s="21">
        <v>17</v>
      </c>
      <c r="AO140" s="21"/>
      <c r="AP140" s="21"/>
      <c r="AQ140" s="21"/>
      <c r="AR140" s="21"/>
      <c r="AS140" s="21"/>
      <c r="AT140" s="12" t="str">
        <f>HYPERLINK("http://www.openstreetmap.org/?mlat=32.8887&amp;mlon=44.3823&amp;zoom=12#map=12/32.8887/44.3823","Maplink1")</f>
        <v>Maplink1</v>
      </c>
      <c r="AU140" s="12" t="str">
        <f>HYPERLINK("https://www.google.iq/maps/search/+32.8887,44.3823/@32.8887,44.3823,14z?hl=en","Maplink2")</f>
        <v>Maplink2</v>
      </c>
      <c r="AV140" s="12" t="str">
        <f>HYPERLINK("http://www.bing.com/maps/?lvl=14&amp;sty=h&amp;cp=32.8887~44.3823&amp;sp=point.32.8887_44.3823","Maplink3")</f>
        <v>Maplink3</v>
      </c>
    </row>
    <row r="141" spans="1:48" ht="15" customHeight="1" x14ac:dyDescent="0.25">
      <c r="A141" s="19">
        <v>6951</v>
      </c>
      <c r="B141" s="20" t="s">
        <v>10</v>
      </c>
      <c r="C141" s="20" t="s">
        <v>236</v>
      </c>
      <c r="D141" s="20" t="s">
        <v>225</v>
      </c>
      <c r="E141" s="20" t="s">
        <v>303</v>
      </c>
      <c r="F141" s="20">
        <v>32.778786740000001</v>
      </c>
      <c r="G141" s="20">
        <v>44.287405460000002</v>
      </c>
      <c r="H141" s="22">
        <v>15</v>
      </c>
      <c r="I141" s="22">
        <v>90</v>
      </c>
      <c r="J141" s="21"/>
      <c r="K141" s="21">
        <v>15</v>
      </c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>
        <v>15</v>
      </c>
      <c r="AI141" s="21"/>
      <c r="AJ141" s="21"/>
      <c r="AK141" s="21"/>
      <c r="AL141" s="21"/>
      <c r="AM141" s="21"/>
      <c r="AN141" s="21">
        <v>15</v>
      </c>
      <c r="AO141" s="21"/>
      <c r="AP141" s="21"/>
      <c r="AQ141" s="21"/>
      <c r="AR141" s="21"/>
      <c r="AS141" s="21"/>
      <c r="AT141" s="12" t="str">
        <f>HYPERLINK("http://www.openstreetmap.org/?mlat=32.7788&amp;mlon=44.2874&amp;zoom=12#map=12/32.7788/44.2874","Maplink1")</f>
        <v>Maplink1</v>
      </c>
      <c r="AU141" s="12" t="str">
        <f>HYPERLINK("https://www.google.iq/maps/search/+32.7788,44.2874/@32.7788,44.2874,14z?hl=en","Maplink2")</f>
        <v>Maplink2</v>
      </c>
      <c r="AV141" s="12" t="str">
        <f>HYPERLINK("http://www.bing.com/maps/?lvl=14&amp;sty=h&amp;cp=32.7788~44.2874&amp;sp=point.32.7788_44.2874","Maplink3")</f>
        <v>Maplink3</v>
      </c>
    </row>
    <row r="142" spans="1:48" ht="15" customHeight="1" x14ac:dyDescent="0.25">
      <c r="A142" s="19">
        <v>7196</v>
      </c>
      <c r="B142" s="20" t="s">
        <v>10</v>
      </c>
      <c r="C142" s="20" t="s">
        <v>236</v>
      </c>
      <c r="D142" s="20" t="s">
        <v>304</v>
      </c>
      <c r="E142" s="20" t="s">
        <v>305</v>
      </c>
      <c r="F142" s="20">
        <v>32.77413</v>
      </c>
      <c r="G142" s="20">
        <v>44.290460000000003</v>
      </c>
      <c r="H142" s="22">
        <v>22</v>
      </c>
      <c r="I142" s="22">
        <v>132</v>
      </c>
      <c r="J142" s="21"/>
      <c r="K142" s="21">
        <v>22</v>
      </c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>
        <v>22</v>
      </c>
      <c r="AI142" s="21"/>
      <c r="AJ142" s="21"/>
      <c r="AK142" s="21"/>
      <c r="AL142" s="21"/>
      <c r="AM142" s="21">
        <v>22</v>
      </c>
      <c r="AN142" s="21"/>
      <c r="AO142" s="21"/>
      <c r="AP142" s="21"/>
      <c r="AQ142" s="21"/>
      <c r="AR142" s="21"/>
      <c r="AS142" s="21"/>
      <c r="AT142" s="12" t="str">
        <f>HYPERLINK("http://www.openstreetmap.org/?mlat=32.7741&amp;mlon=44.2905&amp;zoom=12#map=12/32.7741/44.2905","Maplink1")</f>
        <v>Maplink1</v>
      </c>
      <c r="AU142" s="12" t="str">
        <f>HYPERLINK("https://www.google.iq/maps/search/+32.7741,44.2905/@32.7741,44.2905,14z?hl=en","Maplink2")</f>
        <v>Maplink2</v>
      </c>
      <c r="AV142" s="12" t="str">
        <f>HYPERLINK("http://www.bing.com/maps/?lvl=14&amp;sty=h&amp;cp=32.7741~44.2905&amp;sp=point.32.7741_44.2905","Maplink3")</f>
        <v>Maplink3</v>
      </c>
    </row>
    <row r="143" spans="1:48" ht="15" customHeight="1" x14ac:dyDescent="0.25">
      <c r="A143" s="19">
        <v>24984</v>
      </c>
      <c r="B143" s="20" t="s">
        <v>10</v>
      </c>
      <c r="C143" s="20" t="s">
        <v>236</v>
      </c>
      <c r="D143" s="20" t="s">
        <v>306</v>
      </c>
      <c r="E143" s="20" t="s">
        <v>307</v>
      </c>
      <c r="F143" s="20">
        <v>32.882547789999997</v>
      </c>
      <c r="G143" s="20">
        <v>44.344664590000001</v>
      </c>
      <c r="H143" s="22">
        <v>129</v>
      </c>
      <c r="I143" s="22">
        <v>774</v>
      </c>
      <c r="J143" s="21"/>
      <c r="K143" s="21">
        <v>129</v>
      </c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>
        <v>129</v>
      </c>
      <c r="AI143" s="21"/>
      <c r="AJ143" s="21"/>
      <c r="AK143" s="21"/>
      <c r="AL143" s="21"/>
      <c r="AM143" s="21">
        <v>129</v>
      </c>
      <c r="AN143" s="21"/>
      <c r="AO143" s="21"/>
      <c r="AP143" s="21"/>
      <c r="AQ143" s="21"/>
      <c r="AR143" s="21"/>
      <c r="AS143" s="21"/>
      <c r="AT143" s="12" t="str">
        <f>HYPERLINK("http://www.openstreetmap.org/?mlat=32.8825&amp;mlon=44.3447&amp;zoom=12#map=12/32.8825/44.3447","Maplink1")</f>
        <v>Maplink1</v>
      </c>
      <c r="AU143" s="12" t="str">
        <f>HYPERLINK("https://www.google.iq/maps/search/+32.8825,44.3447/@32.8825,44.3447,14z?hl=en","Maplink2")</f>
        <v>Maplink2</v>
      </c>
      <c r="AV143" s="12" t="str">
        <f>HYPERLINK("http://www.bing.com/maps/?lvl=14&amp;sty=h&amp;cp=32.8825~44.3447&amp;sp=point.32.8825_44.3447","Maplink3")</f>
        <v>Maplink3</v>
      </c>
    </row>
    <row r="144" spans="1:48" ht="15" customHeight="1" x14ac:dyDescent="0.25">
      <c r="A144" s="19">
        <v>24654</v>
      </c>
      <c r="B144" s="20" t="s">
        <v>10</v>
      </c>
      <c r="C144" s="20" t="s">
        <v>236</v>
      </c>
      <c r="D144" s="20" t="s">
        <v>308</v>
      </c>
      <c r="E144" s="20" t="s">
        <v>309</v>
      </c>
      <c r="F144" s="20">
        <v>32.89002361</v>
      </c>
      <c r="G144" s="20">
        <v>44.350574000000002</v>
      </c>
      <c r="H144" s="22">
        <v>7</v>
      </c>
      <c r="I144" s="22">
        <v>42</v>
      </c>
      <c r="J144" s="21"/>
      <c r="K144" s="21">
        <v>2</v>
      </c>
      <c r="L144" s="21">
        <v>5</v>
      </c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>
        <v>7</v>
      </c>
      <c r="AI144" s="21"/>
      <c r="AJ144" s="21"/>
      <c r="AK144" s="21"/>
      <c r="AL144" s="21"/>
      <c r="AM144" s="21">
        <v>7</v>
      </c>
      <c r="AN144" s="21"/>
      <c r="AO144" s="21"/>
      <c r="AP144" s="21"/>
      <c r="AQ144" s="21"/>
      <c r="AR144" s="21"/>
      <c r="AS144" s="21"/>
      <c r="AT144" s="12" t="str">
        <f>HYPERLINK("http://www.openstreetmap.org/?mlat=32.89&amp;mlon=44.3506&amp;zoom=12#map=12/32.89/44.3506","Maplink1")</f>
        <v>Maplink1</v>
      </c>
      <c r="AU144" s="12" t="str">
        <f>HYPERLINK("https://www.google.iq/maps/search/+32.89,44.3506/@32.89,44.3506,14z?hl=en","Maplink2")</f>
        <v>Maplink2</v>
      </c>
      <c r="AV144" s="12" t="str">
        <f>HYPERLINK("http://www.bing.com/maps/?lvl=14&amp;sty=h&amp;cp=32.89~44.3506&amp;sp=point.32.89_44.3506","Maplink3")</f>
        <v>Maplink3</v>
      </c>
    </row>
    <row r="145" spans="1:48" ht="15" customHeight="1" x14ac:dyDescent="0.25">
      <c r="A145" s="19">
        <v>6955</v>
      </c>
      <c r="B145" s="20" t="s">
        <v>10</v>
      </c>
      <c r="C145" s="20" t="s">
        <v>236</v>
      </c>
      <c r="D145" s="20" t="s">
        <v>311</v>
      </c>
      <c r="E145" s="20" t="s">
        <v>121</v>
      </c>
      <c r="F145" s="20">
        <v>32.8805306</v>
      </c>
      <c r="G145" s="20">
        <v>44.377249399999997</v>
      </c>
      <c r="H145" s="22">
        <v>39</v>
      </c>
      <c r="I145" s="22">
        <v>234</v>
      </c>
      <c r="J145" s="21">
        <v>1</v>
      </c>
      <c r="K145" s="21">
        <v>37</v>
      </c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>
        <v>1</v>
      </c>
      <c r="Y145" s="21"/>
      <c r="Z145" s="21"/>
      <c r="AA145" s="21"/>
      <c r="AB145" s="21"/>
      <c r="AC145" s="21"/>
      <c r="AD145" s="21"/>
      <c r="AE145" s="21"/>
      <c r="AF145" s="21"/>
      <c r="AG145" s="21"/>
      <c r="AH145" s="21">
        <v>39</v>
      </c>
      <c r="AI145" s="21"/>
      <c r="AJ145" s="21"/>
      <c r="AK145" s="21"/>
      <c r="AL145" s="21"/>
      <c r="AM145" s="21"/>
      <c r="AN145" s="21">
        <v>38</v>
      </c>
      <c r="AO145" s="21">
        <v>1</v>
      </c>
      <c r="AP145" s="21"/>
      <c r="AQ145" s="21"/>
      <c r="AR145" s="21"/>
      <c r="AS145" s="21"/>
      <c r="AT145" s="12" t="str">
        <f>HYPERLINK("http://www.openstreetmap.org/?mlat=32.8805&amp;mlon=44.3772&amp;zoom=12#map=12/32.8805/44.3772","Maplink1")</f>
        <v>Maplink1</v>
      </c>
      <c r="AU145" s="12" t="str">
        <f>HYPERLINK("https://www.google.iq/maps/search/+32.8805,44.3772/@32.8805,44.3772,14z?hl=en","Maplink2")</f>
        <v>Maplink2</v>
      </c>
      <c r="AV145" s="12" t="str">
        <f>HYPERLINK("http://www.bing.com/maps/?lvl=14&amp;sty=h&amp;cp=32.8805~44.3772&amp;sp=point.32.8805_44.3772","Maplink3")</f>
        <v>Maplink3</v>
      </c>
    </row>
    <row r="146" spans="1:48" ht="15" customHeight="1" x14ac:dyDescent="0.25">
      <c r="A146" s="19">
        <v>24985</v>
      </c>
      <c r="B146" s="20" t="s">
        <v>10</v>
      </c>
      <c r="C146" s="20" t="s">
        <v>236</v>
      </c>
      <c r="D146" s="20" t="s">
        <v>313</v>
      </c>
      <c r="E146" s="20" t="s">
        <v>314</v>
      </c>
      <c r="F146" s="20">
        <v>32.882562290000003</v>
      </c>
      <c r="G146" s="20">
        <v>44.343237819999999</v>
      </c>
      <c r="H146" s="22">
        <v>100</v>
      </c>
      <c r="I146" s="22">
        <v>600</v>
      </c>
      <c r="J146" s="21"/>
      <c r="K146" s="21">
        <v>100</v>
      </c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>
        <v>100</v>
      </c>
      <c r="AI146" s="21"/>
      <c r="AJ146" s="21"/>
      <c r="AK146" s="21"/>
      <c r="AL146" s="21"/>
      <c r="AM146" s="21">
        <v>100</v>
      </c>
      <c r="AN146" s="21"/>
      <c r="AO146" s="21"/>
      <c r="AP146" s="21"/>
      <c r="AQ146" s="21"/>
      <c r="AR146" s="21"/>
      <c r="AS146" s="21"/>
      <c r="AT146" s="12" t="str">
        <f>HYPERLINK("http://www.openstreetmap.org/?mlat=32.8826&amp;mlon=44.3432&amp;zoom=12#map=12/32.8826/44.3432","Maplink1")</f>
        <v>Maplink1</v>
      </c>
      <c r="AU146" s="12" t="str">
        <f>HYPERLINK("https://www.google.iq/maps/search/+32.8826,44.3432/@32.8826,44.3432,14z?hl=en","Maplink2")</f>
        <v>Maplink2</v>
      </c>
      <c r="AV146" s="12" t="str">
        <f>HYPERLINK("http://www.bing.com/maps/?lvl=14&amp;sty=h&amp;cp=32.8826~44.3432&amp;sp=point.32.8826_44.3432","Maplink3")</f>
        <v>Maplink3</v>
      </c>
    </row>
    <row r="147" spans="1:48" ht="15" customHeight="1" x14ac:dyDescent="0.25">
      <c r="A147" s="19">
        <v>24983</v>
      </c>
      <c r="B147" s="20" t="s">
        <v>10</v>
      </c>
      <c r="C147" s="20" t="s">
        <v>236</v>
      </c>
      <c r="D147" s="20" t="s">
        <v>315</v>
      </c>
      <c r="E147" s="20" t="s">
        <v>316</v>
      </c>
      <c r="F147" s="20">
        <v>32.788683380000002</v>
      </c>
      <c r="G147" s="20">
        <v>44.267414119999998</v>
      </c>
      <c r="H147" s="22">
        <v>128</v>
      </c>
      <c r="I147" s="22">
        <v>768</v>
      </c>
      <c r="J147" s="21"/>
      <c r="K147" s="21">
        <v>128</v>
      </c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>
        <v>128</v>
      </c>
      <c r="AI147" s="21"/>
      <c r="AJ147" s="21"/>
      <c r="AK147" s="21"/>
      <c r="AL147" s="21"/>
      <c r="AM147" s="21"/>
      <c r="AN147" s="21">
        <v>128</v>
      </c>
      <c r="AO147" s="21"/>
      <c r="AP147" s="21"/>
      <c r="AQ147" s="21"/>
      <c r="AR147" s="21"/>
      <c r="AS147" s="21"/>
      <c r="AT147" s="12" t="str">
        <f>HYPERLINK("http://www.openstreetmap.org/?mlat=32.7887&amp;mlon=44.2674&amp;zoom=12#map=12/32.7887/44.2674","Maplink1")</f>
        <v>Maplink1</v>
      </c>
      <c r="AU147" s="12" t="str">
        <f>HYPERLINK("https://www.google.iq/maps/search/+32.7887,44.2674/@32.7887,44.2674,14z?hl=en","Maplink2")</f>
        <v>Maplink2</v>
      </c>
      <c r="AV147" s="12" t="str">
        <f>HYPERLINK("http://www.bing.com/maps/?lvl=14&amp;sty=h&amp;cp=32.7887~44.2674&amp;sp=point.32.7887_44.2674","Maplink3")</f>
        <v>Maplink3</v>
      </c>
    </row>
    <row r="148" spans="1:48" ht="15" customHeight="1" x14ac:dyDescent="0.25">
      <c r="A148" s="19">
        <v>27370</v>
      </c>
      <c r="B148" s="20" t="s">
        <v>10</v>
      </c>
      <c r="C148" s="20" t="s">
        <v>236</v>
      </c>
      <c r="D148" s="20" t="s">
        <v>317</v>
      </c>
      <c r="E148" s="20" t="s">
        <v>318</v>
      </c>
      <c r="F148" s="20">
        <v>32.695084000000001</v>
      </c>
      <c r="G148" s="20">
        <v>44.263674000000002</v>
      </c>
      <c r="H148" s="22">
        <v>1</v>
      </c>
      <c r="I148" s="22">
        <v>6</v>
      </c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>
        <v>1</v>
      </c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>
        <v>1</v>
      </c>
      <c r="AI148" s="21"/>
      <c r="AJ148" s="21"/>
      <c r="AK148" s="21"/>
      <c r="AL148" s="21"/>
      <c r="AM148" s="21"/>
      <c r="AN148" s="21">
        <v>1</v>
      </c>
      <c r="AO148" s="21"/>
      <c r="AP148" s="21"/>
      <c r="AQ148" s="21"/>
      <c r="AR148" s="21"/>
      <c r="AS148" s="21"/>
      <c r="AT148" s="12" t="str">
        <f>HYPERLINK("http://www.openstreetmap.org/?mlat=32.6951&amp;mlon=44.2637&amp;zoom=12#map=12/32.6951/44.2637","Maplink1")</f>
        <v>Maplink1</v>
      </c>
      <c r="AU148" s="12" t="str">
        <f>HYPERLINK("https://www.google.iq/maps/search/+32.6951,44.2637/@32.6951,44.2637,14z?hl=en","Maplink2")</f>
        <v>Maplink2</v>
      </c>
      <c r="AV148" s="12" t="str">
        <f>HYPERLINK("http://www.bing.com/maps/?lvl=14&amp;sty=h&amp;cp=32.6951~44.2637&amp;sp=point.32.6951_44.2637","Maplink3")</f>
        <v>Maplink3</v>
      </c>
    </row>
    <row r="149" spans="1:48" ht="15" customHeight="1" x14ac:dyDescent="0.25">
      <c r="A149" s="19">
        <v>24955</v>
      </c>
      <c r="B149" s="20" t="s">
        <v>10</v>
      </c>
      <c r="C149" s="20" t="s">
        <v>236</v>
      </c>
      <c r="D149" s="20" t="s">
        <v>319</v>
      </c>
      <c r="E149" s="20" t="s">
        <v>320</v>
      </c>
      <c r="F149" s="20">
        <v>32.76847566</v>
      </c>
      <c r="G149" s="20">
        <v>44.289070860000002</v>
      </c>
      <c r="H149" s="22">
        <v>22</v>
      </c>
      <c r="I149" s="22">
        <v>132</v>
      </c>
      <c r="J149" s="21"/>
      <c r="K149" s="21">
        <v>22</v>
      </c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>
        <v>22</v>
      </c>
      <c r="AI149" s="21"/>
      <c r="AJ149" s="21"/>
      <c r="AK149" s="21"/>
      <c r="AL149" s="21"/>
      <c r="AM149" s="21"/>
      <c r="AN149" s="21">
        <v>22</v>
      </c>
      <c r="AO149" s="21"/>
      <c r="AP149" s="21"/>
      <c r="AQ149" s="21"/>
      <c r="AR149" s="21"/>
      <c r="AS149" s="21"/>
      <c r="AT149" s="12" t="str">
        <f>HYPERLINK("http://www.openstreetmap.org/?mlat=32.7685&amp;mlon=44.2891&amp;zoom=12#map=12/32.7685/44.2891","Maplink1")</f>
        <v>Maplink1</v>
      </c>
      <c r="AU149" s="12" t="str">
        <f>HYPERLINK("https://www.google.iq/maps/search/+32.7685,44.2891/@32.7685,44.2891,14z?hl=en","Maplink2")</f>
        <v>Maplink2</v>
      </c>
      <c r="AV149" s="12" t="str">
        <f>HYPERLINK("http://www.bing.com/maps/?lvl=14&amp;sty=h&amp;cp=32.7685~44.2891&amp;sp=point.32.7685_44.2891","Maplink3")</f>
        <v>Maplink3</v>
      </c>
    </row>
    <row r="150" spans="1:48" ht="15" customHeight="1" x14ac:dyDescent="0.25">
      <c r="A150" s="19">
        <v>24956</v>
      </c>
      <c r="B150" s="20" t="s">
        <v>10</v>
      </c>
      <c r="C150" s="20" t="s">
        <v>236</v>
      </c>
      <c r="D150" s="20" t="s">
        <v>321</v>
      </c>
      <c r="E150" s="20" t="s">
        <v>322</v>
      </c>
      <c r="F150" s="20">
        <v>32.76145992</v>
      </c>
      <c r="G150" s="20">
        <v>44.286151109999999</v>
      </c>
      <c r="H150" s="22">
        <v>1</v>
      </c>
      <c r="I150" s="22">
        <v>6</v>
      </c>
      <c r="J150" s="21"/>
      <c r="K150" s="21">
        <v>1</v>
      </c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>
        <v>1</v>
      </c>
      <c r="AI150" s="21"/>
      <c r="AJ150" s="21"/>
      <c r="AK150" s="21"/>
      <c r="AL150" s="21"/>
      <c r="AM150" s="21"/>
      <c r="AN150" s="21">
        <v>1</v>
      </c>
      <c r="AO150" s="21"/>
      <c r="AP150" s="21"/>
      <c r="AQ150" s="21"/>
      <c r="AR150" s="21"/>
      <c r="AS150" s="21"/>
      <c r="AT150" s="12" t="str">
        <f>HYPERLINK("http://www.openstreetmap.org/?mlat=32.7615&amp;mlon=44.2862&amp;zoom=12#map=12/32.7615/44.2862","Maplink1")</f>
        <v>Maplink1</v>
      </c>
      <c r="AU150" s="12" t="str">
        <f>HYPERLINK("https://www.google.iq/maps/search/+32.7615,44.2862/@32.7615,44.2862,14z?hl=en","Maplink2")</f>
        <v>Maplink2</v>
      </c>
      <c r="AV150" s="12" t="str">
        <f>HYPERLINK("http://www.bing.com/maps/?lvl=14&amp;sty=h&amp;cp=32.7615~44.2862&amp;sp=point.32.7615_44.2862","Maplink3")</f>
        <v>Maplink3</v>
      </c>
    </row>
    <row r="151" spans="1:48" ht="15" customHeight="1" x14ac:dyDescent="0.25">
      <c r="A151" s="19">
        <v>24981</v>
      </c>
      <c r="B151" s="20" t="s">
        <v>10</v>
      </c>
      <c r="C151" s="20" t="s">
        <v>236</v>
      </c>
      <c r="D151" s="20" t="s">
        <v>323</v>
      </c>
      <c r="E151" s="20" t="s">
        <v>324</v>
      </c>
      <c r="F151" s="20">
        <v>32.756839110000001</v>
      </c>
      <c r="G151" s="20">
        <v>44.283299249999999</v>
      </c>
      <c r="H151" s="22">
        <v>3</v>
      </c>
      <c r="I151" s="22">
        <v>18</v>
      </c>
      <c r="J151" s="21"/>
      <c r="K151" s="21">
        <v>3</v>
      </c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>
        <v>3</v>
      </c>
      <c r="AI151" s="21"/>
      <c r="AJ151" s="21"/>
      <c r="AK151" s="21"/>
      <c r="AL151" s="21"/>
      <c r="AM151" s="21">
        <v>2</v>
      </c>
      <c r="AN151" s="21">
        <v>1</v>
      </c>
      <c r="AO151" s="21"/>
      <c r="AP151" s="21"/>
      <c r="AQ151" s="21"/>
      <c r="AR151" s="21"/>
      <c r="AS151" s="21"/>
      <c r="AT151" s="12" t="str">
        <f>HYPERLINK("http://www.openstreetmap.org/?mlat=32.7568&amp;mlon=44.2833&amp;zoom=12#map=12/32.7568/44.2833","Maplink1")</f>
        <v>Maplink1</v>
      </c>
      <c r="AU151" s="12" t="str">
        <f>HYPERLINK("https://www.google.iq/maps/search/+32.7568,44.2833/@32.7568,44.2833,14z?hl=en","Maplink2")</f>
        <v>Maplink2</v>
      </c>
      <c r="AV151" s="12" t="str">
        <f>HYPERLINK("http://www.bing.com/maps/?lvl=14&amp;sty=h&amp;cp=32.7568~44.2833&amp;sp=point.32.7568_44.2833","Maplink3")</f>
        <v>Maplink3</v>
      </c>
    </row>
    <row r="152" spans="1:48" ht="15" customHeight="1" x14ac:dyDescent="0.25">
      <c r="A152" s="19">
        <v>7149</v>
      </c>
      <c r="B152" s="20" t="s">
        <v>10</v>
      </c>
      <c r="C152" s="20" t="s">
        <v>236</v>
      </c>
      <c r="D152" s="20" t="s">
        <v>325</v>
      </c>
      <c r="E152" s="20" t="s">
        <v>326</v>
      </c>
      <c r="F152" s="20">
        <v>32.869093450000001</v>
      </c>
      <c r="G152" s="20">
        <v>44.342204580000001</v>
      </c>
      <c r="H152" s="22">
        <v>25</v>
      </c>
      <c r="I152" s="22">
        <v>150</v>
      </c>
      <c r="J152" s="21"/>
      <c r="K152" s="21">
        <v>18</v>
      </c>
      <c r="L152" s="21">
        <v>3</v>
      </c>
      <c r="M152" s="21"/>
      <c r="N152" s="21"/>
      <c r="O152" s="21"/>
      <c r="P152" s="21"/>
      <c r="Q152" s="21"/>
      <c r="R152" s="21"/>
      <c r="S152" s="21"/>
      <c r="T152" s="21"/>
      <c r="U152" s="21"/>
      <c r="V152" s="21">
        <v>1</v>
      </c>
      <c r="W152" s="21"/>
      <c r="X152" s="21">
        <v>3</v>
      </c>
      <c r="Y152" s="21"/>
      <c r="Z152" s="21"/>
      <c r="AA152" s="21"/>
      <c r="AB152" s="21"/>
      <c r="AC152" s="21"/>
      <c r="AD152" s="21"/>
      <c r="AE152" s="21"/>
      <c r="AF152" s="21"/>
      <c r="AG152" s="21"/>
      <c r="AH152" s="21">
        <v>25</v>
      </c>
      <c r="AI152" s="21"/>
      <c r="AJ152" s="21"/>
      <c r="AK152" s="21"/>
      <c r="AL152" s="21"/>
      <c r="AM152" s="21">
        <v>16</v>
      </c>
      <c r="AN152" s="21">
        <v>9</v>
      </c>
      <c r="AO152" s="21"/>
      <c r="AP152" s="21"/>
      <c r="AQ152" s="21"/>
      <c r="AR152" s="21"/>
      <c r="AS152" s="21"/>
      <c r="AT152" s="12" t="str">
        <f>HYPERLINK("http://www.openstreetmap.org/?mlat=32.8691&amp;mlon=44.3422&amp;zoom=12#map=12/32.8691/44.3422","Maplink1")</f>
        <v>Maplink1</v>
      </c>
      <c r="AU152" s="12" t="str">
        <f>HYPERLINK("https://www.google.iq/maps/search/+32.8691,44.3422/@32.8691,44.3422,14z?hl=en","Maplink2")</f>
        <v>Maplink2</v>
      </c>
      <c r="AV152" s="12" t="str">
        <f>HYPERLINK("http://www.bing.com/maps/?lvl=14&amp;sty=h&amp;cp=32.8691~44.3422&amp;sp=point.32.8691_44.3422","Maplink3")</f>
        <v>Maplink3</v>
      </c>
    </row>
    <row r="153" spans="1:48" ht="15" customHeight="1" x14ac:dyDescent="0.25">
      <c r="A153" s="19">
        <v>7132</v>
      </c>
      <c r="B153" s="20" t="s">
        <v>10</v>
      </c>
      <c r="C153" s="20" t="s">
        <v>236</v>
      </c>
      <c r="D153" s="20" t="s">
        <v>327</v>
      </c>
      <c r="E153" s="20" t="s">
        <v>328</v>
      </c>
      <c r="F153" s="20">
        <v>32.773715000000003</v>
      </c>
      <c r="G153" s="20">
        <v>44.264625000000002</v>
      </c>
      <c r="H153" s="22">
        <v>79</v>
      </c>
      <c r="I153" s="22">
        <v>474</v>
      </c>
      <c r="J153" s="21"/>
      <c r="K153" s="21">
        <v>79</v>
      </c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>
        <v>79</v>
      </c>
      <c r="AI153" s="21"/>
      <c r="AJ153" s="21"/>
      <c r="AK153" s="21"/>
      <c r="AL153" s="21"/>
      <c r="AM153" s="21">
        <v>72</v>
      </c>
      <c r="AN153" s="21">
        <v>7</v>
      </c>
      <c r="AO153" s="21"/>
      <c r="AP153" s="21"/>
      <c r="AQ153" s="21"/>
      <c r="AR153" s="21"/>
      <c r="AS153" s="21"/>
      <c r="AT153" s="12" t="str">
        <f>HYPERLINK("http://www.openstreetmap.org/?mlat=32.7737&amp;mlon=44.2646&amp;zoom=12#map=12/32.7737/44.2646","Maplink1")</f>
        <v>Maplink1</v>
      </c>
      <c r="AU153" s="12" t="str">
        <f>HYPERLINK("https://www.google.iq/maps/search/+32.7737,44.2646/@32.7737,44.2646,14z?hl=en","Maplink2")</f>
        <v>Maplink2</v>
      </c>
      <c r="AV153" s="12" t="str">
        <f>HYPERLINK("http://www.bing.com/maps/?lvl=14&amp;sty=h&amp;cp=32.7737~44.2646&amp;sp=point.32.7737_44.2646","Maplink3")</f>
        <v>Maplink3</v>
      </c>
    </row>
    <row r="154" spans="1:48" ht="15" customHeight="1" x14ac:dyDescent="0.25">
      <c r="A154" s="19">
        <v>27371</v>
      </c>
      <c r="B154" s="20" t="s">
        <v>10</v>
      </c>
      <c r="C154" s="20" t="s">
        <v>236</v>
      </c>
      <c r="D154" s="20" t="s">
        <v>329</v>
      </c>
      <c r="E154" s="20" t="s">
        <v>330</v>
      </c>
      <c r="F154" s="20">
        <v>32.719071470000003</v>
      </c>
      <c r="G154" s="20">
        <v>44.282314960000001</v>
      </c>
      <c r="H154" s="22">
        <v>2</v>
      </c>
      <c r="I154" s="22">
        <v>12</v>
      </c>
      <c r="J154" s="21"/>
      <c r="K154" s="21">
        <v>2</v>
      </c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>
        <v>2</v>
      </c>
      <c r="AI154" s="21"/>
      <c r="AJ154" s="21"/>
      <c r="AK154" s="21"/>
      <c r="AL154" s="21"/>
      <c r="AM154" s="21">
        <v>2</v>
      </c>
      <c r="AN154" s="21"/>
      <c r="AO154" s="21"/>
      <c r="AP154" s="21"/>
      <c r="AQ154" s="21"/>
      <c r="AR154" s="21"/>
      <c r="AS154" s="21"/>
      <c r="AT154" s="12" t="str">
        <f>HYPERLINK("http://www.openstreetmap.org/?mlat=32.7191&amp;mlon=44.2823&amp;zoom=12#map=12/32.7191/44.2823","Maplink1")</f>
        <v>Maplink1</v>
      </c>
      <c r="AU154" s="12" t="str">
        <f>HYPERLINK("https://www.google.iq/maps/search/+32.7191,44.2823/@32.7191,44.2823,14z?hl=en","Maplink2")</f>
        <v>Maplink2</v>
      </c>
      <c r="AV154" s="12" t="str">
        <f>HYPERLINK("http://www.bing.com/maps/?lvl=14&amp;sty=h&amp;cp=32.7191~44.2823&amp;sp=point.32.7191_44.2823","Maplink3")</f>
        <v>Maplink3</v>
      </c>
    </row>
    <row r="155" spans="1:48" ht="15" customHeight="1" x14ac:dyDescent="0.25">
      <c r="A155" s="19">
        <v>6950</v>
      </c>
      <c r="B155" s="20" t="s">
        <v>10</v>
      </c>
      <c r="C155" s="20" t="s">
        <v>236</v>
      </c>
      <c r="D155" s="20" t="s">
        <v>331</v>
      </c>
      <c r="E155" s="20" t="s">
        <v>332</v>
      </c>
      <c r="F155" s="20">
        <v>32.71269238</v>
      </c>
      <c r="G155" s="20">
        <v>44.277667700000002</v>
      </c>
      <c r="H155" s="22">
        <v>2</v>
      </c>
      <c r="I155" s="22">
        <v>12</v>
      </c>
      <c r="J155" s="21">
        <v>1</v>
      </c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>
        <v>1</v>
      </c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>
        <v>2</v>
      </c>
      <c r="AI155" s="21"/>
      <c r="AJ155" s="21"/>
      <c r="AK155" s="21"/>
      <c r="AL155" s="21"/>
      <c r="AM155" s="21"/>
      <c r="AN155" s="21">
        <v>1</v>
      </c>
      <c r="AO155" s="21">
        <v>1</v>
      </c>
      <c r="AP155" s="21"/>
      <c r="AQ155" s="21"/>
      <c r="AR155" s="21"/>
      <c r="AS155" s="21"/>
      <c r="AT155" s="12" t="str">
        <f>HYPERLINK("http://www.openstreetmap.org/?mlat=32.7127&amp;mlon=44.2777&amp;zoom=12#map=12/32.7127/44.2777","Maplink1")</f>
        <v>Maplink1</v>
      </c>
      <c r="AU155" s="12" t="str">
        <f>HYPERLINK("https://www.google.iq/maps/search/+32.7127,44.2777/@32.7127,44.2777,14z?hl=en","Maplink2")</f>
        <v>Maplink2</v>
      </c>
      <c r="AV155" s="12" t="str">
        <f>HYPERLINK("http://www.bing.com/maps/?lvl=14&amp;sty=h&amp;cp=32.7127~44.2777&amp;sp=point.32.7127_44.2777","Maplink3")</f>
        <v>Maplink3</v>
      </c>
    </row>
    <row r="156" spans="1:48" ht="15" customHeight="1" x14ac:dyDescent="0.25">
      <c r="A156" s="19">
        <v>24172</v>
      </c>
      <c r="B156" s="20" t="s">
        <v>10</v>
      </c>
      <c r="C156" s="20" t="s">
        <v>236</v>
      </c>
      <c r="D156" s="20" t="s">
        <v>333</v>
      </c>
      <c r="E156" s="20" t="s">
        <v>334</v>
      </c>
      <c r="F156" s="20">
        <v>32.71310854</v>
      </c>
      <c r="G156" s="20">
        <v>44.295735649999997</v>
      </c>
      <c r="H156" s="22">
        <v>23</v>
      </c>
      <c r="I156" s="22">
        <v>138</v>
      </c>
      <c r="J156" s="21"/>
      <c r="K156" s="21">
        <v>22</v>
      </c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>
        <v>1</v>
      </c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>
        <v>23</v>
      </c>
      <c r="AI156" s="21"/>
      <c r="AJ156" s="21"/>
      <c r="AK156" s="21"/>
      <c r="AL156" s="21"/>
      <c r="AM156" s="21">
        <v>1</v>
      </c>
      <c r="AN156" s="21">
        <v>22</v>
      </c>
      <c r="AO156" s="21"/>
      <c r="AP156" s="21"/>
      <c r="AQ156" s="21"/>
      <c r="AR156" s="21"/>
      <c r="AS156" s="21"/>
      <c r="AT156" s="12" t="str">
        <f>HYPERLINK("http://www.openstreetmap.org/?mlat=32.7131&amp;mlon=44.2957&amp;zoom=12#map=12/32.7131/44.2957","Maplink1")</f>
        <v>Maplink1</v>
      </c>
      <c r="AU156" s="12" t="str">
        <f>HYPERLINK("https://www.google.iq/maps/search/+32.7131,44.2957/@32.7131,44.2957,14z?hl=en","Maplink2")</f>
        <v>Maplink2</v>
      </c>
      <c r="AV156" s="12" t="str">
        <f>HYPERLINK("http://www.bing.com/maps/?lvl=14&amp;sty=h&amp;cp=32.7131~44.2957&amp;sp=point.32.7131_44.2957","Maplink3")</f>
        <v>Maplink3</v>
      </c>
    </row>
    <row r="157" spans="1:48" ht="15" customHeight="1" x14ac:dyDescent="0.25">
      <c r="A157" s="19">
        <v>24954</v>
      </c>
      <c r="B157" s="20" t="s">
        <v>10</v>
      </c>
      <c r="C157" s="20" t="s">
        <v>236</v>
      </c>
      <c r="D157" s="20" t="s">
        <v>335</v>
      </c>
      <c r="E157" s="20" t="s">
        <v>336</v>
      </c>
      <c r="F157" s="20">
        <v>32.765386849999999</v>
      </c>
      <c r="G157" s="20">
        <v>44.286122949999999</v>
      </c>
      <c r="H157" s="22">
        <v>32</v>
      </c>
      <c r="I157" s="22">
        <v>192</v>
      </c>
      <c r="J157" s="21"/>
      <c r="K157" s="21">
        <v>32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>
        <v>32</v>
      </c>
      <c r="AI157" s="21"/>
      <c r="AJ157" s="21"/>
      <c r="AK157" s="21"/>
      <c r="AL157" s="21"/>
      <c r="AM157" s="21"/>
      <c r="AN157" s="21">
        <v>32</v>
      </c>
      <c r="AO157" s="21"/>
      <c r="AP157" s="21"/>
      <c r="AQ157" s="21"/>
      <c r="AR157" s="21"/>
      <c r="AS157" s="21"/>
      <c r="AT157" s="12" t="str">
        <f>HYPERLINK("http://www.openstreetmap.org/?mlat=32.7654&amp;mlon=44.2861&amp;zoom=12#map=12/32.7654/44.2861","Maplink1")</f>
        <v>Maplink1</v>
      </c>
      <c r="AU157" s="12" t="str">
        <f>HYPERLINK("https://www.google.iq/maps/search/+32.7654,44.2861/@32.7654,44.2861,14z?hl=en","Maplink2")</f>
        <v>Maplink2</v>
      </c>
      <c r="AV157" s="12" t="str">
        <f>HYPERLINK("http://www.bing.com/maps/?lvl=14&amp;sty=h&amp;cp=32.7654~44.2861&amp;sp=point.32.7654_44.2861","Maplink3")</f>
        <v>Maplink3</v>
      </c>
    </row>
    <row r="158" spans="1:48" ht="15" customHeight="1" x14ac:dyDescent="0.25">
      <c r="A158" s="19">
        <v>24646</v>
      </c>
      <c r="B158" s="20" t="s">
        <v>10</v>
      </c>
      <c r="C158" s="20" t="s">
        <v>337</v>
      </c>
      <c r="D158" s="20" t="s">
        <v>339</v>
      </c>
      <c r="E158" s="20" t="s">
        <v>340</v>
      </c>
      <c r="F158" s="20">
        <v>32.384230019999997</v>
      </c>
      <c r="G158" s="20">
        <v>44.535413740000003</v>
      </c>
      <c r="H158" s="22">
        <v>1</v>
      </c>
      <c r="I158" s="22">
        <v>6</v>
      </c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>
        <v>1</v>
      </c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>
        <v>1</v>
      </c>
      <c r="AI158" s="21"/>
      <c r="AJ158" s="21"/>
      <c r="AK158" s="21"/>
      <c r="AL158" s="21"/>
      <c r="AM158" s="21">
        <v>1</v>
      </c>
      <c r="AN158" s="21"/>
      <c r="AO158" s="21"/>
      <c r="AP158" s="21"/>
      <c r="AQ158" s="21"/>
      <c r="AR158" s="21"/>
      <c r="AS158" s="21"/>
      <c r="AT158" s="12" t="str">
        <f>HYPERLINK("http://www.openstreetmap.org/?mlat=32.3842&amp;mlon=44.5354&amp;zoom=12#map=12/32.3842/44.5354","Maplink1")</f>
        <v>Maplink1</v>
      </c>
      <c r="AU158" s="12" t="str">
        <f>HYPERLINK("https://www.google.iq/maps/search/+32.3842,44.5354/@32.3842,44.5354,14z?hl=en","Maplink2")</f>
        <v>Maplink2</v>
      </c>
      <c r="AV158" s="12" t="str">
        <f>HYPERLINK("http://www.bing.com/maps/?lvl=14&amp;sty=h&amp;cp=32.3842~44.5354&amp;sp=point.32.3842_44.5354","Maplink3")</f>
        <v>Maplink3</v>
      </c>
    </row>
    <row r="159" spans="1:48" ht="15" customHeight="1" x14ac:dyDescent="0.25">
      <c r="A159" s="19">
        <v>24544</v>
      </c>
      <c r="B159" s="20" t="s">
        <v>10</v>
      </c>
      <c r="C159" s="20" t="s">
        <v>337</v>
      </c>
      <c r="D159" s="20" t="s">
        <v>341</v>
      </c>
      <c r="E159" s="20" t="s">
        <v>342</v>
      </c>
      <c r="F159" s="20">
        <v>32.390003350000001</v>
      </c>
      <c r="G159" s="20">
        <v>44.548839030000003</v>
      </c>
      <c r="H159" s="22">
        <v>1</v>
      </c>
      <c r="I159" s="22">
        <v>6</v>
      </c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>
        <v>1</v>
      </c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>
        <v>1</v>
      </c>
      <c r="AI159" s="21"/>
      <c r="AJ159" s="21"/>
      <c r="AK159" s="21"/>
      <c r="AL159" s="21"/>
      <c r="AM159" s="21">
        <v>1</v>
      </c>
      <c r="AN159" s="21"/>
      <c r="AO159" s="21"/>
      <c r="AP159" s="21"/>
      <c r="AQ159" s="21"/>
      <c r="AR159" s="21"/>
      <c r="AS159" s="21"/>
      <c r="AT159" s="12" t="str">
        <f>HYPERLINK("http://www.openstreetmap.org/?mlat=32.39&amp;mlon=44.5488&amp;zoom=12#map=12/32.39/44.5488","Maplink1")</f>
        <v>Maplink1</v>
      </c>
      <c r="AU159" s="12" t="str">
        <f>HYPERLINK("https://www.google.iq/maps/search/+32.39,44.5488/@32.39,44.5488,14z?hl=en","Maplink2")</f>
        <v>Maplink2</v>
      </c>
      <c r="AV159" s="12" t="str">
        <f>HYPERLINK("http://www.bing.com/maps/?lvl=14&amp;sty=h&amp;cp=32.39~44.5488&amp;sp=point.32.39_44.5488","Maplink3")</f>
        <v>Maplink3</v>
      </c>
    </row>
    <row r="160" spans="1:48" ht="15" customHeight="1" x14ac:dyDescent="0.25">
      <c r="A160" s="19">
        <v>24271</v>
      </c>
      <c r="B160" s="20" t="s">
        <v>10</v>
      </c>
      <c r="C160" s="20" t="s">
        <v>337</v>
      </c>
      <c r="D160" s="20" t="s">
        <v>343</v>
      </c>
      <c r="E160" s="20" t="s">
        <v>344</v>
      </c>
      <c r="F160" s="20">
        <v>32.399483600300002</v>
      </c>
      <c r="G160" s="20">
        <v>44.661386776599997</v>
      </c>
      <c r="H160" s="22">
        <v>1</v>
      </c>
      <c r="I160" s="22">
        <v>6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>
        <v>1</v>
      </c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>
        <v>1</v>
      </c>
      <c r="AI160" s="21"/>
      <c r="AJ160" s="21"/>
      <c r="AK160" s="21"/>
      <c r="AL160" s="21"/>
      <c r="AM160" s="21">
        <v>1</v>
      </c>
      <c r="AN160" s="21"/>
      <c r="AO160" s="21"/>
      <c r="AP160" s="21"/>
      <c r="AQ160" s="21"/>
      <c r="AR160" s="21"/>
      <c r="AS160" s="21"/>
      <c r="AT160" s="12" t="str">
        <f>HYPERLINK("http://www.openstreetmap.org/?mlat=32.3995&amp;mlon=44.6614&amp;zoom=12#map=12/32.3995/44.6614","Maplink1")</f>
        <v>Maplink1</v>
      </c>
      <c r="AU160" s="12" t="str">
        <f>HYPERLINK("https://www.google.iq/maps/search/+32.3995,44.6614/@32.3995,44.6614,14z?hl=en","Maplink2")</f>
        <v>Maplink2</v>
      </c>
      <c r="AV160" s="12" t="str">
        <f>HYPERLINK("http://www.bing.com/maps/?lvl=14&amp;sty=h&amp;cp=32.3995~44.6614&amp;sp=point.32.3995_44.6614","Maplink3")</f>
        <v>Maplink3</v>
      </c>
    </row>
    <row r="161" spans="1:48" ht="15" customHeight="1" x14ac:dyDescent="0.25">
      <c r="A161" s="19">
        <v>24270</v>
      </c>
      <c r="B161" s="20" t="s">
        <v>10</v>
      </c>
      <c r="C161" s="20" t="s">
        <v>337</v>
      </c>
      <c r="D161" s="20" t="s">
        <v>345</v>
      </c>
      <c r="E161" s="20" t="s">
        <v>346</v>
      </c>
      <c r="F161" s="20">
        <v>32.403444405599998</v>
      </c>
      <c r="G161" s="20">
        <v>44.664741978000002</v>
      </c>
      <c r="H161" s="22">
        <v>10</v>
      </c>
      <c r="I161" s="22">
        <v>60</v>
      </c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>
        <v>10</v>
      </c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>
        <v>10</v>
      </c>
      <c r="AI161" s="21"/>
      <c r="AJ161" s="21"/>
      <c r="AK161" s="21"/>
      <c r="AL161" s="21"/>
      <c r="AM161" s="21">
        <v>10</v>
      </c>
      <c r="AN161" s="21"/>
      <c r="AO161" s="21"/>
      <c r="AP161" s="21"/>
      <c r="AQ161" s="21"/>
      <c r="AR161" s="21"/>
      <c r="AS161" s="21"/>
      <c r="AT161" s="12" t="str">
        <f>HYPERLINK("http://www.openstreetmap.org/?mlat=32.4034&amp;mlon=44.6647&amp;zoom=12#map=12/32.4034/44.6647","Maplink1")</f>
        <v>Maplink1</v>
      </c>
      <c r="AU161" s="12" t="str">
        <f>HYPERLINK("https://www.google.iq/maps/search/+32.4034,44.6647/@32.4034,44.6647,14z?hl=en","Maplink2")</f>
        <v>Maplink2</v>
      </c>
      <c r="AV161" s="12" t="str">
        <f>HYPERLINK("http://www.bing.com/maps/?lvl=14&amp;sty=h&amp;cp=32.4034~44.6647&amp;sp=point.32.4034_44.6647","Maplink3")</f>
        <v>Maplink3</v>
      </c>
    </row>
    <row r="162" spans="1:48" ht="15" customHeight="1" x14ac:dyDescent="0.25">
      <c r="A162" s="19">
        <v>25896</v>
      </c>
      <c r="B162" s="20" t="s">
        <v>10</v>
      </c>
      <c r="C162" s="20" t="s">
        <v>337</v>
      </c>
      <c r="D162" s="20" t="s">
        <v>347</v>
      </c>
      <c r="E162" s="20" t="s">
        <v>348</v>
      </c>
      <c r="F162" s="20">
        <v>32.403968069999998</v>
      </c>
      <c r="G162" s="20">
        <v>44.67146108</v>
      </c>
      <c r="H162" s="22">
        <v>3</v>
      </c>
      <c r="I162" s="22">
        <v>18</v>
      </c>
      <c r="J162" s="21">
        <v>2</v>
      </c>
      <c r="K162" s="21"/>
      <c r="L162" s="21"/>
      <c r="M162" s="21"/>
      <c r="N162" s="21"/>
      <c r="O162" s="21"/>
      <c r="P162" s="21"/>
      <c r="Q162" s="21"/>
      <c r="R162" s="21">
        <v>1</v>
      </c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>
        <v>3</v>
      </c>
      <c r="AI162" s="21"/>
      <c r="AJ162" s="21"/>
      <c r="AK162" s="21"/>
      <c r="AL162" s="21"/>
      <c r="AM162" s="21"/>
      <c r="AN162" s="21">
        <v>1</v>
      </c>
      <c r="AO162" s="21">
        <v>2</v>
      </c>
      <c r="AP162" s="21"/>
      <c r="AQ162" s="21"/>
      <c r="AR162" s="21"/>
      <c r="AS162" s="21"/>
      <c r="AT162" s="12" t="str">
        <f>HYPERLINK("http://www.openstreetmap.org/?mlat=32.404&amp;mlon=44.6715&amp;zoom=12#map=12/32.404/44.6715","Maplink1")</f>
        <v>Maplink1</v>
      </c>
      <c r="AU162" s="12" t="str">
        <f>HYPERLINK("https://www.google.iq/maps/search/+32.404,44.6715/@32.404,44.6715,14z?hl=en","Maplink2")</f>
        <v>Maplink2</v>
      </c>
      <c r="AV162" s="12" t="str">
        <f>HYPERLINK("http://www.bing.com/maps/?lvl=14&amp;sty=h&amp;cp=32.404~44.6715&amp;sp=point.32.404_44.6715","Maplink3")</f>
        <v>Maplink3</v>
      </c>
    </row>
    <row r="163" spans="1:48" ht="15" customHeight="1" x14ac:dyDescent="0.25">
      <c r="A163" s="19">
        <v>24711</v>
      </c>
      <c r="B163" s="20" t="s">
        <v>10</v>
      </c>
      <c r="C163" s="20" t="s">
        <v>337</v>
      </c>
      <c r="D163" s="20" t="s">
        <v>349</v>
      </c>
      <c r="E163" s="20" t="s">
        <v>350</v>
      </c>
      <c r="F163" s="20">
        <v>32.323367810000001</v>
      </c>
      <c r="G163" s="20">
        <v>44.923401640000002</v>
      </c>
      <c r="H163" s="22">
        <v>3</v>
      </c>
      <c r="I163" s="22">
        <v>18</v>
      </c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>
        <v>3</v>
      </c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>
        <v>3</v>
      </c>
      <c r="AH163" s="21"/>
      <c r="AI163" s="21"/>
      <c r="AJ163" s="21"/>
      <c r="AK163" s="21"/>
      <c r="AL163" s="21"/>
      <c r="AM163" s="21">
        <v>3</v>
      </c>
      <c r="AN163" s="21"/>
      <c r="AO163" s="21"/>
      <c r="AP163" s="21"/>
      <c r="AQ163" s="21"/>
      <c r="AR163" s="21"/>
      <c r="AS163" s="21"/>
      <c r="AT163" s="12" t="str">
        <f>HYPERLINK("http://www.openstreetmap.org/?mlat=32.3234&amp;mlon=44.9234&amp;zoom=12#map=12/32.3234/44.9234","Maplink1")</f>
        <v>Maplink1</v>
      </c>
      <c r="AU163" s="12" t="str">
        <f>HYPERLINK("https://www.google.iq/maps/search/+32.3234,44.9234/@32.3234,44.9234,14z?hl=en","Maplink2")</f>
        <v>Maplink2</v>
      </c>
      <c r="AV163" s="12" t="str">
        <f>HYPERLINK("http://www.bing.com/maps/?lvl=14&amp;sty=h&amp;cp=32.3234~44.9234&amp;sp=point.32.3234_44.9234","Maplink3")</f>
        <v>Maplink3</v>
      </c>
    </row>
    <row r="164" spans="1:48" ht="15" customHeight="1" x14ac:dyDescent="0.25">
      <c r="A164" s="19">
        <v>6361</v>
      </c>
      <c r="B164" s="20" t="s">
        <v>10</v>
      </c>
      <c r="C164" s="20" t="s">
        <v>337</v>
      </c>
      <c r="D164" s="20" t="s">
        <v>351</v>
      </c>
      <c r="E164" s="20" t="s">
        <v>352</v>
      </c>
      <c r="F164" s="20">
        <v>32.297471457100002</v>
      </c>
      <c r="G164" s="20">
        <v>44.696717376199999</v>
      </c>
      <c r="H164" s="22">
        <v>7</v>
      </c>
      <c r="I164" s="22">
        <v>42</v>
      </c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>
        <v>7</v>
      </c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>
        <v>7</v>
      </c>
      <c r="AI164" s="21"/>
      <c r="AJ164" s="21"/>
      <c r="AK164" s="21"/>
      <c r="AL164" s="21"/>
      <c r="AM164" s="21">
        <v>7</v>
      </c>
      <c r="AN164" s="21"/>
      <c r="AO164" s="21"/>
      <c r="AP164" s="21"/>
      <c r="AQ164" s="21"/>
      <c r="AR164" s="21"/>
      <c r="AS164" s="21"/>
      <c r="AT164" s="12" t="str">
        <f>HYPERLINK("http://www.openstreetmap.org/?mlat=32.2975&amp;mlon=44.6967&amp;zoom=12#map=12/32.2975/44.6967","Maplink1")</f>
        <v>Maplink1</v>
      </c>
      <c r="AU164" s="12" t="str">
        <f>HYPERLINK("https://www.google.iq/maps/search/+32.2975,44.6967/@32.2975,44.6967,14z?hl=en","Maplink2")</f>
        <v>Maplink2</v>
      </c>
      <c r="AV164" s="12" t="str">
        <f>HYPERLINK("http://www.bing.com/maps/?lvl=14&amp;sty=h&amp;cp=32.2975~44.6967&amp;sp=point.32.2975_44.6967","Maplink3")</f>
        <v>Maplink3</v>
      </c>
    </row>
    <row r="165" spans="1:48" ht="15" customHeight="1" x14ac:dyDescent="0.25">
      <c r="A165" s="19">
        <v>6679</v>
      </c>
      <c r="B165" s="20" t="s">
        <v>10</v>
      </c>
      <c r="C165" s="20" t="s">
        <v>337</v>
      </c>
      <c r="D165" s="20" t="s">
        <v>353</v>
      </c>
      <c r="E165" s="20" t="s">
        <v>354</v>
      </c>
      <c r="F165" s="20">
        <v>32.288081169999998</v>
      </c>
      <c r="G165" s="20">
        <v>44.68437608</v>
      </c>
      <c r="H165" s="22">
        <v>1</v>
      </c>
      <c r="I165" s="22">
        <v>6</v>
      </c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>
        <v>1</v>
      </c>
      <c r="Y165" s="21"/>
      <c r="Z165" s="21"/>
      <c r="AA165" s="21"/>
      <c r="AB165" s="21"/>
      <c r="AC165" s="21"/>
      <c r="AD165" s="21"/>
      <c r="AE165" s="21"/>
      <c r="AF165" s="21"/>
      <c r="AG165" s="21"/>
      <c r="AH165" s="21">
        <v>1</v>
      </c>
      <c r="AI165" s="21"/>
      <c r="AJ165" s="21"/>
      <c r="AK165" s="21"/>
      <c r="AL165" s="21"/>
      <c r="AM165" s="21"/>
      <c r="AN165" s="21">
        <v>1</v>
      </c>
      <c r="AO165" s="21"/>
      <c r="AP165" s="21"/>
      <c r="AQ165" s="21"/>
      <c r="AR165" s="21"/>
      <c r="AS165" s="21"/>
      <c r="AT165" s="12" t="str">
        <f>HYPERLINK("http://www.openstreetmap.org/?mlat=32.2881&amp;mlon=44.6844&amp;zoom=12#map=12/32.2881/44.6844","Maplink1")</f>
        <v>Maplink1</v>
      </c>
      <c r="AU165" s="12" t="str">
        <f>HYPERLINK("https://www.google.iq/maps/search/+32.2881,44.6844/@32.2881,44.6844,14z?hl=en","Maplink2")</f>
        <v>Maplink2</v>
      </c>
      <c r="AV165" s="12" t="str">
        <f>HYPERLINK("http://www.bing.com/maps/?lvl=14&amp;sty=h&amp;cp=32.2881~44.6844&amp;sp=point.32.2881_44.6844","Maplink3")</f>
        <v>Maplink3</v>
      </c>
    </row>
    <row r="166" spans="1:48" ht="15" customHeight="1" x14ac:dyDescent="0.25">
      <c r="A166" s="19">
        <v>25594</v>
      </c>
      <c r="B166" s="20" t="s">
        <v>10</v>
      </c>
      <c r="C166" s="20" t="s">
        <v>337</v>
      </c>
      <c r="D166" s="20" t="s">
        <v>355</v>
      </c>
      <c r="E166" s="20" t="s">
        <v>356</v>
      </c>
      <c r="F166" s="20">
        <v>32.323251470000002</v>
      </c>
      <c r="G166" s="20">
        <v>44.877949770000001</v>
      </c>
      <c r="H166" s="22">
        <v>5</v>
      </c>
      <c r="I166" s="22">
        <v>30</v>
      </c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>
        <v>5</v>
      </c>
      <c r="W166" s="21"/>
      <c r="X166" s="21"/>
      <c r="Y166" s="21"/>
      <c r="Z166" s="21"/>
      <c r="AA166" s="21"/>
      <c r="AB166" s="21"/>
      <c r="AC166" s="21">
        <v>1</v>
      </c>
      <c r="AD166" s="21"/>
      <c r="AE166" s="21"/>
      <c r="AF166" s="21"/>
      <c r="AG166" s="21"/>
      <c r="AH166" s="21">
        <v>4</v>
      </c>
      <c r="AI166" s="21"/>
      <c r="AJ166" s="21"/>
      <c r="AK166" s="21"/>
      <c r="AL166" s="21"/>
      <c r="AM166" s="21">
        <v>5</v>
      </c>
      <c r="AN166" s="21"/>
      <c r="AO166" s="21"/>
      <c r="AP166" s="21"/>
      <c r="AQ166" s="21"/>
      <c r="AR166" s="21"/>
      <c r="AS166" s="21"/>
      <c r="AT166" s="12" t="str">
        <f>HYPERLINK("http://www.openstreetmap.org/?mlat=32.3233&amp;mlon=44.8779&amp;zoom=12#map=12/32.3233/44.8779","Maplink1")</f>
        <v>Maplink1</v>
      </c>
      <c r="AU166" s="12" t="str">
        <f>HYPERLINK("https://www.google.iq/maps/search/+32.3233,44.8779/@32.3233,44.8779,14z?hl=en","Maplink2")</f>
        <v>Maplink2</v>
      </c>
      <c r="AV166" s="12" t="str">
        <f>HYPERLINK("http://www.bing.com/maps/?lvl=14&amp;sty=h&amp;cp=32.3233~44.8779&amp;sp=point.32.3233_44.8779","Maplink3")</f>
        <v>Maplink3</v>
      </c>
    </row>
    <row r="167" spans="1:48" ht="15" customHeight="1" x14ac:dyDescent="0.25">
      <c r="A167" s="19">
        <v>25589</v>
      </c>
      <c r="B167" s="20" t="s">
        <v>10</v>
      </c>
      <c r="C167" s="20" t="s">
        <v>337</v>
      </c>
      <c r="D167" s="20" t="s">
        <v>357</v>
      </c>
      <c r="E167" s="20" t="s">
        <v>358</v>
      </c>
      <c r="F167" s="20">
        <v>32.328664119999999</v>
      </c>
      <c r="G167" s="20">
        <v>44.872000210000003</v>
      </c>
      <c r="H167" s="22">
        <v>2</v>
      </c>
      <c r="I167" s="22">
        <v>12</v>
      </c>
      <c r="J167" s="21"/>
      <c r="K167" s="21"/>
      <c r="L167" s="21">
        <v>2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>
        <v>2</v>
      </c>
      <c r="AD167" s="21"/>
      <c r="AE167" s="21"/>
      <c r="AF167" s="21"/>
      <c r="AG167" s="21"/>
      <c r="AH167" s="21"/>
      <c r="AI167" s="21"/>
      <c r="AJ167" s="21"/>
      <c r="AK167" s="21"/>
      <c r="AL167" s="21"/>
      <c r="AM167" s="21">
        <v>2</v>
      </c>
      <c r="AN167" s="21"/>
      <c r="AO167" s="21"/>
      <c r="AP167" s="21"/>
      <c r="AQ167" s="21"/>
      <c r="AR167" s="21"/>
      <c r="AS167" s="21"/>
      <c r="AT167" s="12" t="str">
        <f>HYPERLINK("http://www.openstreetmap.org/?mlat=32.3287&amp;mlon=44.872&amp;zoom=12#map=12/32.3287/44.872","Maplink1")</f>
        <v>Maplink1</v>
      </c>
      <c r="AU167" s="12" t="str">
        <f>HYPERLINK("https://www.google.iq/maps/search/+32.3287,44.872/@32.3287,44.872,14z?hl=en","Maplink2")</f>
        <v>Maplink2</v>
      </c>
      <c r="AV167" s="12" t="str">
        <f>HYPERLINK("http://www.bing.com/maps/?lvl=14&amp;sty=h&amp;cp=32.3287~44.872&amp;sp=point.32.3287_44.872","Maplink3")</f>
        <v>Maplink3</v>
      </c>
    </row>
    <row r="168" spans="1:48" ht="15" customHeight="1" x14ac:dyDescent="0.25">
      <c r="A168" s="19">
        <v>25598</v>
      </c>
      <c r="B168" s="20" t="s">
        <v>10</v>
      </c>
      <c r="C168" s="20" t="s">
        <v>337</v>
      </c>
      <c r="D168" s="20" t="s">
        <v>359</v>
      </c>
      <c r="E168" s="20" t="s">
        <v>360</v>
      </c>
      <c r="F168" s="20">
        <v>32.189050000000002</v>
      </c>
      <c r="G168" s="20">
        <v>44.709209999999999</v>
      </c>
      <c r="H168" s="22">
        <v>4</v>
      </c>
      <c r="I168" s="22">
        <v>24</v>
      </c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>
        <v>4</v>
      </c>
      <c r="W168" s="21"/>
      <c r="X168" s="21"/>
      <c r="Y168" s="21"/>
      <c r="Z168" s="21"/>
      <c r="AA168" s="21"/>
      <c r="AB168" s="21"/>
      <c r="AC168" s="21">
        <v>4</v>
      </c>
      <c r="AD168" s="21"/>
      <c r="AE168" s="21"/>
      <c r="AF168" s="21"/>
      <c r="AG168" s="21"/>
      <c r="AH168" s="21"/>
      <c r="AI168" s="21"/>
      <c r="AJ168" s="21"/>
      <c r="AK168" s="21"/>
      <c r="AL168" s="21"/>
      <c r="AM168" s="21">
        <v>4</v>
      </c>
      <c r="AN168" s="21"/>
      <c r="AO168" s="21"/>
      <c r="AP168" s="21"/>
      <c r="AQ168" s="21"/>
      <c r="AR168" s="21"/>
      <c r="AS168" s="21"/>
      <c r="AT168" s="12" t="str">
        <f>HYPERLINK("http://www.openstreetmap.org/?mlat=32.1891&amp;mlon=44.7092&amp;zoom=12#map=12/32.1891/44.7092","Maplink1")</f>
        <v>Maplink1</v>
      </c>
      <c r="AU168" s="12" t="str">
        <f>HYPERLINK("https://www.google.iq/maps/search/+32.1891,44.7092/@32.1891,44.7092,14z?hl=en","Maplink2")</f>
        <v>Maplink2</v>
      </c>
      <c r="AV168" s="12" t="str">
        <f>HYPERLINK("http://www.bing.com/maps/?lvl=14&amp;sty=h&amp;cp=32.1891~44.7092&amp;sp=point.32.1891_44.7092","Maplink3")</f>
        <v>Maplink3</v>
      </c>
    </row>
    <row r="169" spans="1:48" ht="15" customHeight="1" x14ac:dyDescent="0.25">
      <c r="A169" s="19">
        <v>6783</v>
      </c>
      <c r="B169" s="20" t="s">
        <v>10</v>
      </c>
      <c r="C169" s="20" t="s">
        <v>337</v>
      </c>
      <c r="D169" s="20" t="s">
        <v>361</v>
      </c>
      <c r="E169" s="20" t="s">
        <v>362</v>
      </c>
      <c r="F169" s="20">
        <v>32.363667371699997</v>
      </c>
      <c r="G169" s="20">
        <v>44.547937223700004</v>
      </c>
      <c r="H169" s="22">
        <v>1</v>
      </c>
      <c r="I169" s="22">
        <v>6</v>
      </c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>
        <v>1</v>
      </c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>
        <v>1</v>
      </c>
      <c r="AI169" s="21"/>
      <c r="AJ169" s="21"/>
      <c r="AK169" s="21"/>
      <c r="AL169" s="21"/>
      <c r="AM169" s="21">
        <v>1</v>
      </c>
      <c r="AN169" s="21"/>
      <c r="AO169" s="21"/>
      <c r="AP169" s="21"/>
      <c r="AQ169" s="21"/>
      <c r="AR169" s="21"/>
      <c r="AS169" s="21"/>
      <c r="AT169" s="12" t="str">
        <f>HYPERLINK("http://www.openstreetmap.org/?mlat=32.3637&amp;mlon=44.5479&amp;zoom=12#map=12/32.3637/44.5479","Maplink1")</f>
        <v>Maplink1</v>
      </c>
      <c r="AU169" s="12" t="str">
        <f>HYPERLINK("https://www.google.iq/maps/search/+32.3637,44.5479/@32.3637,44.5479,14z?hl=en","Maplink2")</f>
        <v>Maplink2</v>
      </c>
      <c r="AV169" s="12" t="str">
        <f>HYPERLINK("http://www.bing.com/maps/?lvl=14&amp;sty=h&amp;cp=32.3637~44.5479&amp;sp=point.32.3637_44.5479","Maplink3")</f>
        <v>Maplink3</v>
      </c>
    </row>
    <row r="170" spans="1:48" ht="15" customHeight="1" x14ac:dyDescent="0.25">
      <c r="A170" s="19">
        <v>6793</v>
      </c>
      <c r="B170" s="20" t="s">
        <v>10</v>
      </c>
      <c r="C170" s="20" t="s">
        <v>337</v>
      </c>
      <c r="D170" s="20" t="s">
        <v>363</v>
      </c>
      <c r="E170" s="20" t="s">
        <v>364</v>
      </c>
      <c r="F170" s="20">
        <v>32.3898078</v>
      </c>
      <c r="G170" s="20">
        <v>44.577439599999998</v>
      </c>
      <c r="H170" s="22">
        <v>1</v>
      </c>
      <c r="I170" s="22">
        <v>6</v>
      </c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>
        <v>1</v>
      </c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>
        <v>1</v>
      </c>
      <c r="AI170" s="21"/>
      <c r="AJ170" s="21"/>
      <c r="AK170" s="21"/>
      <c r="AL170" s="21"/>
      <c r="AM170" s="21">
        <v>1</v>
      </c>
      <c r="AN170" s="21"/>
      <c r="AO170" s="21"/>
      <c r="AP170" s="21"/>
      <c r="AQ170" s="21"/>
      <c r="AR170" s="21"/>
      <c r="AS170" s="21"/>
      <c r="AT170" s="12" t="str">
        <f>HYPERLINK("http://www.openstreetmap.org/?mlat=32.3898&amp;mlon=44.5774&amp;zoom=12#map=12/32.3898/44.5774","Maplink1")</f>
        <v>Maplink1</v>
      </c>
      <c r="AU170" s="12" t="str">
        <f>HYPERLINK("https://www.google.iq/maps/search/+32.3898,44.5774/@32.3898,44.5774,14z?hl=en","Maplink2")</f>
        <v>Maplink2</v>
      </c>
      <c r="AV170" s="12" t="str">
        <f>HYPERLINK("http://www.bing.com/maps/?lvl=14&amp;sty=h&amp;cp=32.3898~44.5774&amp;sp=point.32.3898_44.5774","Maplink3")</f>
        <v>Maplink3</v>
      </c>
    </row>
    <row r="171" spans="1:48" ht="15" customHeight="1" x14ac:dyDescent="0.25">
      <c r="A171" s="19">
        <v>24269</v>
      </c>
      <c r="B171" s="20" t="s">
        <v>10</v>
      </c>
      <c r="C171" s="20" t="s">
        <v>337</v>
      </c>
      <c r="D171" s="20" t="s">
        <v>367</v>
      </c>
      <c r="E171" s="20" t="s">
        <v>368</v>
      </c>
      <c r="F171" s="20">
        <v>32.37398323</v>
      </c>
      <c r="G171" s="20">
        <v>44.661312019999997</v>
      </c>
      <c r="H171" s="22">
        <v>18</v>
      </c>
      <c r="I171" s="22">
        <v>108</v>
      </c>
      <c r="J171" s="21">
        <v>5</v>
      </c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>
        <v>12</v>
      </c>
      <c r="W171" s="21"/>
      <c r="X171" s="21">
        <v>1</v>
      </c>
      <c r="Y171" s="21"/>
      <c r="Z171" s="21"/>
      <c r="AA171" s="21"/>
      <c r="AB171" s="21"/>
      <c r="AC171" s="21"/>
      <c r="AD171" s="21"/>
      <c r="AE171" s="21"/>
      <c r="AF171" s="21"/>
      <c r="AG171" s="21"/>
      <c r="AH171" s="21">
        <v>18</v>
      </c>
      <c r="AI171" s="21"/>
      <c r="AJ171" s="21"/>
      <c r="AK171" s="21"/>
      <c r="AL171" s="21"/>
      <c r="AM171" s="21">
        <v>12</v>
      </c>
      <c r="AN171" s="21">
        <v>1</v>
      </c>
      <c r="AO171" s="21"/>
      <c r="AP171" s="21">
        <v>5</v>
      </c>
      <c r="AQ171" s="21"/>
      <c r="AR171" s="21"/>
      <c r="AS171" s="21"/>
      <c r="AT171" s="12" t="str">
        <f>HYPERLINK("http://www.openstreetmap.org/?mlat=32.374&amp;mlon=44.6613&amp;zoom=12#map=12/32.374/44.6613","Maplink1")</f>
        <v>Maplink1</v>
      </c>
      <c r="AU171" s="12" t="str">
        <f>HYPERLINK("https://www.google.iq/maps/search/+32.374,44.6613/@32.374,44.6613,14z?hl=en","Maplink2")</f>
        <v>Maplink2</v>
      </c>
      <c r="AV171" s="12" t="str">
        <f>HYPERLINK("http://www.bing.com/maps/?lvl=14&amp;sty=h&amp;cp=32.374~44.6613&amp;sp=point.32.374_44.6613","Maplink3")</f>
        <v>Maplink3</v>
      </c>
    </row>
    <row r="172" spans="1:48" ht="15" customHeight="1" x14ac:dyDescent="0.25">
      <c r="A172" s="19">
        <v>25880</v>
      </c>
      <c r="B172" s="20" t="s">
        <v>10</v>
      </c>
      <c r="C172" s="20" t="s">
        <v>337</v>
      </c>
      <c r="D172" s="20" t="s">
        <v>369</v>
      </c>
      <c r="E172" s="20" t="s">
        <v>370</v>
      </c>
      <c r="F172" s="20">
        <v>32.29661935</v>
      </c>
      <c r="G172" s="20">
        <v>44.699162100000002</v>
      </c>
      <c r="H172" s="22">
        <v>4</v>
      </c>
      <c r="I172" s="22">
        <v>24</v>
      </c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>
        <v>4</v>
      </c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>
        <v>4</v>
      </c>
      <c r="AI172" s="21"/>
      <c r="AJ172" s="21"/>
      <c r="AK172" s="21"/>
      <c r="AL172" s="21"/>
      <c r="AM172" s="21">
        <v>4</v>
      </c>
      <c r="AN172" s="21"/>
      <c r="AO172" s="21"/>
      <c r="AP172" s="21"/>
      <c r="AQ172" s="21"/>
      <c r="AR172" s="21"/>
      <c r="AS172" s="21"/>
      <c r="AT172" s="12" t="str">
        <f>HYPERLINK("http://www.openstreetmap.org/?mlat=32.2966&amp;mlon=44.6992&amp;zoom=12#map=12/32.2966/44.6992","Maplink1")</f>
        <v>Maplink1</v>
      </c>
      <c r="AU172" s="12" t="str">
        <f>HYPERLINK("https://www.google.iq/maps/search/+32.2966,44.6992/@32.2966,44.6992,14z?hl=en","Maplink2")</f>
        <v>Maplink2</v>
      </c>
      <c r="AV172" s="12" t="str">
        <f>HYPERLINK("http://www.bing.com/maps/?lvl=14&amp;sty=h&amp;cp=32.2966~44.6992&amp;sp=point.32.2966_44.6992","Maplink3")</f>
        <v>Maplink3</v>
      </c>
    </row>
    <row r="173" spans="1:48" ht="15" customHeight="1" x14ac:dyDescent="0.25">
      <c r="A173" s="19">
        <v>6661</v>
      </c>
      <c r="B173" s="20" t="s">
        <v>10</v>
      </c>
      <c r="C173" s="20" t="s">
        <v>337</v>
      </c>
      <c r="D173" s="20" t="s">
        <v>371</v>
      </c>
      <c r="E173" s="20" t="s">
        <v>372</v>
      </c>
      <c r="F173" s="20">
        <v>32.287093239999997</v>
      </c>
      <c r="G173" s="20">
        <v>44.681655399999997</v>
      </c>
      <c r="H173" s="22">
        <v>1</v>
      </c>
      <c r="I173" s="22">
        <v>6</v>
      </c>
      <c r="J173" s="21"/>
      <c r="K173" s="21"/>
      <c r="L173" s="21"/>
      <c r="M173" s="21"/>
      <c r="N173" s="21"/>
      <c r="O173" s="21">
        <v>1</v>
      </c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>
        <v>1</v>
      </c>
      <c r="AI173" s="21"/>
      <c r="AJ173" s="21"/>
      <c r="AK173" s="21"/>
      <c r="AL173" s="21"/>
      <c r="AM173" s="21"/>
      <c r="AN173" s="21">
        <v>1</v>
      </c>
      <c r="AO173" s="21"/>
      <c r="AP173" s="21"/>
      <c r="AQ173" s="21"/>
      <c r="AR173" s="21"/>
      <c r="AS173" s="21"/>
      <c r="AT173" s="12" t="str">
        <f>HYPERLINK("http://www.openstreetmap.org/?mlat=32.2871&amp;mlon=44.6817&amp;zoom=12#map=12/32.2871/44.6817","Maplink1")</f>
        <v>Maplink1</v>
      </c>
      <c r="AU173" s="12" t="str">
        <f>HYPERLINK("https://www.google.iq/maps/search/+32.2871,44.6817/@32.2871,44.6817,14z?hl=en","Maplink2")</f>
        <v>Maplink2</v>
      </c>
      <c r="AV173" s="12" t="str">
        <f>HYPERLINK("http://www.bing.com/maps/?lvl=14&amp;sty=h&amp;cp=32.2871~44.6817&amp;sp=point.32.2871_44.6817","Maplink3")</f>
        <v>Maplink3</v>
      </c>
    </row>
    <row r="174" spans="1:48" ht="15" customHeight="1" x14ac:dyDescent="0.25">
      <c r="A174" s="19">
        <v>6660</v>
      </c>
      <c r="B174" s="20" t="s">
        <v>10</v>
      </c>
      <c r="C174" s="20" t="s">
        <v>337</v>
      </c>
      <c r="D174" s="20" t="s">
        <v>373</v>
      </c>
      <c r="E174" s="20" t="s">
        <v>374</v>
      </c>
      <c r="F174" s="20">
        <v>32.297822410000002</v>
      </c>
      <c r="G174" s="20">
        <v>44.686829299999999</v>
      </c>
      <c r="H174" s="22">
        <v>2</v>
      </c>
      <c r="I174" s="22">
        <v>12</v>
      </c>
      <c r="J174" s="21">
        <v>1</v>
      </c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>
        <v>1</v>
      </c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>
        <v>2</v>
      </c>
      <c r="AI174" s="21"/>
      <c r="AJ174" s="21"/>
      <c r="AK174" s="21"/>
      <c r="AL174" s="21"/>
      <c r="AM174" s="21"/>
      <c r="AN174" s="21">
        <v>1</v>
      </c>
      <c r="AO174" s="21">
        <v>1</v>
      </c>
      <c r="AP174" s="21"/>
      <c r="AQ174" s="21"/>
      <c r="AR174" s="21"/>
      <c r="AS174" s="21"/>
      <c r="AT174" s="12" t="str">
        <f>HYPERLINK("http://www.openstreetmap.org/?mlat=32.2978&amp;mlon=44.6868&amp;zoom=12#map=12/32.2978/44.6868","Maplink1")</f>
        <v>Maplink1</v>
      </c>
      <c r="AU174" s="12" t="str">
        <f>HYPERLINK("https://www.google.iq/maps/search/+32.2978,44.6868/@32.2978,44.6868,14z?hl=en","Maplink2")</f>
        <v>Maplink2</v>
      </c>
      <c r="AV174" s="12" t="str">
        <f>HYPERLINK("http://www.bing.com/maps/?lvl=14&amp;sty=h&amp;cp=32.2978~44.6868&amp;sp=point.32.2978_44.6868","Maplink3")</f>
        <v>Maplink3</v>
      </c>
    </row>
    <row r="175" spans="1:48" ht="15" customHeight="1" x14ac:dyDescent="0.25">
      <c r="A175" s="19">
        <v>6664</v>
      </c>
      <c r="B175" s="20" t="s">
        <v>10</v>
      </c>
      <c r="C175" s="20" t="s">
        <v>337</v>
      </c>
      <c r="D175" s="20" t="s">
        <v>311</v>
      </c>
      <c r="E175" s="20" t="s">
        <v>121</v>
      </c>
      <c r="F175" s="20">
        <v>32.327855820000003</v>
      </c>
      <c r="G175" s="20">
        <v>44.917173300000002</v>
      </c>
      <c r="H175" s="22">
        <v>1</v>
      </c>
      <c r="I175" s="22">
        <v>6</v>
      </c>
      <c r="J175" s="21">
        <v>1</v>
      </c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>
        <v>1</v>
      </c>
      <c r="AI175" s="21"/>
      <c r="AJ175" s="21"/>
      <c r="AK175" s="21"/>
      <c r="AL175" s="21"/>
      <c r="AM175" s="21"/>
      <c r="AN175" s="21"/>
      <c r="AO175" s="21"/>
      <c r="AP175" s="21">
        <v>1</v>
      </c>
      <c r="AQ175" s="21"/>
      <c r="AR175" s="21"/>
      <c r="AS175" s="21"/>
      <c r="AT175" s="12" t="str">
        <f>HYPERLINK("http://www.openstreetmap.org/?mlat=32.3279&amp;mlon=44.9172&amp;zoom=12#map=12/32.3279/44.9172","Maplink1")</f>
        <v>Maplink1</v>
      </c>
      <c r="AU175" s="12" t="str">
        <f>HYPERLINK("https://www.google.iq/maps/search/+32.3279,44.9172/@32.3279,44.9172,14z?hl=en","Maplink2")</f>
        <v>Maplink2</v>
      </c>
      <c r="AV175" s="12" t="str">
        <f>HYPERLINK("http://www.bing.com/maps/?lvl=14&amp;sty=h&amp;cp=32.3279~44.9172&amp;sp=point.32.3279_44.9172","Maplink3")</f>
        <v>Maplink3</v>
      </c>
    </row>
    <row r="176" spans="1:48" ht="15" customHeight="1" x14ac:dyDescent="0.25">
      <c r="A176" s="19">
        <v>6711</v>
      </c>
      <c r="B176" s="20" t="s">
        <v>10</v>
      </c>
      <c r="C176" s="20" t="s">
        <v>337</v>
      </c>
      <c r="D176" s="20" t="s">
        <v>377</v>
      </c>
      <c r="E176" s="20" t="s">
        <v>378</v>
      </c>
      <c r="F176" s="20">
        <v>32.321971089999998</v>
      </c>
      <c r="G176" s="20">
        <v>44.919912840000002</v>
      </c>
      <c r="H176" s="22">
        <v>1</v>
      </c>
      <c r="I176" s="22">
        <v>6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>
        <v>1</v>
      </c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>
        <v>1</v>
      </c>
      <c r="AI176" s="21"/>
      <c r="AJ176" s="21"/>
      <c r="AK176" s="21"/>
      <c r="AL176" s="21"/>
      <c r="AM176" s="21">
        <v>1</v>
      </c>
      <c r="AN176" s="21"/>
      <c r="AO176" s="21"/>
      <c r="AP176" s="21"/>
      <c r="AQ176" s="21"/>
      <c r="AR176" s="21"/>
      <c r="AS176" s="21"/>
      <c r="AT176" s="12" t="str">
        <f>HYPERLINK("http://www.openstreetmap.org/?mlat=32.322&amp;mlon=44.9199&amp;zoom=12#map=12/32.322/44.9199","Maplink1")</f>
        <v>Maplink1</v>
      </c>
      <c r="AU176" s="12" t="str">
        <f>HYPERLINK("https://www.google.iq/maps/search/+32.322,44.9199/@32.322,44.9199,14z?hl=en","Maplink2")</f>
        <v>Maplink2</v>
      </c>
      <c r="AV176" s="12" t="str">
        <f>HYPERLINK("http://www.bing.com/maps/?lvl=14&amp;sty=h&amp;cp=32.322~44.9199&amp;sp=point.32.322_44.9199","Maplink3")</f>
        <v>Maplink3</v>
      </c>
    </row>
    <row r="177" spans="1:48" ht="15" customHeight="1" x14ac:dyDescent="0.25">
      <c r="A177" s="19">
        <v>6694</v>
      </c>
      <c r="B177" s="20" t="s">
        <v>10</v>
      </c>
      <c r="C177" s="20" t="s">
        <v>337</v>
      </c>
      <c r="D177" s="20" t="s">
        <v>379</v>
      </c>
      <c r="E177" s="20" t="s">
        <v>380</v>
      </c>
      <c r="F177" s="20">
        <v>32.311357000000001</v>
      </c>
      <c r="G177" s="20">
        <v>44.67858863</v>
      </c>
      <c r="H177" s="22">
        <v>2</v>
      </c>
      <c r="I177" s="22">
        <v>12</v>
      </c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>
        <v>2</v>
      </c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>
        <v>2</v>
      </c>
      <c r="AI177" s="21"/>
      <c r="AJ177" s="21"/>
      <c r="AK177" s="21"/>
      <c r="AL177" s="21"/>
      <c r="AM177" s="21">
        <v>2</v>
      </c>
      <c r="AN177" s="21"/>
      <c r="AO177" s="21"/>
      <c r="AP177" s="21"/>
      <c r="AQ177" s="21"/>
      <c r="AR177" s="21"/>
      <c r="AS177" s="21"/>
      <c r="AT177" s="12" t="str">
        <f>HYPERLINK("http://www.openstreetmap.org/?mlat=32.3114&amp;mlon=44.6786&amp;zoom=12#map=12/32.3114/44.6786","Maplink1")</f>
        <v>Maplink1</v>
      </c>
      <c r="AU177" s="12" t="str">
        <f>HYPERLINK("https://www.google.iq/maps/search/+32.3114,44.6786/@32.3114,44.6786,14z?hl=en","Maplink2")</f>
        <v>Maplink2</v>
      </c>
      <c r="AV177" s="12" t="str">
        <f>HYPERLINK("http://www.bing.com/maps/?lvl=14&amp;sty=h&amp;cp=32.3114~44.6786&amp;sp=point.32.3114_44.6786","Maplink3")</f>
        <v>Maplink3</v>
      </c>
    </row>
    <row r="178" spans="1:48" ht="15" customHeight="1" x14ac:dyDescent="0.25">
      <c r="A178" s="19">
        <v>6669</v>
      </c>
      <c r="B178" s="20" t="s">
        <v>10</v>
      </c>
      <c r="C178" s="20" t="s">
        <v>337</v>
      </c>
      <c r="D178" s="20" t="s">
        <v>382</v>
      </c>
      <c r="E178" s="20" t="s">
        <v>383</v>
      </c>
      <c r="F178" s="20">
        <v>32.296062040000002</v>
      </c>
      <c r="G178" s="20">
        <v>44.688687729999998</v>
      </c>
      <c r="H178" s="22">
        <v>1</v>
      </c>
      <c r="I178" s="22">
        <v>6</v>
      </c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>
        <v>1</v>
      </c>
      <c r="W178" s="21"/>
      <c r="X178" s="21"/>
      <c r="Y178" s="21"/>
      <c r="Z178" s="21"/>
      <c r="AA178" s="21"/>
      <c r="AB178" s="21"/>
      <c r="AC178" s="21">
        <v>1</v>
      </c>
      <c r="AD178" s="21"/>
      <c r="AE178" s="21"/>
      <c r="AF178" s="21"/>
      <c r="AG178" s="21"/>
      <c r="AH178" s="21"/>
      <c r="AI178" s="21"/>
      <c r="AJ178" s="21"/>
      <c r="AK178" s="21"/>
      <c r="AL178" s="21"/>
      <c r="AM178" s="21">
        <v>1</v>
      </c>
      <c r="AN178" s="21"/>
      <c r="AO178" s="21"/>
      <c r="AP178" s="21"/>
      <c r="AQ178" s="21"/>
      <c r="AR178" s="21"/>
      <c r="AS178" s="21"/>
      <c r="AT178" s="12" t="str">
        <f>HYPERLINK("http://www.openstreetmap.org/?mlat=32.2961&amp;mlon=44.6887&amp;zoom=12#map=12/32.2961/44.6887","Maplink1")</f>
        <v>Maplink1</v>
      </c>
      <c r="AU178" s="12" t="str">
        <f>HYPERLINK("https://www.google.iq/maps/search/+32.2961,44.6887/@32.2961,44.6887,14z?hl=en","Maplink2")</f>
        <v>Maplink2</v>
      </c>
      <c r="AV178" s="12" t="str">
        <f>HYPERLINK("http://www.bing.com/maps/?lvl=14&amp;sty=h&amp;cp=32.2961~44.6887&amp;sp=point.32.2961_44.6887","Maplink3")</f>
        <v>Maplink3</v>
      </c>
    </row>
    <row r="179" spans="1:48" ht="15" customHeight="1" x14ac:dyDescent="0.25">
      <c r="A179" s="19">
        <v>6663</v>
      </c>
      <c r="B179" s="20" t="s">
        <v>10</v>
      </c>
      <c r="C179" s="20" t="s">
        <v>337</v>
      </c>
      <c r="D179" s="20" t="s">
        <v>384</v>
      </c>
      <c r="E179" s="20" t="s">
        <v>385</v>
      </c>
      <c r="F179" s="20">
        <v>32.300865967699998</v>
      </c>
      <c r="G179" s="20">
        <v>44.679758557100001</v>
      </c>
      <c r="H179" s="22">
        <v>2</v>
      </c>
      <c r="I179" s="22">
        <v>12</v>
      </c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>
        <v>2</v>
      </c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>
        <v>2</v>
      </c>
      <c r="AI179" s="21"/>
      <c r="AJ179" s="21"/>
      <c r="AK179" s="21"/>
      <c r="AL179" s="21"/>
      <c r="AM179" s="21">
        <v>2</v>
      </c>
      <c r="AN179" s="21"/>
      <c r="AO179" s="21"/>
      <c r="AP179" s="21"/>
      <c r="AQ179" s="21"/>
      <c r="AR179" s="21"/>
      <c r="AS179" s="21"/>
      <c r="AT179" s="12" t="str">
        <f>HYPERLINK("http://www.openstreetmap.org/?mlat=32.3009&amp;mlon=44.6798&amp;zoom=12#map=12/32.3009/44.6798","Maplink1")</f>
        <v>Maplink1</v>
      </c>
      <c r="AU179" s="12" t="str">
        <f>HYPERLINK("https://www.google.iq/maps/search/+32.3009,44.6798/@32.3009,44.6798,14z?hl=en","Maplink2")</f>
        <v>Maplink2</v>
      </c>
      <c r="AV179" s="12" t="str">
        <f>HYPERLINK("http://www.bing.com/maps/?lvl=14&amp;sty=h&amp;cp=32.3009~44.6798&amp;sp=point.32.3009_44.6798","Maplink3")</f>
        <v>Maplink3</v>
      </c>
    </row>
    <row r="180" spans="1:48" ht="15" customHeight="1" x14ac:dyDescent="0.25">
      <c r="A180" s="19">
        <v>7213</v>
      </c>
      <c r="B180" s="20" t="s">
        <v>10</v>
      </c>
      <c r="C180" s="20" t="s">
        <v>337</v>
      </c>
      <c r="D180" s="20" t="s">
        <v>386</v>
      </c>
      <c r="E180" s="20" t="s">
        <v>387</v>
      </c>
      <c r="F180" s="20">
        <v>32.300087869999999</v>
      </c>
      <c r="G180" s="20">
        <v>44.679497150000003</v>
      </c>
      <c r="H180" s="22">
        <v>3</v>
      </c>
      <c r="I180" s="22">
        <v>18</v>
      </c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>
        <v>3</v>
      </c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>
        <v>3</v>
      </c>
      <c r="AI180" s="21"/>
      <c r="AJ180" s="21"/>
      <c r="AK180" s="21"/>
      <c r="AL180" s="21"/>
      <c r="AM180" s="21">
        <v>3</v>
      </c>
      <c r="AN180" s="21"/>
      <c r="AO180" s="21"/>
      <c r="AP180" s="21"/>
      <c r="AQ180" s="21"/>
      <c r="AR180" s="21"/>
      <c r="AS180" s="21"/>
      <c r="AT180" s="12" t="str">
        <f>HYPERLINK("http://www.openstreetmap.org/?mlat=32.3001&amp;mlon=44.6795&amp;zoom=12#map=12/32.3001/44.6795","Maplink1")</f>
        <v>Maplink1</v>
      </c>
      <c r="AU180" s="12" t="str">
        <f>HYPERLINK("https://www.google.iq/maps/search/+32.3001,44.6795/@32.3001,44.6795,14z?hl=en","Maplink2")</f>
        <v>Maplink2</v>
      </c>
      <c r="AV180" s="12" t="str">
        <f>HYPERLINK("http://www.bing.com/maps/?lvl=14&amp;sty=h&amp;cp=32.3001~44.6795&amp;sp=point.32.3001_44.6795","Maplink3")</f>
        <v>Maplink3</v>
      </c>
    </row>
    <row r="181" spans="1:48" ht="15" customHeight="1" x14ac:dyDescent="0.25">
      <c r="A181" s="19">
        <v>6673</v>
      </c>
      <c r="B181" s="20" t="s">
        <v>10</v>
      </c>
      <c r="C181" s="20" t="s">
        <v>337</v>
      </c>
      <c r="D181" s="20" t="s">
        <v>388</v>
      </c>
      <c r="E181" s="20" t="s">
        <v>389</v>
      </c>
      <c r="F181" s="20">
        <v>32.2949628</v>
      </c>
      <c r="G181" s="20">
        <v>44.68188104</v>
      </c>
      <c r="H181" s="22">
        <v>7</v>
      </c>
      <c r="I181" s="22">
        <v>42</v>
      </c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>
        <v>7</v>
      </c>
      <c r="W181" s="21"/>
      <c r="X181" s="21"/>
      <c r="Y181" s="21"/>
      <c r="Z181" s="21"/>
      <c r="AA181" s="21"/>
      <c r="AB181" s="21"/>
      <c r="AC181" s="21">
        <v>7</v>
      </c>
      <c r="AD181" s="21"/>
      <c r="AE181" s="21"/>
      <c r="AF181" s="21"/>
      <c r="AG181" s="21"/>
      <c r="AH181" s="21"/>
      <c r="AI181" s="21"/>
      <c r="AJ181" s="21"/>
      <c r="AK181" s="21"/>
      <c r="AL181" s="21"/>
      <c r="AM181" s="21">
        <v>7</v>
      </c>
      <c r="AN181" s="21"/>
      <c r="AO181" s="21"/>
      <c r="AP181" s="21"/>
      <c r="AQ181" s="21"/>
      <c r="AR181" s="21"/>
      <c r="AS181" s="21"/>
      <c r="AT181" s="12" t="str">
        <f>HYPERLINK("http://www.openstreetmap.org/?mlat=32.295&amp;mlon=44.6819&amp;zoom=12#map=12/32.295/44.6819","Maplink1")</f>
        <v>Maplink1</v>
      </c>
      <c r="AU181" s="12" t="str">
        <f>HYPERLINK("https://www.google.iq/maps/search/+32.295,44.6819/@32.295,44.6819,14z?hl=en","Maplink2")</f>
        <v>Maplink2</v>
      </c>
      <c r="AV181" s="12" t="str">
        <f>HYPERLINK("http://www.bing.com/maps/?lvl=14&amp;sty=h&amp;cp=32.295~44.6819&amp;sp=point.32.295_44.6819","Maplink3")</f>
        <v>Maplink3</v>
      </c>
    </row>
    <row r="182" spans="1:48" ht="15" customHeight="1" x14ac:dyDescent="0.25">
      <c r="A182" s="19">
        <v>25878</v>
      </c>
      <c r="B182" s="20" t="s">
        <v>10</v>
      </c>
      <c r="C182" s="20" t="s">
        <v>337</v>
      </c>
      <c r="D182" s="20" t="s">
        <v>390</v>
      </c>
      <c r="E182" s="20" t="s">
        <v>391</v>
      </c>
      <c r="F182" s="20">
        <v>32.298272517500003</v>
      </c>
      <c r="G182" s="20">
        <v>44.688725033799997</v>
      </c>
      <c r="H182" s="22">
        <v>2</v>
      </c>
      <c r="I182" s="22">
        <v>12</v>
      </c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>
        <v>2</v>
      </c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>
        <v>2</v>
      </c>
      <c r="AI182" s="21"/>
      <c r="AJ182" s="21"/>
      <c r="AK182" s="21"/>
      <c r="AL182" s="21"/>
      <c r="AM182" s="21">
        <v>2</v>
      </c>
      <c r="AN182" s="21"/>
      <c r="AO182" s="21"/>
      <c r="AP182" s="21"/>
      <c r="AQ182" s="21"/>
      <c r="AR182" s="21"/>
      <c r="AS182" s="21"/>
      <c r="AT182" s="12" t="str">
        <f>HYPERLINK("http://www.openstreetmap.org/?mlat=32.2983&amp;mlon=44.6887&amp;zoom=12#map=12/32.2983/44.6887","Maplink1")</f>
        <v>Maplink1</v>
      </c>
      <c r="AU182" s="12" t="str">
        <f>HYPERLINK("https://www.google.iq/maps/search/+32.2983,44.6887/@32.2983,44.6887,14z?hl=en","Maplink2")</f>
        <v>Maplink2</v>
      </c>
      <c r="AV182" s="12" t="str">
        <f>HYPERLINK("http://www.bing.com/maps/?lvl=14&amp;sty=h&amp;cp=32.2983~44.6887&amp;sp=point.32.2983_44.6887","Maplink3")</f>
        <v>Maplink3</v>
      </c>
    </row>
    <row r="183" spans="1:48" ht="15" customHeight="1" x14ac:dyDescent="0.25">
      <c r="A183" s="19">
        <v>25600</v>
      </c>
      <c r="B183" s="20" t="s">
        <v>10</v>
      </c>
      <c r="C183" s="20" t="s">
        <v>392</v>
      </c>
      <c r="D183" s="20" t="s">
        <v>393</v>
      </c>
      <c r="E183" s="20" t="s">
        <v>394</v>
      </c>
      <c r="F183" s="20">
        <v>32.522366679999998</v>
      </c>
      <c r="G183" s="20">
        <v>44.319728179999998</v>
      </c>
      <c r="H183" s="22">
        <v>4</v>
      </c>
      <c r="I183" s="22">
        <v>24</v>
      </c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>
        <v>4</v>
      </c>
      <c r="W183" s="21"/>
      <c r="X183" s="21"/>
      <c r="Y183" s="21"/>
      <c r="Z183" s="21"/>
      <c r="AA183" s="21"/>
      <c r="AB183" s="21"/>
      <c r="AC183" s="21">
        <v>4</v>
      </c>
      <c r="AD183" s="21"/>
      <c r="AE183" s="21"/>
      <c r="AF183" s="21"/>
      <c r="AG183" s="21"/>
      <c r="AH183" s="21"/>
      <c r="AI183" s="21"/>
      <c r="AJ183" s="21"/>
      <c r="AK183" s="21"/>
      <c r="AL183" s="21"/>
      <c r="AM183" s="21">
        <v>4</v>
      </c>
      <c r="AN183" s="21"/>
      <c r="AO183" s="21"/>
      <c r="AP183" s="21"/>
      <c r="AQ183" s="21"/>
      <c r="AR183" s="21"/>
      <c r="AS183" s="21"/>
      <c r="AT183" s="12" t="str">
        <f>HYPERLINK("http://www.openstreetmap.org/?mlat=32.5224&amp;mlon=44.3197&amp;zoom=12#map=12/32.5224/44.3197","Maplink1")</f>
        <v>Maplink1</v>
      </c>
      <c r="AU183" s="12" t="str">
        <f>HYPERLINK("https://www.google.iq/maps/search/+32.5224,44.3197/@32.5224,44.3197,14z?hl=en","Maplink2")</f>
        <v>Maplink2</v>
      </c>
      <c r="AV183" s="12" t="str">
        <f>HYPERLINK("http://www.bing.com/maps/?lvl=14&amp;sty=h&amp;cp=32.5224~44.3197&amp;sp=point.32.5224_44.3197","Maplink3")</f>
        <v>Maplink3</v>
      </c>
    </row>
    <row r="184" spans="1:48" ht="15" customHeight="1" x14ac:dyDescent="0.25">
      <c r="A184" s="19">
        <v>6824</v>
      </c>
      <c r="B184" s="20" t="s">
        <v>10</v>
      </c>
      <c r="C184" s="20" t="s">
        <v>392</v>
      </c>
      <c r="D184" s="20" t="s">
        <v>395</v>
      </c>
      <c r="E184" s="20" t="s">
        <v>396</v>
      </c>
      <c r="F184" s="20">
        <v>32.508858490000001</v>
      </c>
      <c r="G184" s="20">
        <v>44.294942970000001</v>
      </c>
      <c r="H184" s="22">
        <v>2</v>
      </c>
      <c r="I184" s="22">
        <v>12</v>
      </c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>
        <v>2</v>
      </c>
      <c r="Y184" s="21"/>
      <c r="Z184" s="21"/>
      <c r="AA184" s="21"/>
      <c r="AB184" s="21"/>
      <c r="AC184" s="21"/>
      <c r="AD184" s="21"/>
      <c r="AE184" s="21"/>
      <c r="AF184" s="21"/>
      <c r="AG184" s="21"/>
      <c r="AH184" s="21">
        <v>2</v>
      </c>
      <c r="AI184" s="21"/>
      <c r="AJ184" s="21"/>
      <c r="AK184" s="21"/>
      <c r="AL184" s="21"/>
      <c r="AM184" s="21">
        <v>2</v>
      </c>
      <c r="AN184" s="21"/>
      <c r="AO184" s="21"/>
      <c r="AP184" s="21"/>
      <c r="AQ184" s="21"/>
      <c r="AR184" s="21"/>
      <c r="AS184" s="21"/>
      <c r="AT184" s="12" t="str">
        <f>HYPERLINK("http://www.openstreetmap.org/?mlat=32.5089&amp;mlon=44.2949&amp;zoom=12#map=12/32.5089/44.2949","Maplink1")</f>
        <v>Maplink1</v>
      </c>
      <c r="AU184" s="12" t="str">
        <f>HYPERLINK("https://www.google.iq/maps/search/+32.5089,44.2949/@32.5089,44.2949,14z?hl=en","Maplink2")</f>
        <v>Maplink2</v>
      </c>
      <c r="AV184" s="12" t="str">
        <f>HYPERLINK("http://www.bing.com/maps/?lvl=14&amp;sty=h&amp;cp=32.5089~44.2949&amp;sp=point.32.5089_44.2949","Maplink3")</f>
        <v>Maplink3</v>
      </c>
    </row>
    <row r="185" spans="1:48" ht="15" customHeight="1" x14ac:dyDescent="0.25">
      <c r="A185" s="19">
        <v>24274</v>
      </c>
      <c r="B185" s="20" t="s">
        <v>10</v>
      </c>
      <c r="C185" s="20" t="s">
        <v>392</v>
      </c>
      <c r="D185" s="20" t="s">
        <v>397</v>
      </c>
      <c r="E185" s="20" t="s">
        <v>398</v>
      </c>
      <c r="F185" s="20">
        <v>32.511573179999999</v>
      </c>
      <c r="G185" s="20">
        <v>44.404593599999998</v>
      </c>
      <c r="H185" s="22">
        <v>9</v>
      </c>
      <c r="I185" s="22">
        <v>54</v>
      </c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>
        <v>9</v>
      </c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>
        <v>9</v>
      </c>
      <c r="AI185" s="21"/>
      <c r="AJ185" s="21"/>
      <c r="AK185" s="21"/>
      <c r="AL185" s="21"/>
      <c r="AM185" s="21">
        <v>9</v>
      </c>
      <c r="AN185" s="21"/>
      <c r="AO185" s="21"/>
      <c r="AP185" s="21"/>
      <c r="AQ185" s="21"/>
      <c r="AR185" s="21"/>
      <c r="AS185" s="21"/>
      <c r="AT185" s="12" t="str">
        <f>HYPERLINK("http://www.openstreetmap.org/?mlat=32.5116&amp;mlon=44.4046&amp;zoom=12#map=12/32.5116/44.4046","Maplink1")</f>
        <v>Maplink1</v>
      </c>
      <c r="AU185" s="12" t="str">
        <f>HYPERLINK("https://www.google.iq/maps/search/+32.5116,44.4046/@32.5116,44.4046,14z?hl=en","Maplink2")</f>
        <v>Maplink2</v>
      </c>
      <c r="AV185" s="12" t="str">
        <f>HYPERLINK("http://www.bing.com/maps/?lvl=14&amp;sty=h&amp;cp=32.5116~44.4046&amp;sp=point.32.5116_44.4046","Maplink3")</f>
        <v>Maplink3</v>
      </c>
    </row>
    <row r="186" spans="1:48" ht="15" customHeight="1" x14ac:dyDescent="0.25">
      <c r="A186" s="19">
        <v>25877</v>
      </c>
      <c r="B186" s="20" t="s">
        <v>10</v>
      </c>
      <c r="C186" s="20" t="s">
        <v>392</v>
      </c>
      <c r="D186" s="20" t="s">
        <v>399</v>
      </c>
      <c r="E186" s="20" t="s">
        <v>400</v>
      </c>
      <c r="F186" s="20">
        <v>32.489552830000001</v>
      </c>
      <c r="G186" s="20">
        <v>44.45332062</v>
      </c>
      <c r="H186" s="22">
        <v>7</v>
      </c>
      <c r="I186" s="22">
        <v>42</v>
      </c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>
        <v>7</v>
      </c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>
        <v>7</v>
      </c>
      <c r="AI186" s="21"/>
      <c r="AJ186" s="21"/>
      <c r="AK186" s="21"/>
      <c r="AL186" s="21"/>
      <c r="AM186" s="21">
        <v>7</v>
      </c>
      <c r="AN186" s="21"/>
      <c r="AO186" s="21"/>
      <c r="AP186" s="21"/>
      <c r="AQ186" s="21"/>
      <c r="AR186" s="21"/>
      <c r="AS186" s="21"/>
      <c r="AT186" s="12" t="str">
        <f>HYPERLINK("http://www.openstreetmap.org/?mlat=32.4896&amp;mlon=44.4533&amp;zoom=12#map=12/32.4896/44.4533","Maplink1")</f>
        <v>Maplink1</v>
      </c>
      <c r="AU186" s="12" t="str">
        <f>HYPERLINK("https://www.google.iq/maps/search/+32.4896,44.4533/@32.4896,44.4533,14z?hl=en","Maplink2")</f>
        <v>Maplink2</v>
      </c>
      <c r="AV186" s="12" t="str">
        <f>HYPERLINK("http://www.bing.com/maps/?lvl=14&amp;sty=h&amp;cp=32.4896~44.4533&amp;sp=point.32.4896_44.4533","Maplink3")</f>
        <v>Maplink3</v>
      </c>
    </row>
    <row r="187" spans="1:48" ht="15" customHeight="1" x14ac:dyDescent="0.25">
      <c r="A187" s="19">
        <v>24788</v>
      </c>
      <c r="B187" s="20" t="s">
        <v>10</v>
      </c>
      <c r="C187" s="20" t="s">
        <v>392</v>
      </c>
      <c r="D187" s="20" t="s">
        <v>401</v>
      </c>
      <c r="E187" s="20" t="s">
        <v>402</v>
      </c>
      <c r="F187" s="20">
        <v>32.452864480000002</v>
      </c>
      <c r="G187" s="20">
        <v>44.396028639999997</v>
      </c>
      <c r="H187" s="22">
        <v>4</v>
      </c>
      <c r="I187" s="22">
        <v>24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>
        <v>4</v>
      </c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>
        <v>4</v>
      </c>
      <c r="AI187" s="21"/>
      <c r="AJ187" s="21"/>
      <c r="AK187" s="21"/>
      <c r="AL187" s="21"/>
      <c r="AM187" s="21">
        <v>4</v>
      </c>
      <c r="AN187" s="21"/>
      <c r="AO187" s="21"/>
      <c r="AP187" s="21"/>
      <c r="AQ187" s="21"/>
      <c r="AR187" s="21"/>
      <c r="AS187" s="21"/>
      <c r="AT187" s="12" t="str">
        <f>HYPERLINK("http://www.openstreetmap.org/?mlat=32.4529&amp;mlon=44.396&amp;zoom=12#map=12/32.4529/44.396","Maplink1")</f>
        <v>Maplink1</v>
      </c>
      <c r="AU187" s="12" t="str">
        <f>HYPERLINK("https://www.google.iq/maps/search/+32.4529,44.396/@32.4529,44.396,14z?hl=en","Maplink2")</f>
        <v>Maplink2</v>
      </c>
      <c r="AV187" s="12" t="str">
        <f>HYPERLINK("http://www.bing.com/maps/?lvl=14&amp;sty=h&amp;cp=32.4529~44.396&amp;sp=point.32.4529_44.396","Maplink3")</f>
        <v>Maplink3</v>
      </c>
    </row>
    <row r="188" spans="1:48" ht="15" customHeight="1" x14ac:dyDescent="0.25">
      <c r="A188" s="19">
        <v>24161</v>
      </c>
      <c r="B188" s="20" t="s">
        <v>10</v>
      </c>
      <c r="C188" s="20" t="s">
        <v>392</v>
      </c>
      <c r="D188" s="20" t="s">
        <v>403</v>
      </c>
      <c r="E188" s="20" t="s">
        <v>404</v>
      </c>
      <c r="F188" s="20">
        <v>32.4629032</v>
      </c>
      <c r="G188" s="20">
        <v>44.398821069999997</v>
      </c>
      <c r="H188" s="22">
        <v>2</v>
      </c>
      <c r="I188" s="22">
        <v>12</v>
      </c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>
        <v>2</v>
      </c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>
        <v>2</v>
      </c>
      <c r="AI188" s="21"/>
      <c r="AJ188" s="21"/>
      <c r="AK188" s="21"/>
      <c r="AL188" s="21"/>
      <c r="AM188" s="21">
        <v>2</v>
      </c>
      <c r="AN188" s="21"/>
      <c r="AO188" s="21"/>
      <c r="AP188" s="21"/>
      <c r="AQ188" s="21"/>
      <c r="AR188" s="21"/>
      <c r="AS188" s="21"/>
      <c r="AT188" s="12" t="str">
        <f>HYPERLINK("http://www.openstreetmap.org/?mlat=32.4629&amp;mlon=44.3988&amp;zoom=12#map=12/32.4629/44.3988","Maplink1")</f>
        <v>Maplink1</v>
      </c>
      <c r="AU188" s="12" t="str">
        <f>HYPERLINK("https://www.google.iq/maps/search/+32.4629,44.3988/@32.4629,44.3988,14z?hl=en","Maplink2")</f>
        <v>Maplink2</v>
      </c>
      <c r="AV188" s="12" t="str">
        <f>HYPERLINK("http://www.bing.com/maps/?lvl=14&amp;sty=h&amp;cp=32.4629~44.3988&amp;sp=point.32.4629_44.3988","Maplink3")</f>
        <v>Maplink3</v>
      </c>
    </row>
    <row r="189" spans="1:48" ht="15" customHeight="1" x14ac:dyDescent="0.25">
      <c r="A189" s="19">
        <v>25875</v>
      </c>
      <c r="B189" s="20" t="s">
        <v>10</v>
      </c>
      <c r="C189" s="20" t="s">
        <v>392</v>
      </c>
      <c r="D189" s="20" t="s">
        <v>405</v>
      </c>
      <c r="E189" s="20" t="s">
        <v>406</v>
      </c>
      <c r="F189" s="20">
        <v>32.494148879999997</v>
      </c>
      <c r="G189" s="20">
        <v>44.453013339999998</v>
      </c>
      <c r="H189" s="22">
        <v>8</v>
      </c>
      <c r="I189" s="22">
        <v>48</v>
      </c>
      <c r="J189" s="21">
        <v>3</v>
      </c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>
        <v>5</v>
      </c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>
        <v>8</v>
      </c>
      <c r="AI189" s="21"/>
      <c r="AJ189" s="21"/>
      <c r="AK189" s="21"/>
      <c r="AL189" s="21"/>
      <c r="AM189" s="21">
        <v>5</v>
      </c>
      <c r="AN189" s="21"/>
      <c r="AO189" s="21">
        <v>3</v>
      </c>
      <c r="AP189" s="21"/>
      <c r="AQ189" s="21"/>
      <c r="AR189" s="21"/>
      <c r="AS189" s="21"/>
      <c r="AT189" s="12" t="str">
        <f>HYPERLINK("http://www.openstreetmap.org/?mlat=32.4941&amp;mlon=44.453&amp;zoom=12#map=12/32.4941/44.453","Maplink1")</f>
        <v>Maplink1</v>
      </c>
      <c r="AU189" s="12" t="str">
        <f>HYPERLINK("https://www.google.iq/maps/search/+32.4941,44.453/@32.4941,44.453,14z?hl=en","Maplink2")</f>
        <v>Maplink2</v>
      </c>
      <c r="AV189" s="12" t="str">
        <f>HYPERLINK("http://www.bing.com/maps/?lvl=14&amp;sty=h&amp;cp=32.4941~44.453&amp;sp=point.32.4941_44.453","Maplink3")</f>
        <v>Maplink3</v>
      </c>
    </row>
    <row r="190" spans="1:48" ht="15" customHeight="1" x14ac:dyDescent="0.25">
      <c r="A190" s="19">
        <v>22607</v>
      </c>
      <c r="B190" s="20" t="s">
        <v>10</v>
      </c>
      <c r="C190" s="20" t="s">
        <v>392</v>
      </c>
      <c r="D190" s="20" t="s">
        <v>407</v>
      </c>
      <c r="E190" s="20" t="s">
        <v>408</v>
      </c>
      <c r="F190" s="20">
        <v>32.524017620000002</v>
      </c>
      <c r="G190" s="20">
        <v>44.365908689999998</v>
      </c>
      <c r="H190" s="22">
        <v>9</v>
      </c>
      <c r="I190" s="22">
        <v>54</v>
      </c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>
        <v>9</v>
      </c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>
        <v>9</v>
      </c>
      <c r="AK190" s="21"/>
      <c r="AL190" s="21"/>
      <c r="AM190" s="21">
        <v>9</v>
      </c>
      <c r="AN190" s="21"/>
      <c r="AO190" s="21"/>
      <c r="AP190" s="21"/>
      <c r="AQ190" s="21"/>
      <c r="AR190" s="21"/>
      <c r="AS190" s="21"/>
      <c r="AT190" s="12" t="str">
        <f>HYPERLINK("http://www.openstreetmap.org/?mlat=32.524&amp;mlon=44.3659&amp;zoom=12#map=12/32.524/44.3659","Maplink1")</f>
        <v>Maplink1</v>
      </c>
      <c r="AU190" s="12" t="str">
        <f>HYPERLINK("https://www.google.iq/maps/search/+32.524,44.3659/@32.524,44.3659,14z?hl=en","Maplink2")</f>
        <v>Maplink2</v>
      </c>
      <c r="AV190" s="12" t="str">
        <f>HYPERLINK("http://www.bing.com/maps/?lvl=14&amp;sty=h&amp;cp=32.524~44.3659&amp;sp=point.32.524_44.3659","Maplink3")</f>
        <v>Maplink3</v>
      </c>
    </row>
    <row r="191" spans="1:48" ht="15" customHeight="1" x14ac:dyDescent="0.25">
      <c r="A191" s="19">
        <v>24458</v>
      </c>
      <c r="B191" s="20" t="s">
        <v>10</v>
      </c>
      <c r="C191" s="20" t="s">
        <v>392</v>
      </c>
      <c r="D191" s="20" t="s">
        <v>409</v>
      </c>
      <c r="E191" s="20" t="s">
        <v>410</v>
      </c>
      <c r="F191" s="20">
        <v>32.491564019999998</v>
      </c>
      <c r="G191" s="20">
        <v>44.320310970000001</v>
      </c>
      <c r="H191" s="22">
        <v>1</v>
      </c>
      <c r="I191" s="22">
        <v>6</v>
      </c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>
        <v>1</v>
      </c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>
        <v>1</v>
      </c>
      <c r="AI191" s="21"/>
      <c r="AJ191" s="21"/>
      <c r="AK191" s="21"/>
      <c r="AL191" s="21"/>
      <c r="AM191" s="21"/>
      <c r="AN191" s="21">
        <v>1</v>
      </c>
      <c r="AO191" s="21"/>
      <c r="AP191" s="21"/>
      <c r="AQ191" s="21"/>
      <c r="AR191" s="21"/>
      <c r="AS191" s="21"/>
      <c r="AT191" s="12" t="str">
        <f>HYPERLINK("http://www.openstreetmap.org/?mlat=32.4916&amp;mlon=44.3203&amp;zoom=12#map=12/32.4916/44.3203","Maplink1")</f>
        <v>Maplink1</v>
      </c>
      <c r="AU191" s="12" t="str">
        <f>HYPERLINK("https://www.google.iq/maps/search/+32.4916,44.3203/@32.4916,44.3203,14z?hl=en","Maplink2")</f>
        <v>Maplink2</v>
      </c>
      <c r="AV191" s="12" t="str">
        <f>HYPERLINK("http://www.bing.com/maps/?lvl=14&amp;sty=h&amp;cp=32.4916~44.3203&amp;sp=point.32.4916_44.3203","Maplink3")</f>
        <v>Maplink3</v>
      </c>
    </row>
    <row r="192" spans="1:48" ht="15" customHeight="1" x14ac:dyDescent="0.25">
      <c r="A192" s="19">
        <v>21616</v>
      </c>
      <c r="B192" s="20" t="s">
        <v>10</v>
      </c>
      <c r="C192" s="20" t="s">
        <v>392</v>
      </c>
      <c r="D192" s="20" t="s">
        <v>411</v>
      </c>
      <c r="E192" s="20" t="s">
        <v>412</v>
      </c>
      <c r="F192" s="20">
        <v>32.540227090000002</v>
      </c>
      <c r="G192" s="20">
        <v>44.328120220000002</v>
      </c>
      <c r="H192" s="22">
        <v>2</v>
      </c>
      <c r="I192" s="22">
        <v>12</v>
      </c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>
        <v>2</v>
      </c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>
        <v>2</v>
      </c>
      <c r="AI192" s="21"/>
      <c r="AJ192" s="21"/>
      <c r="AK192" s="21"/>
      <c r="AL192" s="21"/>
      <c r="AM192" s="21">
        <v>2</v>
      </c>
      <c r="AN192" s="21"/>
      <c r="AO192" s="21"/>
      <c r="AP192" s="21"/>
      <c r="AQ192" s="21"/>
      <c r="AR192" s="21"/>
      <c r="AS192" s="21"/>
      <c r="AT192" s="12" t="str">
        <f>HYPERLINK("http://www.openstreetmap.org/?mlat=32.5402&amp;mlon=44.3281&amp;zoom=12#map=12/32.5402/44.3281","Maplink1")</f>
        <v>Maplink1</v>
      </c>
      <c r="AU192" s="12" t="str">
        <f>HYPERLINK("https://www.google.iq/maps/search/+32.5402,44.3281/@32.5402,44.3281,14z?hl=en","Maplink2")</f>
        <v>Maplink2</v>
      </c>
      <c r="AV192" s="12" t="str">
        <f>HYPERLINK("http://www.bing.com/maps/?lvl=14&amp;sty=h&amp;cp=32.5402~44.3281&amp;sp=point.32.5402_44.3281","Maplink3")</f>
        <v>Maplink3</v>
      </c>
    </row>
    <row r="193" spans="1:48" ht="15" customHeight="1" x14ac:dyDescent="0.25">
      <c r="A193" s="19">
        <v>22136</v>
      </c>
      <c r="B193" s="20" t="s">
        <v>10</v>
      </c>
      <c r="C193" s="20" t="s">
        <v>392</v>
      </c>
      <c r="D193" s="20" t="s">
        <v>413</v>
      </c>
      <c r="E193" s="20" t="s">
        <v>414</v>
      </c>
      <c r="F193" s="20">
        <v>32.444099110000003</v>
      </c>
      <c r="G193" s="20">
        <v>44.392682999999998</v>
      </c>
      <c r="H193" s="22">
        <v>39</v>
      </c>
      <c r="I193" s="22">
        <v>234</v>
      </c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>
        <v>39</v>
      </c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>
        <v>39</v>
      </c>
      <c r="AI193" s="21"/>
      <c r="AJ193" s="21"/>
      <c r="AK193" s="21"/>
      <c r="AL193" s="21"/>
      <c r="AM193" s="21">
        <v>33</v>
      </c>
      <c r="AN193" s="21">
        <v>6</v>
      </c>
      <c r="AO193" s="21"/>
      <c r="AP193" s="21"/>
      <c r="AQ193" s="21"/>
      <c r="AR193" s="21"/>
      <c r="AS193" s="21"/>
      <c r="AT193" s="12" t="str">
        <f>HYPERLINK("http://www.openstreetmap.org/?mlat=32.4441&amp;mlon=44.3927&amp;zoom=12#map=12/32.4441/44.3927","Maplink1")</f>
        <v>Maplink1</v>
      </c>
      <c r="AU193" s="12" t="str">
        <f>HYPERLINK("https://www.google.iq/maps/search/+32.4441,44.3927/@32.4441,44.3927,14z?hl=en","Maplink2")</f>
        <v>Maplink2</v>
      </c>
      <c r="AV193" s="12" t="str">
        <f>HYPERLINK("http://www.bing.com/maps/?lvl=14&amp;sty=h&amp;cp=32.4441~44.3927&amp;sp=point.32.4441_44.3927","Maplink3")</f>
        <v>Maplink3</v>
      </c>
    </row>
    <row r="194" spans="1:48" ht="15" customHeight="1" x14ac:dyDescent="0.25">
      <c r="A194" s="19">
        <v>23948</v>
      </c>
      <c r="B194" s="20" t="s">
        <v>10</v>
      </c>
      <c r="C194" s="20" t="s">
        <v>392</v>
      </c>
      <c r="D194" s="20" t="s">
        <v>415</v>
      </c>
      <c r="E194" s="20" t="s">
        <v>416</v>
      </c>
      <c r="F194" s="20">
        <v>32.49381855</v>
      </c>
      <c r="G194" s="20">
        <v>44.429122409999998</v>
      </c>
      <c r="H194" s="22">
        <v>4</v>
      </c>
      <c r="I194" s="22">
        <v>24</v>
      </c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>
        <v>4</v>
      </c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>
        <v>4</v>
      </c>
      <c r="AI194" s="21"/>
      <c r="AJ194" s="21"/>
      <c r="AK194" s="21"/>
      <c r="AL194" s="21"/>
      <c r="AM194" s="21">
        <v>2</v>
      </c>
      <c r="AN194" s="21">
        <v>2</v>
      </c>
      <c r="AO194" s="21"/>
      <c r="AP194" s="21"/>
      <c r="AQ194" s="21"/>
      <c r="AR194" s="21"/>
      <c r="AS194" s="21"/>
      <c r="AT194" s="12" t="str">
        <f>HYPERLINK("http://www.openstreetmap.org/?mlat=32.4938&amp;mlon=44.4291&amp;zoom=12#map=12/32.4938/44.4291","Maplink1")</f>
        <v>Maplink1</v>
      </c>
      <c r="AU194" s="12" t="str">
        <f>HYPERLINK("https://www.google.iq/maps/search/+32.4938,44.4291/@32.4938,44.4291,14z?hl=en","Maplink2")</f>
        <v>Maplink2</v>
      </c>
      <c r="AV194" s="12" t="str">
        <f>HYPERLINK("http://www.bing.com/maps/?lvl=14&amp;sty=h&amp;cp=32.4938~44.4291&amp;sp=point.32.4938_44.4291","Maplink3")</f>
        <v>Maplink3</v>
      </c>
    </row>
    <row r="195" spans="1:48" ht="15" customHeight="1" x14ac:dyDescent="0.25">
      <c r="A195" s="19">
        <v>21666</v>
      </c>
      <c r="B195" s="20" t="s">
        <v>10</v>
      </c>
      <c r="C195" s="20" t="s">
        <v>392</v>
      </c>
      <c r="D195" s="20" t="s">
        <v>417</v>
      </c>
      <c r="E195" s="20" t="s">
        <v>418</v>
      </c>
      <c r="F195" s="20">
        <v>32.471926230000001</v>
      </c>
      <c r="G195" s="20">
        <v>44.428961049999998</v>
      </c>
      <c r="H195" s="22">
        <v>3</v>
      </c>
      <c r="I195" s="22">
        <v>18</v>
      </c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>
        <v>3</v>
      </c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>
        <v>3</v>
      </c>
      <c r="AI195" s="21"/>
      <c r="AJ195" s="21"/>
      <c r="AK195" s="21"/>
      <c r="AL195" s="21"/>
      <c r="AM195" s="21">
        <v>3</v>
      </c>
      <c r="AN195" s="21"/>
      <c r="AO195" s="21"/>
      <c r="AP195" s="21"/>
      <c r="AQ195" s="21"/>
      <c r="AR195" s="21"/>
      <c r="AS195" s="21"/>
      <c r="AT195" s="12" t="str">
        <f>HYPERLINK("http://www.openstreetmap.org/?mlat=32.4719&amp;mlon=44.429&amp;zoom=12#map=12/32.4719/44.429","Maplink1")</f>
        <v>Maplink1</v>
      </c>
      <c r="AU195" s="12" t="str">
        <f>HYPERLINK("https://www.google.iq/maps/search/+32.4719,44.429/@32.4719,44.429,14z?hl=en","Maplink2")</f>
        <v>Maplink2</v>
      </c>
      <c r="AV195" s="12" t="str">
        <f>HYPERLINK("http://www.bing.com/maps/?lvl=14&amp;sty=h&amp;cp=32.4719~44.429&amp;sp=point.32.4719_44.429","Maplink3")</f>
        <v>Maplink3</v>
      </c>
    </row>
    <row r="196" spans="1:48" ht="15" customHeight="1" x14ac:dyDescent="0.25">
      <c r="A196" s="19">
        <v>23954</v>
      </c>
      <c r="B196" s="20" t="s">
        <v>10</v>
      </c>
      <c r="C196" s="20" t="s">
        <v>392</v>
      </c>
      <c r="D196" s="20" t="s">
        <v>419</v>
      </c>
      <c r="E196" s="20" t="s">
        <v>420</v>
      </c>
      <c r="F196" s="20">
        <v>32.463817540000001</v>
      </c>
      <c r="G196" s="20">
        <v>44.417492930000002</v>
      </c>
      <c r="H196" s="22">
        <v>5</v>
      </c>
      <c r="I196" s="22">
        <v>30</v>
      </c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>
        <v>5</v>
      </c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>
        <v>5</v>
      </c>
      <c r="AI196" s="21"/>
      <c r="AJ196" s="21"/>
      <c r="AK196" s="21"/>
      <c r="AL196" s="21"/>
      <c r="AM196" s="21">
        <v>5</v>
      </c>
      <c r="AN196" s="21"/>
      <c r="AO196" s="21"/>
      <c r="AP196" s="21"/>
      <c r="AQ196" s="21"/>
      <c r="AR196" s="21"/>
      <c r="AS196" s="21"/>
      <c r="AT196" s="12" t="str">
        <f>HYPERLINK("http://www.openstreetmap.org/?mlat=32.4638&amp;mlon=44.4175&amp;zoom=12#map=12/32.4638/44.4175","Maplink1")</f>
        <v>Maplink1</v>
      </c>
      <c r="AU196" s="12" t="str">
        <f>HYPERLINK("https://www.google.iq/maps/search/+32.4638,44.4175/@32.4638,44.4175,14z?hl=en","Maplink2")</f>
        <v>Maplink2</v>
      </c>
      <c r="AV196" s="12" t="str">
        <f>HYPERLINK("http://www.bing.com/maps/?lvl=14&amp;sty=h&amp;cp=32.4638~44.4175&amp;sp=point.32.4638_44.4175","Maplink3")</f>
        <v>Maplink3</v>
      </c>
    </row>
    <row r="197" spans="1:48" ht="15" customHeight="1" x14ac:dyDescent="0.25">
      <c r="A197" s="19">
        <v>24273</v>
      </c>
      <c r="B197" s="20" t="s">
        <v>10</v>
      </c>
      <c r="C197" s="20" t="s">
        <v>392</v>
      </c>
      <c r="D197" s="20" t="s">
        <v>421</v>
      </c>
      <c r="E197" s="20" t="s">
        <v>422</v>
      </c>
      <c r="F197" s="20">
        <v>32.527197347799998</v>
      </c>
      <c r="G197" s="20">
        <v>44.435325971799998</v>
      </c>
      <c r="H197" s="22">
        <v>4</v>
      </c>
      <c r="I197" s="22">
        <v>24</v>
      </c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>
        <v>4</v>
      </c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>
        <v>4</v>
      </c>
      <c r="AI197" s="21"/>
      <c r="AJ197" s="21"/>
      <c r="AK197" s="21"/>
      <c r="AL197" s="21"/>
      <c r="AM197" s="21">
        <v>4</v>
      </c>
      <c r="AN197" s="21"/>
      <c r="AO197" s="21"/>
      <c r="AP197" s="21"/>
      <c r="AQ197" s="21"/>
      <c r="AR197" s="21"/>
      <c r="AS197" s="21"/>
      <c r="AT197" s="12" t="str">
        <f>HYPERLINK("http://www.openstreetmap.org/?mlat=32.5272&amp;mlon=44.4353&amp;zoom=12#map=12/32.5272/44.4353","Maplink1")</f>
        <v>Maplink1</v>
      </c>
      <c r="AU197" s="12" t="str">
        <f>HYPERLINK("https://www.google.iq/maps/search/+32.5272,44.4353/@32.5272,44.4353,14z?hl=en","Maplink2")</f>
        <v>Maplink2</v>
      </c>
      <c r="AV197" s="12" t="str">
        <f>HYPERLINK("http://www.bing.com/maps/?lvl=14&amp;sty=h&amp;cp=32.5272~44.4353&amp;sp=point.32.5272_44.4353","Maplink3")</f>
        <v>Maplink3</v>
      </c>
    </row>
    <row r="198" spans="1:48" ht="15" customHeight="1" x14ac:dyDescent="0.25">
      <c r="A198" s="19">
        <v>23956</v>
      </c>
      <c r="B198" s="20" t="s">
        <v>10</v>
      </c>
      <c r="C198" s="20" t="s">
        <v>392</v>
      </c>
      <c r="D198" s="20" t="s">
        <v>424</v>
      </c>
      <c r="E198" s="20" t="s">
        <v>425</v>
      </c>
      <c r="F198" s="20">
        <v>32.509709870000002</v>
      </c>
      <c r="G198" s="20">
        <v>44.429878780000003</v>
      </c>
      <c r="H198" s="22">
        <v>13</v>
      </c>
      <c r="I198" s="22">
        <v>78</v>
      </c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>
        <v>13</v>
      </c>
      <c r="W198" s="21"/>
      <c r="X198" s="21"/>
      <c r="Y198" s="21"/>
      <c r="Z198" s="21"/>
      <c r="AA198" s="21"/>
      <c r="AB198" s="21"/>
      <c r="AC198" s="21"/>
      <c r="AD198" s="21">
        <v>7</v>
      </c>
      <c r="AE198" s="21"/>
      <c r="AF198" s="21"/>
      <c r="AG198" s="21"/>
      <c r="AH198" s="21">
        <v>6</v>
      </c>
      <c r="AI198" s="21"/>
      <c r="AJ198" s="21"/>
      <c r="AK198" s="21"/>
      <c r="AL198" s="21"/>
      <c r="AM198" s="21">
        <v>13</v>
      </c>
      <c r="AN198" s="21"/>
      <c r="AO198" s="21"/>
      <c r="AP198" s="21"/>
      <c r="AQ198" s="21"/>
      <c r="AR198" s="21"/>
      <c r="AS198" s="21"/>
      <c r="AT198" s="12" t="str">
        <f>HYPERLINK("http://www.openstreetmap.org/?mlat=32.5097&amp;mlon=44.4299&amp;zoom=12#map=12/32.5097/44.4299","Maplink1")</f>
        <v>Maplink1</v>
      </c>
      <c r="AU198" s="12" t="str">
        <f>HYPERLINK("https://www.google.iq/maps/search/+32.5097,44.4299/@32.5097,44.4299,14z?hl=en","Maplink2")</f>
        <v>Maplink2</v>
      </c>
      <c r="AV198" s="12" t="str">
        <f>HYPERLINK("http://www.bing.com/maps/?lvl=14&amp;sty=h&amp;cp=32.5097~44.4299&amp;sp=point.32.5097_44.4299","Maplink3")</f>
        <v>Maplink3</v>
      </c>
    </row>
    <row r="199" spans="1:48" ht="15" customHeight="1" x14ac:dyDescent="0.25">
      <c r="A199" s="19">
        <v>24295</v>
      </c>
      <c r="B199" s="20" t="s">
        <v>10</v>
      </c>
      <c r="C199" s="20" t="s">
        <v>392</v>
      </c>
      <c r="D199" s="20" t="s">
        <v>426</v>
      </c>
      <c r="E199" s="20" t="s">
        <v>427</v>
      </c>
      <c r="F199" s="20">
        <v>32.204612458600003</v>
      </c>
      <c r="G199" s="20">
        <v>44.369148596800002</v>
      </c>
      <c r="H199" s="22">
        <v>3</v>
      </c>
      <c r="I199" s="22">
        <v>18</v>
      </c>
      <c r="J199" s="21"/>
      <c r="K199" s="21"/>
      <c r="L199" s="21"/>
      <c r="M199" s="21"/>
      <c r="N199" s="21"/>
      <c r="O199" s="21">
        <v>3</v>
      </c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>
        <v>3</v>
      </c>
      <c r="AI199" s="21"/>
      <c r="AJ199" s="21"/>
      <c r="AK199" s="21"/>
      <c r="AL199" s="21"/>
      <c r="AM199" s="21"/>
      <c r="AN199" s="21">
        <v>3</v>
      </c>
      <c r="AO199" s="21"/>
      <c r="AP199" s="21"/>
      <c r="AQ199" s="21"/>
      <c r="AR199" s="21"/>
      <c r="AS199" s="21"/>
      <c r="AT199" s="12" t="str">
        <f>HYPERLINK("http://www.openstreetmap.org/?mlat=32.2046&amp;mlon=44.3691&amp;zoom=12#map=12/32.2046/44.3691","Maplink1")</f>
        <v>Maplink1</v>
      </c>
      <c r="AU199" s="12" t="str">
        <f>HYPERLINK("https://www.google.iq/maps/search/+32.2046,44.3691/@32.2046,44.3691,14z?hl=en","Maplink2")</f>
        <v>Maplink2</v>
      </c>
      <c r="AV199" s="12" t="str">
        <f>HYPERLINK("http://www.bing.com/maps/?lvl=14&amp;sty=h&amp;cp=32.2046~44.3691&amp;sp=point.32.2046_44.3691","Maplink3")</f>
        <v>Maplink3</v>
      </c>
    </row>
    <row r="200" spans="1:48" ht="15" customHeight="1" x14ac:dyDescent="0.25">
      <c r="A200" s="19">
        <v>24563</v>
      </c>
      <c r="B200" s="20" t="s">
        <v>10</v>
      </c>
      <c r="C200" s="20" t="s">
        <v>392</v>
      </c>
      <c r="D200" s="20" t="s">
        <v>428</v>
      </c>
      <c r="E200" s="20" t="s">
        <v>429</v>
      </c>
      <c r="F200" s="20">
        <v>32.228836579999999</v>
      </c>
      <c r="G200" s="20">
        <v>44.356674259999998</v>
      </c>
      <c r="H200" s="22">
        <v>1</v>
      </c>
      <c r="I200" s="22">
        <v>6</v>
      </c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>
        <v>1</v>
      </c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>
        <v>1</v>
      </c>
      <c r="AI200" s="21"/>
      <c r="AJ200" s="21"/>
      <c r="AK200" s="21"/>
      <c r="AL200" s="21"/>
      <c r="AM200" s="21">
        <v>1</v>
      </c>
      <c r="AN200" s="21"/>
      <c r="AO200" s="21"/>
      <c r="AP200" s="21"/>
      <c r="AQ200" s="21"/>
      <c r="AR200" s="21"/>
      <c r="AS200" s="21"/>
      <c r="AT200" s="12" t="str">
        <f>HYPERLINK("http://www.openstreetmap.org/?mlat=32.2288&amp;mlon=44.3567&amp;zoom=12#map=12/32.2288/44.3567","Maplink1")</f>
        <v>Maplink1</v>
      </c>
      <c r="AU200" s="12" t="str">
        <f>HYPERLINK("https://www.google.iq/maps/search/+32.2288,44.3567/@32.2288,44.3567,14z?hl=en","Maplink2")</f>
        <v>Maplink2</v>
      </c>
      <c r="AV200" s="12" t="str">
        <f>HYPERLINK("http://www.bing.com/maps/?lvl=14&amp;sty=h&amp;cp=32.2288~44.3567&amp;sp=point.32.2288_44.3567","Maplink3")</f>
        <v>Maplink3</v>
      </c>
    </row>
    <row r="201" spans="1:48" ht="15" customHeight="1" x14ac:dyDescent="0.25">
      <c r="A201" s="19">
        <v>24562</v>
      </c>
      <c r="B201" s="20" t="s">
        <v>10</v>
      </c>
      <c r="C201" s="20" t="s">
        <v>392</v>
      </c>
      <c r="D201" s="20" t="s">
        <v>430</v>
      </c>
      <c r="E201" s="20" t="s">
        <v>431</v>
      </c>
      <c r="F201" s="20">
        <v>32.2194991</v>
      </c>
      <c r="G201" s="20">
        <v>44.365795869999999</v>
      </c>
      <c r="H201" s="22">
        <v>5</v>
      </c>
      <c r="I201" s="22">
        <v>30</v>
      </c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>
        <v>5</v>
      </c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>
        <v>5</v>
      </c>
      <c r="AI201" s="21"/>
      <c r="AJ201" s="21"/>
      <c r="AK201" s="21"/>
      <c r="AL201" s="21"/>
      <c r="AM201" s="21">
        <v>5</v>
      </c>
      <c r="AN201" s="21"/>
      <c r="AO201" s="21"/>
      <c r="AP201" s="21"/>
      <c r="AQ201" s="21"/>
      <c r="AR201" s="21"/>
      <c r="AS201" s="21"/>
      <c r="AT201" s="12" t="str">
        <f>HYPERLINK("http://www.openstreetmap.org/?mlat=32.2195&amp;mlon=44.3658&amp;zoom=12#map=12/32.2195/44.3658","Maplink1")</f>
        <v>Maplink1</v>
      </c>
      <c r="AU201" s="12" t="str">
        <f>HYPERLINK("https://www.google.iq/maps/search/+32.2195,44.3658/@32.2195,44.3658,14z?hl=en","Maplink2")</f>
        <v>Maplink2</v>
      </c>
      <c r="AV201" s="12" t="str">
        <f>HYPERLINK("http://www.bing.com/maps/?lvl=14&amp;sty=h&amp;cp=32.2195~44.3658&amp;sp=point.32.2195_44.3658","Maplink3")</f>
        <v>Maplink3</v>
      </c>
    </row>
    <row r="202" spans="1:48" ht="15" customHeight="1" x14ac:dyDescent="0.25">
      <c r="A202" s="19">
        <v>24561</v>
      </c>
      <c r="B202" s="20" t="s">
        <v>10</v>
      </c>
      <c r="C202" s="20" t="s">
        <v>392</v>
      </c>
      <c r="D202" s="20" t="s">
        <v>432</v>
      </c>
      <c r="E202" s="20" t="s">
        <v>433</v>
      </c>
      <c r="F202" s="20">
        <v>32.225191629999998</v>
      </c>
      <c r="G202" s="20">
        <v>44.36791238</v>
      </c>
      <c r="H202" s="22">
        <v>3</v>
      </c>
      <c r="I202" s="22">
        <v>18</v>
      </c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>
        <v>3</v>
      </c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>
        <v>3</v>
      </c>
      <c r="AI202" s="21"/>
      <c r="AJ202" s="21"/>
      <c r="AK202" s="21"/>
      <c r="AL202" s="21"/>
      <c r="AM202" s="21">
        <v>3</v>
      </c>
      <c r="AN202" s="21"/>
      <c r="AO202" s="21"/>
      <c r="AP202" s="21"/>
      <c r="AQ202" s="21"/>
      <c r="AR202" s="21"/>
      <c r="AS202" s="21"/>
      <c r="AT202" s="12" t="str">
        <f>HYPERLINK("http://www.openstreetmap.org/?mlat=32.2252&amp;mlon=44.3679&amp;zoom=12#map=12/32.2252/44.3679","Maplink1")</f>
        <v>Maplink1</v>
      </c>
      <c r="AU202" s="12" t="str">
        <f>HYPERLINK("https://www.google.iq/maps/search/+32.2252,44.3679/@32.2252,44.3679,14z?hl=en","Maplink2")</f>
        <v>Maplink2</v>
      </c>
      <c r="AV202" s="12" t="str">
        <f>HYPERLINK("http://www.bing.com/maps/?lvl=14&amp;sty=h&amp;cp=32.2252~44.3679&amp;sp=point.32.2252_44.3679","Maplink3")</f>
        <v>Maplink3</v>
      </c>
    </row>
    <row r="203" spans="1:48" ht="15" customHeight="1" x14ac:dyDescent="0.25">
      <c r="A203" s="19">
        <v>25603</v>
      </c>
      <c r="B203" s="20" t="s">
        <v>10</v>
      </c>
      <c r="C203" s="20" t="s">
        <v>392</v>
      </c>
      <c r="D203" s="20" t="s">
        <v>434</v>
      </c>
      <c r="E203" s="20" t="s">
        <v>435</v>
      </c>
      <c r="F203" s="20">
        <v>32.264688700000001</v>
      </c>
      <c r="G203" s="20">
        <v>44.393465710000001</v>
      </c>
      <c r="H203" s="22">
        <v>6</v>
      </c>
      <c r="I203" s="22">
        <v>36</v>
      </c>
      <c r="J203" s="21">
        <v>3</v>
      </c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>
        <v>3</v>
      </c>
      <c r="W203" s="21"/>
      <c r="X203" s="21"/>
      <c r="Y203" s="21"/>
      <c r="Z203" s="21"/>
      <c r="AA203" s="21"/>
      <c r="AB203" s="21"/>
      <c r="AC203" s="21"/>
      <c r="AD203" s="21">
        <v>6</v>
      </c>
      <c r="AE203" s="21"/>
      <c r="AF203" s="21"/>
      <c r="AG203" s="21"/>
      <c r="AH203" s="21"/>
      <c r="AI203" s="21"/>
      <c r="AJ203" s="21"/>
      <c r="AK203" s="21"/>
      <c r="AL203" s="21"/>
      <c r="AM203" s="21">
        <v>3</v>
      </c>
      <c r="AN203" s="21"/>
      <c r="AO203" s="21">
        <v>3</v>
      </c>
      <c r="AP203" s="21"/>
      <c r="AQ203" s="21"/>
      <c r="AR203" s="21"/>
      <c r="AS203" s="21"/>
      <c r="AT203" s="12" t="str">
        <f>HYPERLINK("http://www.openstreetmap.org/?mlat=32.2647&amp;mlon=44.3935&amp;zoom=12#map=12/32.2647/44.3935","Maplink1")</f>
        <v>Maplink1</v>
      </c>
      <c r="AU203" s="12" t="str">
        <f>HYPERLINK("https://www.google.iq/maps/search/+32.2647,44.3935/@32.2647,44.3935,14z?hl=en","Maplink2")</f>
        <v>Maplink2</v>
      </c>
      <c r="AV203" s="12" t="str">
        <f>HYPERLINK("http://www.bing.com/maps/?lvl=14&amp;sty=h&amp;cp=32.2647~44.3935&amp;sp=point.32.2647_44.3935","Maplink3")</f>
        <v>Maplink3</v>
      </c>
    </row>
    <row r="204" spans="1:48" ht="15" customHeight="1" x14ac:dyDescent="0.25">
      <c r="A204" s="19">
        <v>24978</v>
      </c>
      <c r="B204" s="20" t="s">
        <v>10</v>
      </c>
      <c r="C204" s="20" t="s">
        <v>392</v>
      </c>
      <c r="D204" s="20" t="s">
        <v>436</v>
      </c>
      <c r="E204" s="20" t="s">
        <v>437</v>
      </c>
      <c r="F204" s="20">
        <v>32.225986020000001</v>
      </c>
      <c r="G204" s="20">
        <v>44.370787380000003</v>
      </c>
      <c r="H204" s="22">
        <v>1</v>
      </c>
      <c r="I204" s="22">
        <v>6</v>
      </c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>
        <v>1</v>
      </c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>
        <v>1</v>
      </c>
      <c r="AI204" s="21"/>
      <c r="AJ204" s="21"/>
      <c r="AK204" s="21"/>
      <c r="AL204" s="21"/>
      <c r="AM204" s="21">
        <v>1</v>
      </c>
      <c r="AN204" s="21"/>
      <c r="AO204" s="21"/>
      <c r="AP204" s="21"/>
      <c r="AQ204" s="21"/>
      <c r="AR204" s="21"/>
      <c r="AS204" s="21"/>
      <c r="AT204" s="12" t="str">
        <f>HYPERLINK("http://www.openstreetmap.org/?mlat=32.226&amp;mlon=44.3708&amp;zoom=12#map=12/32.226/44.3708","Maplink1")</f>
        <v>Maplink1</v>
      </c>
      <c r="AU204" s="12" t="str">
        <f>HYPERLINK("https://www.google.iq/maps/search/+32.226,44.3708/@32.226,44.3708,14z?hl=en","Maplink2")</f>
        <v>Maplink2</v>
      </c>
      <c r="AV204" s="12" t="str">
        <f>HYPERLINK("http://www.bing.com/maps/?lvl=14&amp;sty=h&amp;cp=32.226~44.3708&amp;sp=point.32.226_44.3708","Maplink3")</f>
        <v>Maplink3</v>
      </c>
    </row>
    <row r="205" spans="1:48" ht="15" customHeight="1" x14ac:dyDescent="0.25">
      <c r="A205" s="19">
        <v>24971</v>
      </c>
      <c r="B205" s="20" t="s">
        <v>10</v>
      </c>
      <c r="C205" s="20" t="s">
        <v>392</v>
      </c>
      <c r="D205" s="20" t="s">
        <v>438</v>
      </c>
      <c r="E205" s="20" t="s">
        <v>439</v>
      </c>
      <c r="F205" s="20">
        <v>32.511570710000001</v>
      </c>
      <c r="G205" s="20">
        <v>44.429012100000001</v>
      </c>
      <c r="H205" s="22">
        <v>2</v>
      </c>
      <c r="I205" s="22">
        <v>12</v>
      </c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>
        <v>2</v>
      </c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>
        <v>2</v>
      </c>
      <c r="AI205" s="21"/>
      <c r="AJ205" s="21"/>
      <c r="AK205" s="21"/>
      <c r="AL205" s="21"/>
      <c r="AM205" s="21">
        <v>2</v>
      </c>
      <c r="AN205" s="21"/>
      <c r="AO205" s="21"/>
      <c r="AP205" s="21"/>
      <c r="AQ205" s="21"/>
      <c r="AR205" s="21"/>
      <c r="AS205" s="21"/>
      <c r="AT205" s="12" t="str">
        <f>HYPERLINK("http://www.openstreetmap.org/?mlat=32.5116&amp;mlon=44.429&amp;zoom=12#map=12/32.5116/44.429","Maplink1")</f>
        <v>Maplink1</v>
      </c>
      <c r="AU205" s="12" t="str">
        <f>HYPERLINK("https://www.google.iq/maps/search/+32.5116,44.429/@32.5116,44.429,14z?hl=en","Maplink2")</f>
        <v>Maplink2</v>
      </c>
      <c r="AV205" s="12" t="str">
        <f>HYPERLINK("http://www.bing.com/maps/?lvl=14&amp;sty=h&amp;cp=32.5116~44.429&amp;sp=point.32.5116_44.429","Maplink3")</f>
        <v>Maplink3</v>
      </c>
    </row>
    <row r="206" spans="1:48" ht="15" customHeight="1" x14ac:dyDescent="0.25">
      <c r="A206" s="19">
        <v>25124</v>
      </c>
      <c r="B206" s="20" t="s">
        <v>10</v>
      </c>
      <c r="C206" s="20" t="s">
        <v>392</v>
      </c>
      <c r="D206" s="20" t="s">
        <v>441</v>
      </c>
      <c r="E206" s="20" t="s">
        <v>442</v>
      </c>
      <c r="F206" s="20">
        <v>32.47898</v>
      </c>
      <c r="G206" s="20">
        <v>44.496810000000004</v>
      </c>
      <c r="H206" s="22">
        <v>8</v>
      </c>
      <c r="I206" s="22">
        <v>48</v>
      </c>
      <c r="J206" s="21"/>
      <c r="K206" s="21"/>
      <c r="L206" s="21">
        <v>8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>
        <v>8</v>
      </c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>
        <v>8</v>
      </c>
      <c r="AO206" s="21"/>
      <c r="AP206" s="21"/>
      <c r="AQ206" s="21"/>
      <c r="AR206" s="21"/>
      <c r="AS206" s="21"/>
      <c r="AT206" s="12" t="str">
        <f>HYPERLINK("http://www.openstreetmap.org/?mlat=32.479&amp;mlon=44.4968&amp;zoom=12#map=12/32.479/44.4968","Maplink1")</f>
        <v>Maplink1</v>
      </c>
      <c r="AU206" s="12" t="str">
        <f>HYPERLINK("https://www.google.iq/maps/search/+32.479,44.4968/@32.479,44.4968,14z?hl=en","Maplink2")</f>
        <v>Maplink2</v>
      </c>
      <c r="AV206" s="12" t="str">
        <f>HYPERLINK("http://www.bing.com/maps/?lvl=14&amp;sty=h&amp;cp=32.479~44.4968&amp;sp=point.32.479_44.4968","Maplink3")</f>
        <v>Maplink3</v>
      </c>
    </row>
    <row r="207" spans="1:48" ht="15" customHeight="1" x14ac:dyDescent="0.25">
      <c r="A207" s="19">
        <v>25450</v>
      </c>
      <c r="B207" s="20" t="s">
        <v>10</v>
      </c>
      <c r="C207" s="20" t="s">
        <v>392</v>
      </c>
      <c r="D207" s="20" t="s">
        <v>6056</v>
      </c>
      <c r="E207" s="20" t="s">
        <v>6057</v>
      </c>
      <c r="F207" s="20">
        <v>32.442219999999999</v>
      </c>
      <c r="G207" s="20">
        <v>44.419229000000001</v>
      </c>
      <c r="H207" s="22">
        <v>5</v>
      </c>
      <c r="I207" s="22">
        <v>30</v>
      </c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>
        <v>5</v>
      </c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>
        <v>5</v>
      </c>
      <c r="AI207" s="21"/>
      <c r="AJ207" s="21"/>
      <c r="AK207" s="21"/>
      <c r="AL207" s="21"/>
      <c r="AM207" s="21"/>
      <c r="AN207" s="21">
        <v>5</v>
      </c>
      <c r="AO207" s="21"/>
      <c r="AP207" s="21"/>
      <c r="AQ207" s="21"/>
      <c r="AR207" s="21"/>
      <c r="AS207" s="21"/>
      <c r="AT207" s="12" t="str">
        <f>HYPERLINK("http://www.openstreetmap.org/?mlat=32.4422&amp;mlon=44.4192&amp;zoom=12#map=12/32.4422/44.4192","Maplink1")</f>
        <v>Maplink1</v>
      </c>
      <c r="AU207" s="12" t="str">
        <f>HYPERLINK("https://www.google.iq/maps/search/+32.4422,44.4192/@32.4422,44.4192,14z?hl=en","Maplink2")</f>
        <v>Maplink2</v>
      </c>
      <c r="AV207" s="12" t="str">
        <f>HYPERLINK("http://www.bing.com/maps/?lvl=14&amp;sty=h&amp;cp=32.4422~44.4192&amp;sp=point.32.4422_44.4192","Maplink3")</f>
        <v>Maplink3</v>
      </c>
    </row>
    <row r="208" spans="1:48" ht="15" customHeight="1" x14ac:dyDescent="0.25">
      <c r="A208" s="19">
        <v>24593</v>
      </c>
      <c r="B208" s="20" t="s">
        <v>10</v>
      </c>
      <c r="C208" s="20" t="s">
        <v>392</v>
      </c>
      <c r="D208" s="20" t="s">
        <v>444</v>
      </c>
      <c r="E208" s="20" t="s">
        <v>121</v>
      </c>
      <c r="F208" s="20">
        <v>32.471250150000003</v>
      </c>
      <c r="G208" s="20">
        <v>44.40426738</v>
      </c>
      <c r="H208" s="22">
        <v>7</v>
      </c>
      <c r="I208" s="22">
        <v>42</v>
      </c>
      <c r="J208" s="21">
        <v>1</v>
      </c>
      <c r="K208" s="21"/>
      <c r="L208" s="21"/>
      <c r="M208" s="21"/>
      <c r="N208" s="21"/>
      <c r="O208" s="21">
        <v>1</v>
      </c>
      <c r="P208" s="21"/>
      <c r="Q208" s="21"/>
      <c r="R208" s="21"/>
      <c r="S208" s="21"/>
      <c r="T208" s="21"/>
      <c r="U208" s="21"/>
      <c r="V208" s="21">
        <v>5</v>
      </c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>
        <v>7</v>
      </c>
      <c r="AI208" s="21"/>
      <c r="AJ208" s="21"/>
      <c r="AK208" s="21"/>
      <c r="AL208" s="21"/>
      <c r="AM208" s="21">
        <v>6</v>
      </c>
      <c r="AN208" s="21">
        <v>1</v>
      </c>
      <c r="AO208" s="21"/>
      <c r="AP208" s="21"/>
      <c r="AQ208" s="21"/>
      <c r="AR208" s="21"/>
      <c r="AS208" s="21"/>
      <c r="AT208" s="12" t="str">
        <f>HYPERLINK("http://www.openstreetmap.org/?mlat=32.4713&amp;mlon=44.4043&amp;zoom=12#map=12/32.4713/44.4043","Maplink1")</f>
        <v>Maplink1</v>
      </c>
      <c r="AU208" s="12" t="str">
        <f>HYPERLINK("https://www.google.iq/maps/search/+32.4713,44.4043/@32.4713,44.4043,14z?hl=en","Maplink2")</f>
        <v>Maplink2</v>
      </c>
      <c r="AV208" s="12" t="str">
        <f>HYPERLINK("http://www.bing.com/maps/?lvl=14&amp;sty=h&amp;cp=32.4713~44.4043&amp;sp=point.32.4713_44.4043","Maplink3")</f>
        <v>Maplink3</v>
      </c>
    </row>
    <row r="209" spans="1:48" ht="15" customHeight="1" x14ac:dyDescent="0.25">
      <c r="A209" s="19">
        <v>24167</v>
      </c>
      <c r="B209" s="20" t="s">
        <v>10</v>
      </c>
      <c r="C209" s="20" t="s">
        <v>392</v>
      </c>
      <c r="D209" s="20" t="s">
        <v>445</v>
      </c>
      <c r="E209" s="20" t="s">
        <v>446</v>
      </c>
      <c r="F209" s="20">
        <v>32.464872583999998</v>
      </c>
      <c r="G209" s="20">
        <v>44.380836741300001</v>
      </c>
      <c r="H209" s="22">
        <v>8</v>
      </c>
      <c r="I209" s="22">
        <v>48</v>
      </c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>
        <v>8</v>
      </c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>
        <v>8</v>
      </c>
      <c r="AI209" s="21"/>
      <c r="AJ209" s="21"/>
      <c r="AK209" s="21"/>
      <c r="AL209" s="21"/>
      <c r="AM209" s="21">
        <v>8</v>
      </c>
      <c r="AN209" s="21"/>
      <c r="AO209" s="21"/>
      <c r="AP209" s="21"/>
      <c r="AQ209" s="21"/>
      <c r="AR209" s="21"/>
      <c r="AS209" s="21"/>
      <c r="AT209" s="12" t="str">
        <f>HYPERLINK("http://www.openstreetmap.org/?mlat=32.4649&amp;mlon=44.3808&amp;zoom=12#map=12/32.4649/44.3808","Maplink1")</f>
        <v>Maplink1</v>
      </c>
      <c r="AU209" s="12" t="str">
        <f>HYPERLINK("https://www.google.iq/maps/search/+32.4649,44.3808/@32.4649,44.3808,14z?hl=en","Maplink2")</f>
        <v>Maplink2</v>
      </c>
      <c r="AV209" s="12" t="str">
        <f>HYPERLINK("http://www.bing.com/maps/?lvl=14&amp;sty=h&amp;cp=32.4649~44.3808&amp;sp=point.32.4649_44.3808","Maplink3")</f>
        <v>Maplink3</v>
      </c>
    </row>
    <row r="210" spans="1:48" ht="15" customHeight="1" x14ac:dyDescent="0.25">
      <c r="A210" s="19">
        <v>25447</v>
      </c>
      <c r="B210" s="20" t="s">
        <v>10</v>
      </c>
      <c r="C210" s="20" t="s">
        <v>392</v>
      </c>
      <c r="D210" s="20" t="s">
        <v>447</v>
      </c>
      <c r="E210" s="20" t="s">
        <v>448</v>
      </c>
      <c r="F210" s="20">
        <v>32.481286599999997</v>
      </c>
      <c r="G210" s="20">
        <v>44.440872579999997</v>
      </c>
      <c r="H210" s="22">
        <v>2</v>
      </c>
      <c r="I210" s="22">
        <v>12</v>
      </c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>
        <v>2</v>
      </c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>
        <v>2</v>
      </c>
      <c r="AI210" s="21"/>
      <c r="AJ210" s="21"/>
      <c r="AK210" s="21"/>
      <c r="AL210" s="21"/>
      <c r="AM210" s="21">
        <v>2</v>
      </c>
      <c r="AN210" s="21"/>
      <c r="AO210" s="21"/>
      <c r="AP210" s="21"/>
      <c r="AQ210" s="21"/>
      <c r="AR210" s="21"/>
      <c r="AS210" s="21"/>
      <c r="AT210" s="12" t="str">
        <f>HYPERLINK("http://www.openstreetmap.org/?mlat=32.4813&amp;mlon=44.4409&amp;zoom=12#map=12/32.4813/44.4409","Maplink1")</f>
        <v>Maplink1</v>
      </c>
      <c r="AU210" s="12" t="str">
        <f>HYPERLINK("https://www.google.iq/maps/search/+32.4813,44.4409/@32.4813,44.4409,14z?hl=en","Maplink2")</f>
        <v>Maplink2</v>
      </c>
      <c r="AV210" s="12" t="str">
        <f>HYPERLINK("http://www.bing.com/maps/?lvl=14&amp;sty=h&amp;cp=32.4813~44.4409&amp;sp=point.32.4813_44.4409","Maplink3")</f>
        <v>Maplink3</v>
      </c>
    </row>
    <row r="211" spans="1:48" ht="15" customHeight="1" x14ac:dyDescent="0.25">
      <c r="A211" s="19">
        <v>23955</v>
      </c>
      <c r="B211" s="20" t="s">
        <v>10</v>
      </c>
      <c r="C211" s="20" t="s">
        <v>392</v>
      </c>
      <c r="D211" s="20" t="s">
        <v>449</v>
      </c>
      <c r="E211" s="20" t="s">
        <v>450</v>
      </c>
      <c r="F211" s="20">
        <v>32.4405</v>
      </c>
      <c r="G211" s="20">
        <v>44.398656789999997</v>
      </c>
      <c r="H211" s="22">
        <v>2</v>
      </c>
      <c r="I211" s="22">
        <v>12</v>
      </c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>
        <v>2</v>
      </c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>
        <v>2</v>
      </c>
      <c r="AI211" s="21"/>
      <c r="AJ211" s="21"/>
      <c r="AK211" s="21"/>
      <c r="AL211" s="21"/>
      <c r="AM211" s="21">
        <v>2</v>
      </c>
      <c r="AN211" s="21"/>
      <c r="AO211" s="21"/>
      <c r="AP211" s="21"/>
      <c r="AQ211" s="21"/>
      <c r="AR211" s="21"/>
      <c r="AS211" s="21"/>
      <c r="AT211" s="12" t="str">
        <f>HYPERLINK("http://www.openstreetmap.org/?mlat=32.4405&amp;mlon=44.3987&amp;zoom=12#map=12/32.4405/44.3987","Maplink1")</f>
        <v>Maplink1</v>
      </c>
      <c r="AU211" s="12" t="str">
        <f>HYPERLINK("https://www.google.iq/maps/search/+32.4405,44.3987/@32.4405,44.3987,14z?hl=en","Maplink2")</f>
        <v>Maplink2</v>
      </c>
      <c r="AV211" s="12" t="str">
        <f>HYPERLINK("http://www.bing.com/maps/?lvl=14&amp;sty=h&amp;cp=32.4405~44.3987&amp;sp=point.32.4405_44.3987","Maplink3")</f>
        <v>Maplink3</v>
      </c>
    </row>
    <row r="212" spans="1:48" ht="15" customHeight="1" x14ac:dyDescent="0.25">
      <c r="A212" s="19">
        <v>24980</v>
      </c>
      <c r="B212" s="20" t="s">
        <v>10</v>
      </c>
      <c r="C212" s="20" t="s">
        <v>392</v>
      </c>
      <c r="D212" s="20" t="s">
        <v>451</v>
      </c>
      <c r="E212" s="20" t="s">
        <v>365</v>
      </c>
      <c r="F212" s="20">
        <v>32.230072370000002</v>
      </c>
      <c r="G212" s="20">
        <v>44.378015429999998</v>
      </c>
      <c r="H212" s="22">
        <v>2</v>
      </c>
      <c r="I212" s="22">
        <v>12</v>
      </c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>
        <v>2</v>
      </c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>
        <v>2</v>
      </c>
      <c r="AI212" s="21"/>
      <c r="AJ212" s="21"/>
      <c r="AK212" s="21"/>
      <c r="AL212" s="21"/>
      <c r="AM212" s="21">
        <v>2</v>
      </c>
      <c r="AN212" s="21"/>
      <c r="AO212" s="21"/>
      <c r="AP212" s="21"/>
      <c r="AQ212" s="21"/>
      <c r="AR212" s="21"/>
      <c r="AS212" s="21"/>
      <c r="AT212" s="12" t="str">
        <f>HYPERLINK("http://www.openstreetmap.org/?mlat=32.2301&amp;mlon=44.378&amp;zoom=12#map=12/32.2301/44.378","Maplink1")</f>
        <v>Maplink1</v>
      </c>
      <c r="AU212" s="12" t="str">
        <f>HYPERLINK("https://www.google.iq/maps/search/+32.2301,44.378/@32.2301,44.378,14z?hl=en","Maplink2")</f>
        <v>Maplink2</v>
      </c>
      <c r="AV212" s="12" t="str">
        <f>HYPERLINK("http://www.bing.com/maps/?lvl=14&amp;sty=h&amp;cp=32.2301~44.378&amp;sp=point.32.2301_44.378","Maplink3")</f>
        <v>Maplink3</v>
      </c>
    </row>
    <row r="213" spans="1:48" ht="15" customHeight="1" x14ac:dyDescent="0.25">
      <c r="A213" s="19">
        <v>25714</v>
      </c>
      <c r="B213" s="20" t="s">
        <v>10</v>
      </c>
      <c r="C213" s="20" t="s">
        <v>392</v>
      </c>
      <c r="D213" s="20" t="s">
        <v>452</v>
      </c>
      <c r="E213" s="20" t="s">
        <v>453</v>
      </c>
      <c r="F213" s="20">
        <v>32.220828339999997</v>
      </c>
      <c r="G213" s="20">
        <v>44.365596969999999</v>
      </c>
      <c r="H213" s="22">
        <v>3</v>
      </c>
      <c r="I213" s="22">
        <v>18</v>
      </c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>
        <v>3</v>
      </c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>
        <v>3</v>
      </c>
      <c r="AI213" s="21"/>
      <c r="AJ213" s="21"/>
      <c r="AK213" s="21"/>
      <c r="AL213" s="21"/>
      <c r="AM213" s="21">
        <v>3</v>
      </c>
      <c r="AN213" s="21"/>
      <c r="AO213" s="21"/>
      <c r="AP213" s="21"/>
      <c r="AQ213" s="21"/>
      <c r="AR213" s="21"/>
      <c r="AS213" s="21"/>
      <c r="AT213" s="12" t="str">
        <f>HYPERLINK("http://www.openstreetmap.org/?mlat=32.2208&amp;mlon=44.3656&amp;zoom=12#map=12/32.2208/44.3656","Maplink1")</f>
        <v>Maplink1</v>
      </c>
      <c r="AU213" s="12" t="str">
        <f>HYPERLINK("https://www.google.iq/maps/search/+32.2208,44.3656/@32.2208,44.3656,14z?hl=en","Maplink2")</f>
        <v>Maplink2</v>
      </c>
      <c r="AV213" s="12" t="str">
        <f>HYPERLINK("http://www.bing.com/maps/?lvl=14&amp;sty=h&amp;cp=32.2208~44.3656&amp;sp=point.32.2208_44.3656","Maplink3")</f>
        <v>Maplink3</v>
      </c>
    </row>
    <row r="214" spans="1:48" ht="15" customHeight="1" x14ac:dyDescent="0.25">
      <c r="A214" s="19">
        <v>7172</v>
      </c>
      <c r="B214" s="20" t="s">
        <v>10</v>
      </c>
      <c r="C214" s="20" t="s">
        <v>392</v>
      </c>
      <c r="D214" s="20" t="s">
        <v>454</v>
      </c>
      <c r="E214" s="20" t="s">
        <v>455</v>
      </c>
      <c r="F214" s="20">
        <v>32.448438760000002</v>
      </c>
      <c r="G214" s="20">
        <v>44.394100469999998</v>
      </c>
      <c r="H214" s="22">
        <v>16</v>
      </c>
      <c r="I214" s="22">
        <v>96</v>
      </c>
      <c r="J214" s="21">
        <v>2</v>
      </c>
      <c r="K214" s="21">
        <v>1</v>
      </c>
      <c r="L214" s="21">
        <v>1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>
        <v>8</v>
      </c>
      <c r="W214" s="21"/>
      <c r="X214" s="21">
        <v>4</v>
      </c>
      <c r="Y214" s="21"/>
      <c r="Z214" s="21"/>
      <c r="AA214" s="21"/>
      <c r="AB214" s="21"/>
      <c r="AC214" s="21"/>
      <c r="AD214" s="21"/>
      <c r="AE214" s="21"/>
      <c r="AF214" s="21"/>
      <c r="AG214" s="21"/>
      <c r="AH214" s="21">
        <v>16</v>
      </c>
      <c r="AI214" s="21"/>
      <c r="AJ214" s="21"/>
      <c r="AK214" s="21"/>
      <c r="AL214" s="21">
        <v>1</v>
      </c>
      <c r="AM214" s="21">
        <v>5</v>
      </c>
      <c r="AN214" s="21">
        <v>8</v>
      </c>
      <c r="AO214" s="21">
        <v>2</v>
      </c>
      <c r="AP214" s="21"/>
      <c r="AQ214" s="21"/>
      <c r="AR214" s="21"/>
      <c r="AS214" s="21"/>
      <c r="AT214" s="12" t="str">
        <f>HYPERLINK("http://www.openstreetmap.org/?mlat=32.4484&amp;mlon=44.3941&amp;zoom=12#map=12/32.4484/44.3941","Maplink1")</f>
        <v>Maplink1</v>
      </c>
      <c r="AU214" s="12" t="str">
        <f>HYPERLINK("https://www.google.iq/maps/search/+32.4484,44.3941/@32.4484,44.3941,14z?hl=en","Maplink2")</f>
        <v>Maplink2</v>
      </c>
      <c r="AV214" s="12" t="str">
        <f>HYPERLINK("http://www.bing.com/maps/?lvl=14&amp;sty=h&amp;cp=32.4484~44.3941&amp;sp=point.32.4484_44.3941","Maplink3")</f>
        <v>Maplink3</v>
      </c>
    </row>
    <row r="215" spans="1:48" ht="15" customHeight="1" x14ac:dyDescent="0.25">
      <c r="A215" s="19">
        <v>7154</v>
      </c>
      <c r="B215" s="20" t="s">
        <v>10</v>
      </c>
      <c r="C215" s="20" t="s">
        <v>392</v>
      </c>
      <c r="D215" s="20" t="s">
        <v>456</v>
      </c>
      <c r="E215" s="20" t="s">
        <v>457</v>
      </c>
      <c r="F215" s="20">
        <v>32.467943609999999</v>
      </c>
      <c r="G215" s="20">
        <v>44.430317330000001</v>
      </c>
      <c r="H215" s="22">
        <v>2</v>
      </c>
      <c r="I215" s="22">
        <v>12</v>
      </c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>
        <v>1</v>
      </c>
      <c r="W215" s="21"/>
      <c r="X215" s="21">
        <v>1</v>
      </c>
      <c r="Y215" s="21"/>
      <c r="Z215" s="21"/>
      <c r="AA215" s="21"/>
      <c r="AB215" s="21"/>
      <c r="AC215" s="21"/>
      <c r="AD215" s="21"/>
      <c r="AE215" s="21"/>
      <c r="AF215" s="21"/>
      <c r="AG215" s="21"/>
      <c r="AH215" s="21">
        <v>2</v>
      </c>
      <c r="AI215" s="21"/>
      <c r="AJ215" s="21"/>
      <c r="AK215" s="21"/>
      <c r="AL215" s="21"/>
      <c r="AM215" s="21">
        <v>1</v>
      </c>
      <c r="AN215" s="21">
        <v>1</v>
      </c>
      <c r="AO215" s="21"/>
      <c r="AP215" s="21"/>
      <c r="AQ215" s="21"/>
      <c r="AR215" s="21"/>
      <c r="AS215" s="21"/>
      <c r="AT215" s="12" t="str">
        <f>HYPERLINK("http://www.openstreetmap.org/?mlat=32.4679&amp;mlon=44.4303&amp;zoom=12#map=12/32.4679/44.4303","Maplink1")</f>
        <v>Maplink1</v>
      </c>
      <c r="AU215" s="12" t="str">
        <f>HYPERLINK("https://www.google.iq/maps/search/+32.4679,44.4303/@32.4679,44.4303,14z?hl=en","Maplink2")</f>
        <v>Maplink2</v>
      </c>
      <c r="AV215" s="12" t="str">
        <f>HYPERLINK("http://www.bing.com/maps/?lvl=14&amp;sty=h&amp;cp=32.4679~44.4303&amp;sp=point.32.4679_44.4303","Maplink3")</f>
        <v>Maplink3</v>
      </c>
    </row>
    <row r="216" spans="1:48" ht="15" customHeight="1" x14ac:dyDescent="0.25">
      <c r="A216" s="19">
        <v>7155</v>
      </c>
      <c r="B216" s="20" t="s">
        <v>10</v>
      </c>
      <c r="C216" s="20" t="s">
        <v>392</v>
      </c>
      <c r="D216" s="20" t="s">
        <v>458</v>
      </c>
      <c r="E216" s="20" t="s">
        <v>459</v>
      </c>
      <c r="F216" s="20">
        <v>32.503277820000001</v>
      </c>
      <c r="G216" s="20">
        <v>44.419800389999999</v>
      </c>
      <c r="H216" s="22">
        <v>1</v>
      </c>
      <c r="I216" s="22">
        <v>6</v>
      </c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>
        <v>1</v>
      </c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>
        <v>1</v>
      </c>
      <c r="AI216" s="21"/>
      <c r="AJ216" s="21"/>
      <c r="AK216" s="21"/>
      <c r="AL216" s="21"/>
      <c r="AM216" s="21">
        <v>1</v>
      </c>
      <c r="AN216" s="21"/>
      <c r="AO216" s="21"/>
      <c r="AP216" s="21"/>
      <c r="AQ216" s="21"/>
      <c r="AR216" s="21"/>
      <c r="AS216" s="21"/>
      <c r="AT216" s="12" t="str">
        <f>HYPERLINK("http://www.openstreetmap.org/?mlat=32.5033&amp;mlon=44.4198&amp;zoom=12#map=12/32.5033/44.4198","Maplink1")</f>
        <v>Maplink1</v>
      </c>
      <c r="AU216" s="12" t="str">
        <f>HYPERLINK("https://www.google.iq/maps/search/+32.5033,44.4198/@32.5033,44.4198,14z?hl=en","Maplink2")</f>
        <v>Maplink2</v>
      </c>
      <c r="AV216" s="12" t="str">
        <f>HYPERLINK("http://www.bing.com/maps/?lvl=14&amp;sty=h&amp;cp=32.5033~44.4198&amp;sp=point.32.5033_44.4198","Maplink3")</f>
        <v>Maplink3</v>
      </c>
    </row>
    <row r="217" spans="1:48" ht="15" customHeight="1" x14ac:dyDescent="0.25">
      <c r="A217" s="19">
        <v>24694</v>
      </c>
      <c r="B217" s="20" t="s">
        <v>10</v>
      </c>
      <c r="C217" s="20" t="s">
        <v>392</v>
      </c>
      <c r="D217" s="20" t="s">
        <v>460</v>
      </c>
      <c r="E217" s="20" t="s">
        <v>461</v>
      </c>
      <c r="F217" s="20">
        <v>32.450229839999999</v>
      </c>
      <c r="G217" s="20">
        <v>44.453813820000001</v>
      </c>
      <c r="H217" s="22">
        <v>8</v>
      </c>
      <c r="I217" s="22">
        <v>48</v>
      </c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>
        <v>8</v>
      </c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>
        <v>8</v>
      </c>
      <c r="AI217" s="21"/>
      <c r="AJ217" s="21"/>
      <c r="AK217" s="21"/>
      <c r="AL217" s="21"/>
      <c r="AM217" s="21">
        <v>8</v>
      </c>
      <c r="AN217" s="21"/>
      <c r="AO217" s="21"/>
      <c r="AP217" s="21"/>
      <c r="AQ217" s="21"/>
      <c r="AR217" s="21"/>
      <c r="AS217" s="21"/>
      <c r="AT217" s="12" t="str">
        <f>HYPERLINK("http://www.openstreetmap.org/?mlat=32.4502&amp;mlon=44.4538&amp;zoom=12#map=12/32.4502/44.4538","Maplink1")</f>
        <v>Maplink1</v>
      </c>
      <c r="AU217" s="12" t="str">
        <f>HYPERLINK("https://www.google.iq/maps/search/+32.4502,44.4538/@32.4502,44.4538,14z?hl=en","Maplink2")</f>
        <v>Maplink2</v>
      </c>
      <c r="AV217" s="12" t="str">
        <f>HYPERLINK("http://www.bing.com/maps/?lvl=14&amp;sty=h&amp;cp=32.4502~44.4538&amp;sp=point.32.4502_44.4538","Maplink3")</f>
        <v>Maplink3</v>
      </c>
    </row>
    <row r="218" spans="1:48" ht="15" customHeight="1" x14ac:dyDescent="0.25">
      <c r="A218" s="19">
        <v>25443</v>
      </c>
      <c r="B218" s="20" t="s">
        <v>10</v>
      </c>
      <c r="C218" s="20" t="s">
        <v>392</v>
      </c>
      <c r="D218" s="20" t="s">
        <v>462</v>
      </c>
      <c r="E218" s="20" t="s">
        <v>463</v>
      </c>
      <c r="F218" s="20">
        <v>32.511824429999997</v>
      </c>
      <c r="G218" s="20">
        <v>44.45329615</v>
      </c>
      <c r="H218" s="22">
        <v>5</v>
      </c>
      <c r="I218" s="22">
        <v>30</v>
      </c>
      <c r="J218" s="21"/>
      <c r="K218" s="21">
        <v>5</v>
      </c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>
        <v>5</v>
      </c>
      <c r="AI218" s="21"/>
      <c r="AJ218" s="21"/>
      <c r="AK218" s="21"/>
      <c r="AL218" s="21"/>
      <c r="AM218" s="21">
        <v>5</v>
      </c>
      <c r="AN218" s="21"/>
      <c r="AO218" s="21"/>
      <c r="AP218" s="21"/>
      <c r="AQ218" s="21"/>
      <c r="AR218" s="21"/>
      <c r="AS218" s="21"/>
      <c r="AT218" s="12" t="str">
        <f>HYPERLINK("http://www.openstreetmap.org/?mlat=32.5118&amp;mlon=44.4533&amp;zoom=12#map=12/32.5118/44.4533","Maplink1")</f>
        <v>Maplink1</v>
      </c>
      <c r="AU218" s="12" t="str">
        <f>HYPERLINK("https://www.google.iq/maps/search/+32.5118,44.4533/@32.5118,44.4533,14z?hl=en","Maplink2")</f>
        <v>Maplink2</v>
      </c>
      <c r="AV218" s="12" t="str">
        <f>HYPERLINK("http://www.bing.com/maps/?lvl=14&amp;sty=h&amp;cp=32.5118~44.4533&amp;sp=point.32.5118_44.4533","Maplink3")</f>
        <v>Maplink3</v>
      </c>
    </row>
    <row r="219" spans="1:48" ht="15" customHeight="1" x14ac:dyDescent="0.25">
      <c r="A219" s="19">
        <v>24460</v>
      </c>
      <c r="B219" s="20" t="s">
        <v>10</v>
      </c>
      <c r="C219" s="20" t="s">
        <v>392</v>
      </c>
      <c r="D219" s="20" t="s">
        <v>464</v>
      </c>
      <c r="E219" s="20" t="s">
        <v>465</v>
      </c>
      <c r="F219" s="20">
        <v>32.497293560000003</v>
      </c>
      <c r="G219" s="20">
        <v>44.473355890000001</v>
      </c>
      <c r="H219" s="22">
        <v>3</v>
      </c>
      <c r="I219" s="22">
        <v>18</v>
      </c>
      <c r="J219" s="21">
        <v>3</v>
      </c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>
        <v>3</v>
      </c>
      <c r="AI219" s="21"/>
      <c r="AJ219" s="21"/>
      <c r="AK219" s="21"/>
      <c r="AL219" s="21"/>
      <c r="AM219" s="21"/>
      <c r="AN219" s="21"/>
      <c r="AO219" s="21">
        <v>3</v>
      </c>
      <c r="AP219" s="21"/>
      <c r="AQ219" s="21"/>
      <c r="AR219" s="21"/>
      <c r="AS219" s="21"/>
      <c r="AT219" s="12" t="str">
        <f>HYPERLINK("http://www.openstreetmap.org/?mlat=32.4973&amp;mlon=44.4734&amp;zoom=12#map=12/32.4973/44.4734","Maplink1")</f>
        <v>Maplink1</v>
      </c>
      <c r="AU219" s="12" t="str">
        <f>HYPERLINK("https://www.google.iq/maps/search/+32.4973,44.4734/@32.4973,44.4734,14z?hl=en","Maplink2")</f>
        <v>Maplink2</v>
      </c>
      <c r="AV219" s="12" t="str">
        <f>HYPERLINK("http://www.bing.com/maps/?lvl=14&amp;sty=h&amp;cp=32.4973~44.4734&amp;sp=point.32.4973_44.4734","Maplink3")</f>
        <v>Maplink3</v>
      </c>
    </row>
    <row r="220" spans="1:48" ht="15" customHeight="1" x14ac:dyDescent="0.25">
      <c r="A220" s="19">
        <v>24511</v>
      </c>
      <c r="B220" s="20" t="s">
        <v>10</v>
      </c>
      <c r="C220" s="20" t="s">
        <v>392</v>
      </c>
      <c r="D220" s="20" t="s">
        <v>466</v>
      </c>
      <c r="E220" s="20" t="s">
        <v>467</v>
      </c>
      <c r="F220" s="20">
        <v>32.483524610000003</v>
      </c>
      <c r="G220" s="20">
        <v>44.403983150000002</v>
      </c>
      <c r="H220" s="22">
        <v>5</v>
      </c>
      <c r="I220" s="22">
        <v>30</v>
      </c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>
        <v>5</v>
      </c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>
        <v>5</v>
      </c>
      <c r="AI220" s="21"/>
      <c r="AJ220" s="21"/>
      <c r="AK220" s="21"/>
      <c r="AL220" s="21"/>
      <c r="AM220" s="21">
        <v>5</v>
      </c>
      <c r="AN220" s="21"/>
      <c r="AO220" s="21"/>
      <c r="AP220" s="21"/>
      <c r="AQ220" s="21"/>
      <c r="AR220" s="21"/>
      <c r="AS220" s="21"/>
      <c r="AT220" s="12" t="str">
        <f>HYPERLINK("http://www.openstreetmap.org/?mlat=32.4835&amp;mlon=44.404&amp;zoom=12#map=12/32.4835/44.404","Maplink1")</f>
        <v>Maplink1</v>
      </c>
      <c r="AU220" s="12" t="str">
        <f>HYPERLINK("https://www.google.iq/maps/search/+32.4835,44.404/@32.4835,44.404,14z?hl=en","Maplink2")</f>
        <v>Maplink2</v>
      </c>
      <c r="AV220" s="12" t="str">
        <f>HYPERLINK("http://www.bing.com/maps/?lvl=14&amp;sty=h&amp;cp=32.4835~44.404&amp;sp=point.32.4835_44.404","Maplink3")</f>
        <v>Maplink3</v>
      </c>
    </row>
    <row r="221" spans="1:48" ht="15" customHeight="1" x14ac:dyDescent="0.25">
      <c r="A221" s="19">
        <v>23751</v>
      </c>
      <c r="B221" s="20" t="s">
        <v>10</v>
      </c>
      <c r="C221" s="20" t="s">
        <v>392</v>
      </c>
      <c r="D221" s="20" t="s">
        <v>468</v>
      </c>
      <c r="E221" s="20" t="s">
        <v>469</v>
      </c>
      <c r="F221" s="20">
        <v>32.488803699999998</v>
      </c>
      <c r="G221" s="20">
        <v>44.422619220000001</v>
      </c>
      <c r="H221" s="22">
        <v>2</v>
      </c>
      <c r="I221" s="22">
        <v>12</v>
      </c>
      <c r="J221" s="21">
        <v>2</v>
      </c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>
        <v>2</v>
      </c>
      <c r="AD221" s="21"/>
      <c r="AE221" s="21"/>
      <c r="AF221" s="21"/>
      <c r="AG221" s="21"/>
      <c r="AH221" s="21"/>
      <c r="AI221" s="21"/>
      <c r="AJ221" s="21"/>
      <c r="AK221" s="21"/>
      <c r="AL221" s="21">
        <v>2</v>
      </c>
      <c r="AM221" s="21"/>
      <c r="AN221" s="21"/>
      <c r="AO221" s="21"/>
      <c r="AP221" s="21"/>
      <c r="AQ221" s="21"/>
      <c r="AR221" s="21"/>
      <c r="AS221" s="21"/>
      <c r="AT221" s="12" t="str">
        <f>HYPERLINK("http://www.openstreetmap.org/?mlat=32.4888&amp;mlon=44.4226&amp;zoom=12#map=12/32.4888/44.4226","Maplink1")</f>
        <v>Maplink1</v>
      </c>
      <c r="AU221" s="12" t="str">
        <f>HYPERLINK("https://www.google.iq/maps/search/+32.4888,44.4226/@32.4888,44.4226,14z?hl=en","Maplink2")</f>
        <v>Maplink2</v>
      </c>
      <c r="AV221" s="12" t="str">
        <f>HYPERLINK("http://www.bing.com/maps/?lvl=14&amp;sty=h&amp;cp=32.4888~44.4226&amp;sp=point.32.4888_44.4226","Maplink3")</f>
        <v>Maplink3</v>
      </c>
    </row>
    <row r="222" spans="1:48" ht="15" customHeight="1" x14ac:dyDescent="0.25">
      <c r="A222" s="19">
        <v>24979</v>
      </c>
      <c r="B222" s="20" t="s">
        <v>10</v>
      </c>
      <c r="C222" s="20" t="s">
        <v>392</v>
      </c>
      <c r="D222" s="20" t="s">
        <v>470</v>
      </c>
      <c r="E222" s="20" t="s">
        <v>312</v>
      </c>
      <c r="F222" s="20">
        <v>32.233210419999999</v>
      </c>
      <c r="G222" s="20">
        <v>44.37994922</v>
      </c>
      <c r="H222" s="22">
        <v>1</v>
      </c>
      <c r="I222" s="22">
        <v>6</v>
      </c>
      <c r="J222" s="21">
        <v>1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>
        <v>1</v>
      </c>
      <c r="AI222" s="21"/>
      <c r="AJ222" s="21"/>
      <c r="AK222" s="21"/>
      <c r="AL222" s="21"/>
      <c r="AM222" s="21"/>
      <c r="AN222" s="21"/>
      <c r="AO222" s="21">
        <v>1</v>
      </c>
      <c r="AP222" s="21"/>
      <c r="AQ222" s="21"/>
      <c r="AR222" s="21"/>
      <c r="AS222" s="21"/>
      <c r="AT222" s="12" t="str">
        <f>HYPERLINK("http://www.openstreetmap.org/?mlat=32.2332&amp;mlon=44.3799&amp;zoom=12#map=12/32.2332/44.3799","Maplink1")</f>
        <v>Maplink1</v>
      </c>
      <c r="AU222" s="12" t="str">
        <f>HYPERLINK("https://www.google.iq/maps/search/+32.2332,44.3799/@32.2332,44.3799,14z?hl=en","Maplink2")</f>
        <v>Maplink2</v>
      </c>
      <c r="AV222" s="12" t="str">
        <f>HYPERLINK("http://www.bing.com/maps/?lvl=14&amp;sty=h&amp;cp=32.2332~44.3799&amp;sp=point.32.2332_44.3799","Maplink3")</f>
        <v>Maplink3</v>
      </c>
    </row>
    <row r="223" spans="1:48" ht="15" customHeight="1" x14ac:dyDescent="0.25">
      <c r="A223" s="19">
        <v>23318</v>
      </c>
      <c r="B223" s="20" t="s">
        <v>10</v>
      </c>
      <c r="C223" s="20" t="s">
        <v>392</v>
      </c>
      <c r="D223" s="20" t="s">
        <v>471</v>
      </c>
      <c r="E223" s="20" t="s">
        <v>472</v>
      </c>
      <c r="F223" s="20">
        <v>32.483613290000001</v>
      </c>
      <c r="G223" s="20">
        <v>44.407545460000001</v>
      </c>
      <c r="H223" s="22">
        <v>7</v>
      </c>
      <c r="I223" s="22">
        <v>42</v>
      </c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>
        <v>7</v>
      </c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>
        <v>7</v>
      </c>
      <c r="AI223" s="21"/>
      <c r="AJ223" s="21"/>
      <c r="AK223" s="21"/>
      <c r="AL223" s="21"/>
      <c r="AM223" s="21">
        <v>7</v>
      </c>
      <c r="AN223" s="21"/>
      <c r="AO223" s="21"/>
      <c r="AP223" s="21"/>
      <c r="AQ223" s="21"/>
      <c r="AR223" s="21"/>
      <c r="AS223" s="21"/>
      <c r="AT223" s="12" t="str">
        <f>HYPERLINK("http://www.openstreetmap.org/?mlat=32.4836&amp;mlon=44.4075&amp;zoom=12#map=12/32.4836/44.4075","Maplink1")</f>
        <v>Maplink1</v>
      </c>
      <c r="AU223" s="12" t="str">
        <f>HYPERLINK("https://www.google.iq/maps/search/+32.4836,44.4075/@32.4836,44.4075,14z?hl=en","Maplink2")</f>
        <v>Maplink2</v>
      </c>
      <c r="AV223" s="12" t="str">
        <f>HYPERLINK("http://www.bing.com/maps/?lvl=14&amp;sty=h&amp;cp=32.4836~44.4075&amp;sp=point.32.4836_44.4075","Maplink3")</f>
        <v>Maplink3</v>
      </c>
    </row>
    <row r="224" spans="1:48" ht="15" customHeight="1" x14ac:dyDescent="0.25">
      <c r="A224" s="19">
        <v>28456</v>
      </c>
      <c r="B224" s="20" t="s">
        <v>10</v>
      </c>
      <c r="C224" s="20" t="s">
        <v>392</v>
      </c>
      <c r="D224" s="20" t="s">
        <v>473</v>
      </c>
      <c r="E224" s="20" t="s">
        <v>474</v>
      </c>
      <c r="F224" s="20">
        <v>32.44354448</v>
      </c>
      <c r="G224" s="20">
        <v>44.402587230000002</v>
      </c>
      <c r="H224" s="22">
        <v>2</v>
      </c>
      <c r="I224" s="22">
        <v>12</v>
      </c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>
        <v>2</v>
      </c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>
        <v>2</v>
      </c>
      <c r="AI224" s="21"/>
      <c r="AJ224" s="21"/>
      <c r="AK224" s="21"/>
      <c r="AL224" s="21"/>
      <c r="AM224" s="21"/>
      <c r="AN224" s="21"/>
      <c r="AO224" s="21">
        <v>2</v>
      </c>
      <c r="AP224" s="21"/>
      <c r="AQ224" s="21"/>
      <c r="AR224" s="21"/>
      <c r="AS224" s="21"/>
      <c r="AT224" s="12" t="str">
        <f>HYPERLINK("http://www.openstreetmap.org/?mlat=32.4435&amp;mlon=44.4026&amp;zoom=12#map=12/32.4435/44.4026","Maplink1")</f>
        <v>Maplink1</v>
      </c>
      <c r="AU224" s="12" t="str">
        <f>HYPERLINK("https://www.google.iq/maps/search/+32.4435,44.4026/@32.4435,44.4026,14z?hl=en","Maplink2")</f>
        <v>Maplink2</v>
      </c>
      <c r="AV224" s="12" t="str">
        <f>HYPERLINK("http://www.bing.com/maps/?lvl=14&amp;sty=h&amp;cp=32.4435~44.4026&amp;sp=point.32.4435_44.4026","Maplink3")</f>
        <v>Maplink3</v>
      </c>
    </row>
    <row r="225" spans="1:48" ht="15" customHeight="1" x14ac:dyDescent="0.25">
      <c r="A225" s="19">
        <v>24457</v>
      </c>
      <c r="B225" s="20" t="s">
        <v>10</v>
      </c>
      <c r="C225" s="20" t="s">
        <v>392</v>
      </c>
      <c r="D225" s="20" t="s">
        <v>476</v>
      </c>
      <c r="E225" s="20" t="s">
        <v>477</v>
      </c>
      <c r="F225" s="20">
        <v>32.523496999999999</v>
      </c>
      <c r="G225" s="20">
        <v>44.359437</v>
      </c>
      <c r="H225" s="22">
        <v>8</v>
      </c>
      <c r="I225" s="22">
        <v>48</v>
      </c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>
        <v>8</v>
      </c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>
        <v>8</v>
      </c>
      <c r="AI225" s="21"/>
      <c r="AJ225" s="21"/>
      <c r="AK225" s="21"/>
      <c r="AL225" s="21"/>
      <c r="AM225" s="21">
        <v>8</v>
      </c>
      <c r="AN225" s="21"/>
      <c r="AO225" s="21"/>
      <c r="AP225" s="21"/>
      <c r="AQ225" s="21"/>
      <c r="AR225" s="21"/>
      <c r="AS225" s="21"/>
      <c r="AT225" s="12" t="str">
        <f>HYPERLINK("http://www.openstreetmap.org/?mlat=32.5235&amp;mlon=44.3594&amp;zoom=12#map=12/32.5235/44.3594","Maplink1")</f>
        <v>Maplink1</v>
      </c>
      <c r="AU225" s="12" t="str">
        <f>HYPERLINK("https://www.google.iq/maps/search/+32.5235,44.3594/@32.5235,44.3594,14z?hl=en","Maplink2")</f>
        <v>Maplink2</v>
      </c>
      <c r="AV225" s="12" t="str">
        <f>HYPERLINK("http://www.bing.com/maps/?lvl=14&amp;sty=h&amp;cp=32.5235~44.3594&amp;sp=point.32.5235_44.3594","Maplink3")</f>
        <v>Maplink3</v>
      </c>
    </row>
    <row r="226" spans="1:48" ht="15" customHeight="1" x14ac:dyDescent="0.25">
      <c r="A226" s="19">
        <v>25119</v>
      </c>
      <c r="B226" s="20" t="s">
        <v>10</v>
      </c>
      <c r="C226" s="20" t="s">
        <v>392</v>
      </c>
      <c r="D226" s="20" t="s">
        <v>478</v>
      </c>
      <c r="E226" s="20" t="s">
        <v>479</v>
      </c>
      <c r="F226" s="20">
        <v>32.527210619999998</v>
      </c>
      <c r="G226" s="20">
        <v>44.337711300000002</v>
      </c>
      <c r="H226" s="22">
        <v>2</v>
      </c>
      <c r="I226" s="22">
        <v>12</v>
      </c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>
        <v>2</v>
      </c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>
        <v>2</v>
      </c>
      <c r="AI226" s="21"/>
      <c r="AJ226" s="21"/>
      <c r="AK226" s="21"/>
      <c r="AL226" s="21"/>
      <c r="AM226" s="21">
        <v>2</v>
      </c>
      <c r="AN226" s="21"/>
      <c r="AO226" s="21"/>
      <c r="AP226" s="21"/>
      <c r="AQ226" s="21"/>
      <c r="AR226" s="21"/>
      <c r="AS226" s="21"/>
      <c r="AT226" s="12" t="str">
        <f>HYPERLINK("http://www.openstreetmap.org/?mlat=32.5272&amp;mlon=44.3377&amp;zoom=12#map=12/32.5272/44.3377","Maplink1")</f>
        <v>Maplink1</v>
      </c>
      <c r="AU226" s="12" t="str">
        <f>HYPERLINK("https://www.google.iq/maps/search/+32.5272,44.3377/@32.5272,44.3377,14z?hl=en","Maplink2")</f>
        <v>Maplink2</v>
      </c>
      <c r="AV226" s="12" t="str">
        <f>HYPERLINK("http://www.bing.com/maps/?lvl=14&amp;sty=h&amp;cp=32.5272~44.3377&amp;sp=point.32.5272_44.3377","Maplink3")</f>
        <v>Maplink3</v>
      </c>
    </row>
    <row r="227" spans="1:48" ht="15" customHeight="1" x14ac:dyDescent="0.25">
      <c r="A227" s="19">
        <v>31700</v>
      </c>
      <c r="B227" s="20" t="s">
        <v>10</v>
      </c>
      <c r="C227" s="20" t="s">
        <v>392</v>
      </c>
      <c r="D227" s="20" t="s">
        <v>480</v>
      </c>
      <c r="E227" s="20" t="s">
        <v>481</v>
      </c>
      <c r="F227" s="20">
        <v>32.227876999999999</v>
      </c>
      <c r="G227" s="20">
        <v>44.367009000000003</v>
      </c>
      <c r="H227" s="22">
        <v>5</v>
      </c>
      <c r="I227" s="22">
        <v>30</v>
      </c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>
        <v>5</v>
      </c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>
        <v>5</v>
      </c>
      <c r="AI227" s="21"/>
      <c r="AJ227" s="21"/>
      <c r="AK227" s="21"/>
      <c r="AL227" s="21"/>
      <c r="AM227" s="21">
        <v>5</v>
      </c>
      <c r="AN227" s="21"/>
      <c r="AO227" s="21"/>
      <c r="AP227" s="21"/>
      <c r="AQ227" s="21"/>
      <c r="AR227" s="21"/>
      <c r="AS227" s="21"/>
      <c r="AT227" s="12" t="str">
        <f>HYPERLINK("http://www.openstreetmap.org/?mlat=32.2279&amp;mlon=44.367&amp;zoom=12#map=12/32.2279/44.367","Maplink1")</f>
        <v>Maplink1</v>
      </c>
      <c r="AU227" s="12" t="str">
        <f>HYPERLINK("https://www.google.iq/maps/search/+32.2279,44.367/@32.2279,44.367,14z?hl=en","Maplink2")</f>
        <v>Maplink2</v>
      </c>
      <c r="AV227" s="12" t="str">
        <f>HYPERLINK("http://www.bing.com/maps/?lvl=14&amp;sty=h&amp;cp=32.2279~44.367&amp;sp=point.32.2279_44.367","Maplink3")</f>
        <v>Maplink3</v>
      </c>
    </row>
    <row r="228" spans="1:48" ht="15" customHeight="1" x14ac:dyDescent="0.25">
      <c r="A228" s="19">
        <v>24088</v>
      </c>
      <c r="B228" s="20" t="s">
        <v>10</v>
      </c>
      <c r="C228" s="20" t="s">
        <v>392</v>
      </c>
      <c r="D228" s="20" t="s">
        <v>482</v>
      </c>
      <c r="E228" s="20" t="s">
        <v>483</v>
      </c>
      <c r="F228" s="20">
        <v>32.486480780000001</v>
      </c>
      <c r="G228" s="20">
        <v>44.434833750000003</v>
      </c>
      <c r="H228" s="22">
        <v>3</v>
      </c>
      <c r="I228" s="22">
        <v>18</v>
      </c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>
        <v>3</v>
      </c>
      <c r="W228" s="21"/>
      <c r="X228" s="21"/>
      <c r="Y228" s="21"/>
      <c r="Z228" s="21"/>
      <c r="AA228" s="21"/>
      <c r="AB228" s="21"/>
      <c r="AC228" s="21">
        <v>1</v>
      </c>
      <c r="AD228" s="21"/>
      <c r="AE228" s="21"/>
      <c r="AF228" s="21"/>
      <c r="AG228" s="21"/>
      <c r="AH228" s="21">
        <v>2</v>
      </c>
      <c r="AI228" s="21"/>
      <c r="AJ228" s="21"/>
      <c r="AK228" s="21"/>
      <c r="AL228" s="21"/>
      <c r="AM228" s="21">
        <v>3</v>
      </c>
      <c r="AN228" s="21"/>
      <c r="AO228" s="21"/>
      <c r="AP228" s="21"/>
      <c r="AQ228" s="21"/>
      <c r="AR228" s="21"/>
      <c r="AS228" s="21"/>
      <c r="AT228" s="12" t="str">
        <f>HYPERLINK("http://www.openstreetmap.org/?mlat=32.4865&amp;mlon=44.4348&amp;zoom=12#map=12/32.4865/44.4348","Maplink1")</f>
        <v>Maplink1</v>
      </c>
      <c r="AU228" s="12" t="str">
        <f>HYPERLINK("https://www.google.iq/maps/search/+32.4865,44.4348/@32.4865,44.4348,14z?hl=en","Maplink2")</f>
        <v>Maplink2</v>
      </c>
      <c r="AV228" s="12" t="str">
        <f>HYPERLINK("http://www.bing.com/maps/?lvl=14&amp;sty=h&amp;cp=32.4865~44.4348&amp;sp=point.32.4865_44.4348","Maplink3")</f>
        <v>Maplink3</v>
      </c>
    </row>
    <row r="229" spans="1:48" ht="15" customHeight="1" x14ac:dyDescent="0.25">
      <c r="A229" s="19">
        <v>7107</v>
      </c>
      <c r="B229" s="20" t="s">
        <v>10</v>
      </c>
      <c r="C229" s="20" t="s">
        <v>392</v>
      </c>
      <c r="D229" s="20" t="s">
        <v>484</v>
      </c>
      <c r="E229" s="20" t="s">
        <v>277</v>
      </c>
      <c r="F229" s="20">
        <v>32.526588099999998</v>
      </c>
      <c r="G229" s="20">
        <v>44.351702199999998</v>
      </c>
      <c r="H229" s="22">
        <v>1</v>
      </c>
      <c r="I229" s="22">
        <v>6</v>
      </c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>
        <v>1</v>
      </c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>
        <v>1</v>
      </c>
      <c r="AI229" s="21"/>
      <c r="AJ229" s="21"/>
      <c r="AK229" s="21"/>
      <c r="AL229" s="21"/>
      <c r="AM229" s="21">
        <v>1</v>
      </c>
      <c r="AN229" s="21"/>
      <c r="AO229" s="21"/>
      <c r="AP229" s="21"/>
      <c r="AQ229" s="21"/>
      <c r="AR229" s="21"/>
      <c r="AS229" s="21"/>
      <c r="AT229" s="12" t="str">
        <f>HYPERLINK("http://www.openstreetmap.org/?mlat=32.5266&amp;mlon=44.3517&amp;zoom=12#map=12/32.5266/44.3517","Maplink1")</f>
        <v>Maplink1</v>
      </c>
      <c r="AU229" s="12" t="str">
        <f>HYPERLINK("https://www.google.iq/maps/search/+32.5266,44.3517/@32.5266,44.3517,14z?hl=en","Maplink2")</f>
        <v>Maplink2</v>
      </c>
      <c r="AV229" s="12" t="str">
        <f>HYPERLINK("http://www.bing.com/maps/?lvl=14&amp;sty=h&amp;cp=32.5266~44.3517&amp;sp=point.32.5266_44.3517","Maplink3")</f>
        <v>Maplink3</v>
      </c>
    </row>
    <row r="230" spans="1:48" ht="15" customHeight="1" x14ac:dyDescent="0.25">
      <c r="A230" s="19">
        <v>7191</v>
      </c>
      <c r="B230" s="20" t="s">
        <v>10</v>
      </c>
      <c r="C230" s="20" t="s">
        <v>392</v>
      </c>
      <c r="D230" s="20" t="s">
        <v>485</v>
      </c>
      <c r="E230" s="20" t="s">
        <v>486</v>
      </c>
      <c r="F230" s="20">
        <v>32.493174189999998</v>
      </c>
      <c r="G230" s="20">
        <v>44.46077021</v>
      </c>
      <c r="H230" s="22">
        <v>9</v>
      </c>
      <c r="I230" s="22">
        <v>54</v>
      </c>
      <c r="J230" s="21">
        <v>2</v>
      </c>
      <c r="K230" s="21"/>
      <c r="L230" s="21"/>
      <c r="M230" s="21"/>
      <c r="N230" s="21"/>
      <c r="O230" s="21">
        <v>3</v>
      </c>
      <c r="P230" s="21"/>
      <c r="Q230" s="21"/>
      <c r="R230" s="21"/>
      <c r="S230" s="21"/>
      <c r="T230" s="21"/>
      <c r="U230" s="21"/>
      <c r="V230" s="21">
        <v>4</v>
      </c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>
        <v>9</v>
      </c>
      <c r="AI230" s="21"/>
      <c r="AJ230" s="21"/>
      <c r="AK230" s="21"/>
      <c r="AL230" s="21"/>
      <c r="AM230" s="21">
        <v>3</v>
      </c>
      <c r="AN230" s="21">
        <v>3</v>
      </c>
      <c r="AO230" s="21"/>
      <c r="AP230" s="21">
        <v>1</v>
      </c>
      <c r="AQ230" s="21"/>
      <c r="AR230" s="21">
        <v>2</v>
      </c>
      <c r="AS230" s="21"/>
      <c r="AT230" s="12" t="str">
        <f>HYPERLINK("http://www.openstreetmap.org/?mlat=32.4932&amp;mlon=44.4608&amp;zoom=12#map=12/32.4932/44.4608","Maplink1")</f>
        <v>Maplink1</v>
      </c>
      <c r="AU230" s="12" t="str">
        <f>HYPERLINK("https://www.google.iq/maps/search/+32.4932,44.4608/@32.4932,44.4608,14z?hl=en","Maplink2")</f>
        <v>Maplink2</v>
      </c>
      <c r="AV230" s="12" t="str">
        <f>HYPERLINK("http://www.bing.com/maps/?lvl=14&amp;sty=h&amp;cp=32.4932~44.4608&amp;sp=point.32.4932_44.4608","Maplink3")</f>
        <v>Maplink3</v>
      </c>
    </row>
    <row r="231" spans="1:48" ht="15" customHeight="1" x14ac:dyDescent="0.25">
      <c r="A231" s="19">
        <v>27405</v>
      </c>
      <c r="B231" s="20" t="s">
        <v>10</v>
      </c>
      <c r="C231" s="20" t="s">
        <v>392</v>
      </c>
      <c r="D231" s="20" t="s">
        <v>5931</v>
      </c>
      <c r="E231" s="20" t="s">
        <v>5932</v>
      </c>
      <c r="F231" s="20">
        <v>32.528369339999998</v>
      </c>
      <c r="G231" s="20">
        <v>44.341547779999999</v>
      </c>
      <c r="H231" s="22">
        <v>2</v>
      </c>
      <c r="I231" s="22">
        <v>12</v>
      </c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>
        <v>2</v>
      </c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>
        <v>2</v>
      </c>
      <c r="AI231" s="21"/>
      <c r="AJ231" s="21"/>
      <c r="AK231" s="21"/>
      <c r="AL231" s="21"/>
      <c r="AM231" s="21">
        <v>2</v>
      </c>
      <c r="AN231" s="21"/>
      <c r="AO231" s="21"/>
      <c r="AP231" s="21"/>
      <c r="AQ231" s="21"/>
      <c r="AR231" s="21"/>
      <c r="AS231" s="21"/>
      <c r="AT231" s="12" t="str">
        <f>HYPERLINK("http://www.openstreetmap.org/?mlat=32.5284&amp;mlon=44.3415&amp;zoom=12#map=12/32.5284/44.3415","Maplink1")</f>
        <v>Maplink1</v>
      </c>
      <c r="AU231" s="12" t="str">
        <f>HYPERLINK("https://www.google.iq/maps/search/+32.5284,44.3415/@32.5284,44.3415,14z?hl=en","Maplink2")</f>
        <v>Maplink2</v>
      </c>
      <c r="AV231" s="12" t="str">
        <f>HYPERLINK("http://www.bing.com/maps/?lvl=14&amp;sty=h&amp;cp=32.5284~44.3415&amp;sp=point.32.5284_44.3415","Maplink3")</f>
        <v>Maplink3</v>
      </c>
    </row>
    <row r="232" spans="1:48" ht="15" customHeight="1" x14ac:dyDescent="0.25">
      <c r="A232" s="19">
        <v>7174</v>
      </c>
      <c r="B232" s="20" t="s">
        <v>10</v>
      </c>
      <c r="C232" s="20" t="s">
        <v>392</v>
      </c>
      <c r="D232" s="20" t="s">
        <v>487</v>
      </c>
      <c r="E232" s="20" t="s">
        <v>488</v>
      </c>
      <c r="F232" s="20">
        <v>32.454487640000004</v>
      </c>
      <c r="G232" s="20">
        <v>44.398941690000001</v>
      </c>
      <c r="H232" s="22">
        <v>2</v>
      </c>
      <c r="I232" s="22">
        <v>12</v>
      </c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>
        <v>2</v>
      </c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>
        <v>2</v>
      </c>
      <c r="AI232" s="21"/>
      <c r="AJ232" s="21"/>
      <c r="AK232" s="21"/>
      <c r="AL232" s="21"/>
      <c r="AM232" s="21">
        <v>2</v>
      </c>
      <c r="AN232" s="21"/>
      <c r="AO232" s="21"/>
      <c r="AP232" s="21"/>
      <c r="AQ232" s="21"/>
      <c r="AR232" s="21"/>
      <c r="AS232" s="21"/>
      <c r="AT232" s="12" t="str">
        <f>HYPERLINK("http://www.openstreetmap.org/?mlat=32.4545&amp;mlon=44.3989&amp;zoom=12#map=12/32.4545/44.3989","Maplink1")</f>
        <v>Maplink1</v>
      </c>
      <c r="AU232" s="12" t="str">
        <f>HYPERLINK("https://www.google.iq/maps/search/+32.4545,44.3989/@32.4545,44.3989,14z?hl=en","Maplink2")</f>
        <v>Maplink2</v>
      </c>
      <c r="AV232" s="12" t="str">
        <f>HYPERLINK("http://www.bing.com/maps/?lvl=14&amp;sty=h&amp;cp=32.4545~44.3989&amp;sp=point.32.4545_44.3989","Maplink3")</f>
        <v>Maplink3</v>
      </c>
    </row>
    <row r="233" spans="1:48" ht="15" customHeight="1" x14ac:dyDescent="0.25">
      <c r="A233" s="19">
        <v>24515</v>
      </c>
      <c r="B233" s="20" t="s">
        <v>10</v>
      </c>
      <c r="C233" s="20" t="s">
        <v>392</v>
      </c>
      <c r="D233" s="20" t="s">
        <v>491</v>
      </c>
      <c r="E233" s="20" t="s">
        <v>492</v>
      </c>
      <c r="F233" s="20">
        <v>32.536890800000002</v>
      </c>
      <c r="G233" s="20">
        <v>44.336402630000002</v>
      </c>
      <c r="H233" s="22">
        <v>3</v>
      </c>
      <c r="I233" s="22">
        <v>18</v>
      </c>
      <c r="J233" s="21">
        <v>1</v>
      </c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>
        <v>2</v>
      </c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>
        <v>3</v>
      </c>
      <c r="AI233" s="21"/>
      <c r="AJ233" s="21"/>
      <c r="AK233" s="21"/>
      <c r="AL233" s="21"/>
      <c r="AM233" s="21">
        <v>2</v>
      </c>
      <c r="AN233" s="21"/>
      <c r="AO233" s="21">
        <v>1</v>
      </c>
      <c r="AP233" s="21"/>
      <c r="AQ233" s="21"/>
      <c r="AR233" s="21"/>
      <c r="AS233" s="21"/>
      <c r="AT233" s="12" t="str">
        <f>HYPERLINK("http://www.openstreetmap.org/?mlat=32.5369&amp;mlon=44.3364&amp;zoom=12#map=12/32.5369/44.3364","Maplink1")</f>
        <v>Maplink1</v>
      </c>
      <c r="AU233" s="12" t="str">
        <f>HYPERLINK("https://www.google.iq/maps/search/+32.5369,44.3364/@32.5369,44.3364,14z?hl=en","Maplink2")</f>
        <v>Maplink2</v>
      </c>
      <c r="AV233" s="12" t="str">
        <f>HYPERLINK("http://www.bing.com/maps/?lvl=14&amp;sty=h&amp;cp=32.5369~44.3364&amp;sp=point.32.5369_44.3364","Maplink3")</f>
        <v>Maplink3</v>
      </c>
    </row>
    <row r="234" spans="1:48" ht="15" customHeight="1" x14ac:dyDescent="0.25">
      <c r="A234" s="19">
        <v>24337</v>
      </c>
      <c r="B234" s="20" t="s">
        <v>10</v>
      </c>
      <c r="C234" s="20" t="s">
        <v>392</v>
      </c>
      <c r="D234" s="20" t="s">
        <v>6058</v>
      </c>
      <c r="E234" s="20" t="s">
        <v>6059</v>
      </c>
      <c r="F234" s="20">
        <v>32.445010009999997</v>
      </c>
      <c r="G234" s="20">
        <v>44.42580401</v>
      </c>
      <c r="H234" s="22">
        <v>3</v>
      </c>
      <c r="I234" s="22">
        <v>18</v>
      </c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>
        <v>3</v>
      </c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>
        <v>3</v>
      </c>
      <c r="AH234" s="21"/>
      <c r="AI234" s="21"/>
      <c r="AJ234" s="21"/>
      <c r="AK234" s="21"/>
      <c r="AL234" s="21"/>
      <c r="AM234" s="21">
        <v>3</v>
      </c>
      <c r="AN234" s="21"/>
      <c r="AO234" s="21"/>
      <c r="AP234" s="21"/>
      <c r="AQ234" s="21"/>
      <c r="AR234" s="21"/>
      <c r="AS234" s="21"/>
      <c r="AT234" s="12" t="str">
        <f>HYPERLINK("http://www.openstreetmap.org/?mlat=32.445&amp;mlon=44.4258&amp;zoom=12#map=12/32.445/44.4258","Maplink1")</f>
        <v>Maplink1</v>
      </c>
      <c r="AU234" s="12" t="str">
        <f>HYPERLINK("https://www.google.iq/maps/search/+32.445,44.4258/@32.445,44.4258,14z?hl=en","Maplink2")</f>
        <v>Maplink2</v>
      </c>
      <c r="AV234" s="12" t="str">
        <f>HYPERLINK("http://www.bing.com/maps/?lvl=14&amp;sty=h&amp;cp=32.445~44.4258&amp;sp=point.32.445_44.4258","Maplink3")</f>
        <v>Maplink3</v>
      </c>
    </row>
    <row r="235" spans="1:48" ht="15" customHeight="1" x14ac:dyDescent="0.25">
      <c r="A235" s="19">
        <v>25125</v>
      </c>
      <c r="B235" s="20" t="s">
        <v>10</v>
      </c>
      <c r="C235" s="20" t="s">
        <v>392</v>
      </c>
      <c r="D235" s="20" t="s">
        <v>493</v>
      </c>
      <c r="E235" s="20" t="s">
        <v>494</v>
      </c>
      <c r="F235" s="20">
        <v>32.494639640000003</v>
      </c>
      <c r="G235" s="20">
        <v>44.41120592</v>
      </c>
      <c r="H235" s="22">
        <v>5</v>
      </c>
      <c r="I235" s="22">
        <v>30</v>
      </c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>
        <v>5</v>
      </c>
      <c r="W235" s="21"/>
      <c r="X235" s="21"/>
      <c r="Y235" s="21"/>
      <c r="Z235" s="21"/>
      <c r="AA235" s="21"/>
      <c r="AB235" s="21"/>
      <c r="AC235" s="21">
        <v>5</v>
      </c>
      <c r="AD235" s="21"/>
      <c r="AE235" s="21"/>
      <c r="AF235" s="21"/>
      <c r="AG235" s="21"/>
      <c r="AH235" s="21"/>
      <c r="AI235" s="21"/>
      <c r="AJ235" s="21"/>
      <c r="AK235" s="21"/>
      <c r="AL235" s="21"/>
      <c r="AM235" s="21">
        <v>4</v>
      </c>
      <c r="AN235" s="21">
        <v>1</v>
      </c>
      <c r="AO235" s="21"/>
      <c r="AP235" s="21"/>
      <c r="AQ235" s="21"/>
      <c r="AR235" s="21"/>
      <c r="AS235" s="21"/>
      <c r="AT235" s="12" t="str">
        <f>HYPERLINK("http://www.openstreetmap.org/?mlat=32.4946&amp;mlon=44.4112&amp;zoom=12#map=12/32.4946/44.4112","Maplink1")</f>
        <v>Maplink1</v>
      </c>
      <c r="AU235" s="12" t="str">
        <f>HYPERLINK("https://www.google.iq/maps/search/+32.4946,44.4112/@32.4946,44.4112,14z?hl=en","Maplink2")</f>
        <v>Maplink2</v>
      </c>
      <c r="AV235" s="12" t="str">
        <f>HYPERLINK("http://www.bing.com/maps/?lvl=14&amp;sty=h&amp;cp=32.4946~44.4112&amp;sp=point.32.4946_44.4112","Maplink3")</f>
        <v>Maplink3</v>
      </c>
    </row>
    <row r="236" spans="1:48" ht="15" customHeight="1" x14ac:dyDescent="0.25">
      <c r="A236" s="19">
        <v>25608</v>
      </c>
      <c r="B236" s="20" t="s">
        <v>10</v>
      </c>
      <c r="C236" s="20" t="s">
        <v>392</v>
      </c>
      <c r="D236" s="20" t="s">
        <v>495</v>
      </c>
      <c r="E236" s="20" t="s">
        <v>496</v>
      </c>
      <c r="F236" s="20">
        <v>32.44430405</v>
      </c>
      <c r="G236" s="20">
        <v>44.421887980000001</v>
      </c>
      <c r="H236" s="22">
        <v>4</v>
      </c>
      <c r="I236" s="22">
        <v>24</v>
      </c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>
        <v>4</v>
      </c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>
        <v>4</v>
      </c>
      <c r="AI236" s="21"/>
      <c r="AJ236" s="21"/>
      <c r="AK236" s="21"/>
      <c r="AL236" s="21"/>
      <c r="AM236" s="21">
        <v>4</v>
      </c>
      <c r="AN236" s="21"/>
      <c r="AO236" s="21"/>
      <c r="AP236" s="21"/>
      <c r="AQ236" s="21"/>
      <c r="AR236" s="21"/>
      <c r="AS236" s="21"/>
      <c r="AT236" s="12" t="str">
        <f>HYPERLINK("http://www.openstreetmap.org/?mlat=32.4443&amp;mlon=44.4219&amp;zoom=12#map=12/32.4443/44.4219","Maplink1")</f>
        <v>Maplink1</v>
      </c>
      <c r="AU236" s="12" t="str">
        <f>HYPERLINK("https://www.google.iq/maps/search/+32.4443,44.4219/@32.4443,44.4219,14z?hl=en","Maplink2")</f>
        <v>Maplink2</v>
      </c>
      <c r="AV236" s="12" t="str">
        <f>HYPERLINK("http://www.bing.com/maps/?lvl=14&amp;sty=h&amp;cp=32.4443~44.4219&amp;sp=point.32.4443_44.4219","Maplink3")</f>
        <v>Maplink3</v>
      </c>
    </row>
    <row r="237" spans="1:48" ht="15" customHeight="1" x14ac:dyDescent="0.25">
      <c r="A237" s="19">
        <v>23951</v>
      </c>
      <c r="B237" s="20" t="s">
        <v>10</v>
      </c>
      <c r="C237" s="20" t="s">
        <v>392</v>
      </c>
      <c r="D237" s="20" t="s">
        <v>497</v>
      </c>
      <c r="E237" s="20" t="s">
        <v>498</v>
      </c>
      <c r="F237" s="20">
        <v>32.47500075</v>
      </c>
      <c r="G237" s="20">
        <v>44.440901410000002</v>
      </c>
      <c r="H237" s="22">
        <v>15</v>
      </c>
      <c r="I237" s="22">
        <v>90</v>
      </c>
      <c r="J237" s="21">
        <v>15</v>
      </c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>
        <v>15</v>
      </c>
      <c r="AI237" s="21"/>
      <c r="AJ237" s="21"/>
      <c r="AK237" s="21"/>
      <c r="AL237" s="21"/>
      <c r="AM237" s="21"/>
      <c r="AN237" s="21"/>
      <c r="AO237" s="21">
        <v>14</v>
      </c>
      <c r="AP237" s="21">
        <v>1</v>
      </c>
      <c r="AQ237" s="21"/>
      <c r="AR237" s="21"/>
      <c r="AS237" s="21"/>
      <c r="AT237" s="12" t="str">
        <f>HYPERLINK("http://www.openstreetmap.org/?mlat=32.475&amp;mlon=44.4409&amp;zoom=12#map=12/32.475/44.4409","Maplink1")</f>
        <v>Maplink1</v>
      </c>
      <c r="AU237" s="12" t="str">
        <f>HYPERLINK("https://www.google.iq/maps/search/+32.475,44.4409/@32.475,44.4409,14z?hl=en","Maplink2")</f>
        <v>Maplink2</v>
      </c>
      <c r="AV237" s="12" t="str">
        <f>HYPERLINK("http://www.bing.com/maps/?lvl=14&amp;sty=h&amp;cp=32.475~44.4409&amp;sp=point.32.475_44.4409","Maplink3")</f>
        <v>Maplink3</v>
      </c>
    </row>
    <row r="238" spans="1:48" ht="15" customHeight="1" x14ac:dyDescent="0.25">
      <c r="A238" s="19">
        <v>24454</v>
      </c>
      <c r="B238" s="20" t="s">
        <v>10</v>
      </c>
      <c r="C238" s="20" t="s">
        <v>392</v>
      </c>
      <c r="D238" s="20" t="s">
        <v>499</v>
      </c>
      <c r="E238" s="20" t="s">
        <v>500</v>
      </c>
      <c r="F238" s="20">
        <v>32.51064513</v>
      </c>
      <c r="G238" s="20">
        <v>44.397431019999999</v>
      </c>
      <c r="H238" s="22">
        <v>3</v>
      </c>
      <c r="I238" s="22">
        <v>18</v>
      </c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>
        <v>3</v>
      </c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>
        <v>3</v>
      </c>
      <c r="AI238" s="21"/>
      <c r="AJ238" s="21"/>
      <c r="AK238" s="21"/>
      <c r="AL238" s="21"/>
      <c r="AM238" s="21">
        <v>3</v>
      </c>
      <c r="AN238" s="21"/>
      <c r="AO238" s="21"/>
      <c r="AP238" s="21"/>
      <c r="AQ238" s="21"/>
      <c r="AR238" s="21"/>
      <c r="AS238" s="21"/>
      <c r="AT238" s="12" t="str">
        <f>HYPERLINK("http://www.openstreetmap.org/?mlat=32.5106&amp;mlon=44.3974&amp;zoom=12#map=12/32.5106/44.3974","Maplink1")</f>
        <v>Maplink1</v>
      </c>
      <c r="AU238" s="12" t="str">
        <f>HYPERLINK("https://www.google.iq/maps/search/+32.5106,44.3974/@32.5106,44.3974,14z?hl=en","Maplink2")</f>
        <v>Maplink2</v>
      </c>
      <c r="AV238" s="12" t="str">
        <f>HYPERLINK("http://www.bing.com/maps/?lvl=14&amp;sty=h&amp;cp=32.5106~44.3974&amp;sp=point.32.5106_44.3974","Maplink3")</f>
        <v>Maplink3</v>
      </c>
    </row>
    <row r="239" spans="1:48" ht="15" customHeight="1" x14ac:dyDescent="0.25">
      <c r="A239" s="19">
        <v>24754</v>
      </c>
      <c r="B239" s="20" t="s">
        <v>10</v>
      </c>
      <c r="C239" s="20" t="s">
        <v>392</v>
      </c>
      <c r="D239" s="20" t="s">
        <v>501</v>
      </c>
      <c r="E239" s="20" t="s">
        <v>502</v>
      </c>
      <c r="F239" s="20">
        <v>32.475361550000002</v>
      </c>
      <c r="G239" s="20">
        <v>44.42562221</v>
      </c>
      <c r="H239" s="22">
        <v>5</v>
      </c>
      <c r="I239" s="22">
        <v>30</v>
      </c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>
        <v>5</v>
      </c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>
        <v>5</v>
      </c>
      <c r="AI239" s="21"/>
      <c r="AJ239" s="21"/>
      <c r="AK239" s="21"/>
      <c r="AL239" s="21"/>
      <c r="AM239" s="21">
        <v>5</v>
      </c>
      <c r="AN239" s="21"/>
      <c r="AO239" s="21"/>
      <c r="AP239" s="21"/>
      <c r="AQ239" s="21"/>
      <c r="AR239" s="21"/>
      <c r="AS239" s="21"/>
      <c r="AT239" s="12" t="str">
        <f>HYPERLINK("http://www.openstreetmap.org/?mlat=32.4754&amp;mlon=44.4256&amp;zoom=12#map=12/32.4754/44.4256","Maplink1")</f>
        <v>Maplink1</v>
      </c>
      <c r="AU239" s="12" t="str">
        <f>HYPERLINK("https://www.google.iq/maps/search/+32.4754,44.4256/@32.4754,44.4256,14z?hl=en","Maplink2")</f>
        <v>Maplink2</v>
      </c>
      <c r="AV239" s="12" t="str">
        <f>HYPERLINK("http://www.bing.com/maps/?lvl=14&amp;sty=h&amp;cp=32.4754~44.4256&amp;sp=point.32.4754_44.4256","Maplink3")</f>
        <v>Maplink3</v>
      </c>
    </row>
    <row r="240" spans="1:48" ht="15" customHeight="1" x14ac:dyDescent="0.25">
      <c r="A240" s="19">
        <v>25330</v>
      </c>
      <c r="B240" s="20" t="s">
        <v>10</v>
      </c>
      <c r="C240" s="20" t="s">
        <v>392</v>
      </c>
      <c r="D240" s="20" t="s">
        <v>503</v>
      </c>
      <c r="E240" s="20" t="s">
        <v>504</v>
      </c>
      <c r="F240" s="20">
        <v>32.440468070000001</v>
      </c>
      <c r="G240" s="20">
        <v>44.42369747</v>
      </c>
      <c r="H240" s="22">
        <v>3</v>
      </c>
      <c r="I240" s="22">
        <v>18</v>
      </c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>
        <v>3</v>
      </c>
      <c r="W240" s="21"/>
      <c r="X240" s="21"/>
      <c r="Y240" s="21"/>
      <c r="Z240" s="21"/>
      <c r="AA240" s="21"/>
      <c r="AB240" s="21"/>
      <c r="AC240" s="21">
        <v>3</v>
      </c>
      <c r="AD240" s="21"/>
      <c r="AE240" s="21"/>
      <c r="AF240" s="21"/>
      <c r="AG240" s="21"/>
      <c r="AH240" s="21"/>
      <c r="AI240" s="21"/>
      <c r="AJ240" s="21"/>
      <c r="AK240" s="21"/>
      <c r="AL240" s="21"/>
      <c r="AM240" s="21">
        <v>3</v>
      </c>
      <c r="AN240" s="21"/>
      <c r="AO240" s="21"/>
      <c r="AP240" s="21"/>
      <c r="AQ240" s="21"/>
      <c r="AR240" s="21"/>
      <c r="AS240" s="21"/>
      <c r="AT240" s="12" t="str">
        <f>HYPERLINK("http://www.openstreetmap.org/?mlat=32.4405&amp;mlon=44.4237&amp;zoom=12#map=12/32.4405/44.4237","Maplink1")</f>
        <v>Maplink1</v>
      </c>
      <c r="AU240" s="12" t="str">
        <f>HYPERLINK("https://www.google.iq/maps/search/+32.4405,44.4237/@32.4405,44.4237,14z?hl=en","Maplink2")</f>
        <v>Maplink2</v>
      </c>
      <c r="AV240" s="12" t="str">
        <f>HYPERLINK("http://www.bing.com/maps/?lvl=14&amp;sty=h&amp;cp=32.4405~44.4237&amp;sp=point.32.4405_44.4237","Maplink3")</f>
        <v>Maplink3</v>
      </c>
    </row>
    <row r="241" spans="1:48" ht="15" customHeight="1" x14ac:dyDescent="0.25">
      <c r="A241" s="19">
        <v>23950</v>
      </c>
      <c r="B241" s="20" t="s">
        <v>10</v>
      </c>
      <c r="C241" s="20" t="s">
        <v>392</v>
      </c>
      <c r="D241" s="20" t="s">
        <v>505</v>
      </c>
      <c r="E241" s="20" t="s">
        <v>506</v>
      </c>
      <c r="F241" s="20">
        <v>32.41762009</v>
      </c>
      <c r="G241" s="20">
        <v>44.407265080000002</v>
      </c>
      <c r="H241" s="22">
        <v>83</v>
      </c>
      <c r="I241" s="22">
        <v>498</v>
      </c>
      <c r="J241" s="21"/>
      <c r="K241" s="21">
        <v>3</v>
      </c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>
        <v>80</v>
      </c>
      <c r="W241" s="21"/>
      <c r="X241" s="21"/>
      <c r="Y241" s="21"/>
      <c r="Z241" s="21"/>
      <c r="AA241" s="21"/>
      <c r="AB241" s="21"/>
      <c r="AC241" s="21"/>
      <c r="AD241" s="21"/>
      <c r="AE241" s="21">
        <v>83</v>
      </c>
      <c r="AF241" s="21"/>
      <c r="AG241" s="21"/>
      <c r="AH241" s="21"/>
      <c r="AI241" s="21"/>
      <c r="AJ241" s="21"/>
      <c r="AK241" s="21"/>
      <c r="AL241" s="21"/>
      <c r="AM241" s="21">
        <v>80</v>
      </c>
      <c r="AN241" s="21">
        <v>3</v>
      </c>
      <c r="AO241" s="21"/>
      <c r="AP241" s="21"/>
      <c r="AQ241" s="21"/>
      <c r="AR241" s="21"/>
      <c r="AS241" s="21"/>
      <c r="AT241" s="12" t="str">
        <f>HYPERLINK("http://www.openstreetmap.org/?mlat=32.4176&amp;mlon=44.4073&amp;zoom=12#map=12/32.4176/44.4073","Maplink1")</f>
        <v>Maplink1</v>
      </c>
      <c r="AU241" s="12" t="str">
        <f>HYPERLINK("https://www.google.iq/maps/search/+32.4176,44.4073/@32.4176,44.4073,14z?hl=en","Maplink2")</f>
        <v>Maplink2</v>
      </c>
      <c r="AV241" s="12" t="str">
        <f>HYPERLINK("http://www.bing.com/maps/?lvl=14&amp;sty=h&amp;cp=32.4176~44.4073&amp;sp=point.32.4176_44.4073","Maplink3")</f>
        <v>Maplink3</v>
      </c>
    </row>
    <row r="242" spans="1:48" ht="15" customHeight="1" x14ac:dyDescent="0.25">
      <c r="A242" s="19">
        <v>24462</v>
      </c>
      <c r="B242" s="20" t="s">
        <v>10</v>
      </c>
      <c r="C242" s="20" t="s">
        <v>392</v>
      </c>
      <c r="D242" s="20" t="s">
        <v>507</v>
      </c>
      <c r="E242" s="20" t="s">
        <v>508</v>
      </c>
      <c r="F242" s="20">
        <v>32.480712850000003</v>
      </c>
      <c r="G242" s="20">
        <v>44.479233610000001</v>
      </c>
      <c r="H242" s="22">
        <v>4</v>
      </c>
      <c r="I242" s="22">
        <v>24</v>
      </c>
      <c r="J242" s="21">
        <v>3</v>
      </c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>
        <v>1</v>
      </c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>
        <v>4</v>
      </c>
      <c r="AI242" s="21"/>
      <c r="AJ242" s="21"/>
      <c r="AK242" s="21"/>
      <c r="AL242" s="21"/>
      <c r="AM242" s="21">
        <v>1</v>
      </c>
      <c r="AN242" s="21"/>
      <c r="AO242" s="21">
        <v>3</v>
      </c>
      <c r="AP242" s="21"/>
      <c r="AQ242" s="21"/>
      <c r="AR242" s="21"/>
      <c r="AS242" s="21"/>
      <c r="AT242" s="12" t="str">
        <f>HYPERLINK("http://www.openstreetmap.org/?mlat=32.4807&amp;mlon=44.4792&amp;zoom=12#map=12/32.4807/44.4792","Maplink1")</f>
        <v>Maplink1</v>
      </c>
      <c r="AU242" s="12" t="str">
        <f>HYPERLINK("https://www.google.iq/maps/search/+32.4807,44.4792/@32.4807,44.4792,14z?hl=en","Maplink2")</f>
        <v>Maplink2</v>
      </c>
      <c r="AV242" s="12" t="str">
        <f>HYPERLINK("http://www.bing.com/maps/?lvl=14&amp;sty=h&amp;cp=32.4807~44.4792&amp;sp=point.32.4807_44.4792","Maplink3")</f>
        <v>Maplink3</v>
      </c>
    </row>
    <row r="243" spans="1:48" ht="15" customHeight="1" x14ac:dyDescent="0.25">
      <c r="A243" s="19">
        <v>7139</v>
      </c>
      <c r="B243" s="20" t="s">
        <v>10</v>
      </c>
      <c r="C243" s="20" t="s">
        <v>392</v>
      </c>
      <c r="D243" s="20" t="s">
        <v>509</v>
      </c>
      <c r="E243" s="20" t="s">
        <v>510</v>
      </c>
      <c r="F243" s="20">
        <v>32.416955569999999</v>
      </c>
      <c r="G243" s="20">
        <v>44.414673180000001</v>
      </c>
      <c r="H243" s="22">
        <v>4</v>
      </c>
      <c r="I243" s="22">
        <v>24</v>
      </c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>
        <v>4</v>
      </c>
      <c r="W243" s="21"/>
      <c r="X243" s="21"/>
      <c r="Y243" s="21"/>
      <c r="Z243" s="21"/>
      <c r="AA243" s="21"/>
      <c r="AB243" s="21"/>
      <c r="AC243" s="21">
        <v>4</v>
      </c>
      <c r="AD243" s="21"/>
      <c r="AE243" s="21"/>
      <c r="AF243" s="21"/>
      <c r="AG243" s="21"/>
      <c r="AH243" s="21"/>
      <c r="AI243" s="21"/>
      <c r="AJ243" s="21"/>
      <c r="AK243" s="21"/>
      <c r="AL243" s="21"/>
      <c r="AM243" s="21">
        <v>4</v>
      </c>
      <c r="AN243" s="21"/>
      <c r="AO243" s="21"/>
      <c r="AP243" s="21"/>
      <c r="AQ243" s="21"/>
      <c r="AR243" s="21"/>
      <c r="AS243" s="21"/>
      <c r="AT243" s="12" t="str">
        <f>HYPERLINK("http://www.openstreetmap.org/?mlat=32.417&amp;mlon=44.4147&amp;zoom=12#map=12/32.417/44.4147","Maplink1")</f>
        <v>Maplink1</v>
      </c>
      <c r="AU243" s="12" t="str">
        <f>HYPERLINK("https://www.google.iq/maps/search/+32.417,44.4147/@32.417,44.4147,14z?hl=en","Maplink2")</f>
        <v>Maplink2</v>
      </c>
      <c r="AV243" s="12" t="str">
        <f>HYPERLINK("http://www.bing.com/maps/?lvl=14&amp;sty=h&amp;cp=32.417~44.4147&amp;sp=point.32.417_44.4147","Maplink3")</f>
        <v>Maplink3</v>
      </c>
    </row>
    <row r="244" spans="1:48" ht="15" customHeight="1" x14ac:dyDescent="0.25">
      <c r="A244" s="19">
        <v>7097</v>
      </c>
      <c r="B244" s="20" t="s">
        <v>10</v>
      </c>
      <c r="C244" s="20" t="s">
        <v>392</v>
      </c>
      <c r="D244" s="20" t="s">
        <v>511</v>
      </c>
      <c r="E244" s="20" t="s">
        <v>512</v>
      </c>
      <c r="F244" s="20">
        <v>32.522210000000001</v>
      </c>
      <c r="G244" s="20">
        <v>44.270710000000001</v>
      </c>
      <c r="H244" s="22">
        <v>1</v>
      </c>
      <c r="I244" s="22">
        <v>6</v>
      </c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>
        <v>1</v>
      </c>
      <c r="W244" s="21"/>
      <c r="X244" s="21"/>
      <c r="Y244" s="21"/>
      <c r="Z244" s="21"/>
      <c r="AA244" s="21"/>
      <c r="AB244" s="21"/>
      <c r="AC244" s="21">
        <v>1</v>
      </c>
      <c r="AD244" s="21"/>
      <c r="AE244" s="21"/>
      <c r="AF244" s="21"/>
      <c r="AG244" s="21"/>
      <c r="AH244" s="21"/>
      <c r="AI244" s="21"/>
      <c r="AJ244" s="21"/>
      <c r="AK244" s="21"/>
      <c r="AL244" s="21"/>
      <c r="AM244" s="21">
        <v>1</v>
      </c>
      <c r="AN244" s="21"/>
      <c r="AO244" s="21"/>
      <c r="AP244" s="21"/>
      <c r="AQ244" s="21"/>
      <c r="AR244" s="21"/>
      <c r="AS244" s="21"/>
      <c r="AT244" s="12" t="str">
        <f>HYPERLINK("http://www.openstreetmap.org/?mlat=32.5222&amp;mlon=44.2707&amp;zoom=12#map=12/32.5222/44.2707","Maplink1")</f>
        <v>Maplink1</v>
      </c>
      <c r="AU244" s="12" t="str">
        <f>HYPERLINK("https://www.google.iq/maps/search/+32.5222,44.2707/@32.5222,44.2707,14z?hl=en","Maplink2")</f>
        <v>Maplink2</v>
      </c>
      <c r="AV244" s="12" t="str">
        <f>HYPERLINK("http://www.bing.com/maps/?lvl=14&amp;sty=h&amp;cp=32.5222~44.2707&amp;sp=point.32.5222_44.2707","Maplink3")</f>
        <v>Maplink3</v>
      </c>
    </row>
    <row r="245" spans="1:48" ht="15" customHeight="1" x14ac:dyDescent="0.25">
      <c r="A245" s="19">
        <v>21173</v>
      </c>
      <c r="B245" s="20" t="s">
        <v>11</v>
      </c>
      <c r="C245" s="20" t="s">
        <v>513</v>
      </c>
      <c r="D245" s="20" t="s">
        <v>514</v>
      </c>
      <c r="E245" s="20" t="s">
        <v>515</v>
      </c>
      <c r="F245" s="20">
        <v>33.30391745</v>
      </c>
      <c r="G245" s="20">
        <v>44.185365910000002</v>
      </c>
      <c r="H245" s="22">
        <v>108</v>
      </c>
      <c r="I245" s="22">
        <v>648</v>
      </c>
      <c r="J245" s="21">
        <v>103</v>
      </c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>
        <v>5</v>
      </c>
      <c r="W245" s="21"/>
      <c r="X245" s="21"/>
      <c r="Y245" s="21"/>
      <c r="Z245" s="21"/>
      <c r="AA245" s="21"/>
      <c r="AB245" s="21"/>
      <c r="AC245" s="21">
        <v>58</v>
      </c>
      <c r="AD245" s="21"/>
      <c r="AE245" s="21"/>
      <c r="AF245" s="21"/>
      <c r="AG245" s="21"/>
      <c r="AH245" s="21">
        <v>50</v>
      </c>
      <c r="AI245" s="21"/>
      <c r="AJ245" s="21"/>
      <c r="AK245" s="21"/>
      <c r="AL245" s="21"/>
      <c r="AM245" s="21">
        <v>59</v>
      </c>
      <c r="AN245" s="21"/>
      <c r="AO245" s="21"/>
      <c r="AP245" s="21">
        <v>38</v>
      </c>
      <c r="AQ245" s="21"/>
      <c r="AR245" s="21">
        <v>11</v>
      </c>
      <c r="AS245" s="21"/>
      <c r="AT245" s="12" t="str">
        <f>HYPERLINK("http://www.openstreetmap.org/?mlat=33.3039&amp;mlon=44.1854&amp;zoom=12#map=12/33.3039/44.1854","Maplink1")</f>
        <v>Maplink1</v>
      </c>
      <c r="AU245" s="12" t="str">
        <f>HYPERLINK("https://www.google.iq/maps/search/+33.3039,44.1854/@33.3039,44.1854,14z?hl=en","Maplink2")</f>
        <v>Maplink2</v>
      </c>
      <c r="AV245" s="12" t="str">
        <f>HYPERLINK("http://www.bing.com/maps/?lvl=14&amp;sty=h&amp;cp=33.3039~44.1854&amp;sp=point.33.3039_44.1854","Maplink3")</f>
        <v>Maplink3</v>
      </c>
    </row>
    <row r="246" spans="1:48" ht="15" customHeight="1" x14ac:dyDescent="0.25">
      <c r="A246" s="19">
        <v>7671</v>
      </c>
      <c r="B246" s="20" t="s">
        <v>11</v>
      </c>
      <c r="C246" s="20" t="s">
        <v>513</v>
      </c>
      <c r="D246" s="20" t="s">
        <v>516</v>
      </c>
      <c r="E246" s="20" t="s">
        <v>517</v>
      </c>
      <c r="F246" s="20">
        <v>33.303025210000001</v>
      </c>
      <c r="G246" s="20">
        <v>44.14079315</v>
      </c>
      <c r="H246" s="22">
        <v>21</v>
      </c>
      <c r="I246" s="22">
        <v>126</v>
      </c>
      <c r="J246" s="21">
        <v>21</v>
      </c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>
        <v>12</v>
      </c>
      <c r="AD246" s="21"/>
      <c r="AE246" s="21"/>
      <c r="AF246" s="21"/>
      <c r="AG246" s="21"/>
      <c r="AH246" s="21">
        <v>9</v>
      </c>
      <c r="AI246" s="21"/>
      <c r="AJ246" s="21"/>
      <c r="AK246" s="21"/>
      <c r="AL246" s="21"/>
      <c r="AM246" s="21"/>
      <c r="AN246" s="21"/>
      <c r="AO246" s="21"/>
      <c r="AP246" s="21">
        <v>11</v>
      </c>
      <c r="AQ246" s="21">
        <v>10</v>
      </c>
      <c r="AR246" s="21"/>
      <c r="AS246" s="21"/>
      <c r="AT246" s="12" t="str">
        <f>HYPERLINK("http://www.openstreetmap.org/?mlat=33.303&amp;mlon=44.1408&amp;zoom=12#map=12/33.303/44.1408","Maplink1")</f>
        <v>Maplink1</v>
      </c>
      <c r="AU246" s="12" t="str">
        <f>HYPERLINK("https://www.google.iq/maps/search/+33.303,44.1408/@33.303,44.1408,14z?hl=en","Maplink2")</f>
        <v>Maplink2</v>
      </c>
      <c r="AV246" s="12" t="str">
        <f>HYPERLINK("http://www.bing.com/maps/?lvl=14&amp;sty=h&amp;cp=33.303~44.1408&amp;sp=point.33.303_44.1408","Maplink3")</f>
        <v>Maplink3</v>
      </c>
    </row>
    <row r="247" spans="1:48" ht="15" customHeight="1" x14ac:dyDescent="0.25">
      <c r="A247" s="19">
        <v>24047</v>
      </c>
      <c r="B247" s="20" t="s">
        <v>11</v>
      </c>
      <c r="C247" s="20" t="s">
        <v>513</v>
      </c>
      <c r="D247" s="20" t="s">
        <v>518</v>
      </c>
      <c r="E247" s="20" t="s">
        <v>519</v>
      </c>
      <c r="F247" s="20">
        <v>33.298517869999998</v>
      </c>
      <c r="G247" s="20">
        <v>44.103637499999998</v>
      </c>
      <c r="H247" s="22">
        <v>48</v>
      </c>
      <c r="I247" s="22">
        <v>288</v>
      </c>
      <c r="J247" s="21">
        <v>48</v>
      </c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>
        <v>16</v>
      </c>
      <c r="AD247" s="21"/>
      <c r="AE247" s="21"/>
      <c r="AF247" s="21"/>
      <c r="AG247" s="21"/>
      <c r="AH247" s="21">
        <v>13</v>
      </c>
      <c r="AI247" s="21"/>
      <c r="AJ247" s="21">
        <v>19</v>
      </c>
      <c r="AK247" s="21"/>
      <c r="AL247" s="21"/>
      <c r="AM247" s="21"/>
      <c r="AN247" s="21">
        <v>21</v>
      </c>
      <c r="AO247" s="21">
        <v>12</v>
      </c>
      <c r="AP247" s="21">
        <v>15</v>
      </c>
      <c r="AQ247" s="21"/>
      <c r="AR247" s="21"/>
      <c r="AS247" s="21"/>
      <c r="AT247" s="12" t="str">
        <f>HYPERLINK("http://www.openstreetmap.org/?mlat=33.2985&amp;mlon=44.1036&amp;zoom=12#map=12/33.2985/44.1036","Maplink1")</f>
        <v>Maplink1</v>
      </c>
      <c r="AU247" s="12" t="str">
        <f>HYPERLINK("https://www.google.iq/maps/search/+33.2985,44.1036/@33.2985,44.1036,14z?hl=en","Maplink2")</f>
        <v>Maplink2</v>
      </c>
      <c r="AV247" s="12" t="str">
        <f>HYPERLINK("http://www.bing.com/maps/?lvl=14&amp;sty=h&amp;cp=33.2985~44.1036&amp;sp=point.33.2985_44.1036","Maplink3")</f>
        <v>Maplink3</v>
      </c>
    </row>
    <row r="248" spans="1:48" ht="15" customHeight="1" x14ac:dyDescent="0.25">
      <c r="A248" s="19">
        <v>24041</v>
      </c>
      <c r="B248" s="20" t="s">
        <v>11</v>
      </c>
      <c r="C248" s="20" t="s">
        <v>513</v>
      </c>
      <c r="D248" s="20" t="s">
        <v>520</v>
      </c>
      <c r="E248" s="20" t="s">
        <v>521</v>
      </c>
      <c r="F248" s="20">
        <v>33.348249791599997</v>
      </c>
      <c r="G248" s="20">
        <v>44.168792746699999</v>
      </c>
      <c r="H248" s="22">
        <v>12</v>
      </c>
      <c r="I248" s="22">
        <v>72</v>
      </c>
      <c r="J248" s="21">
        <v>12</v>
      </c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>
        <v>12</v>
      </c>
      <c r="AD248" s="21"/>
      <c r="AE248" s="21"/>
      <c r="AF248" s="21"/>
      <c r="AG248" s="21"/>
      <c r="AH248" s="21"/>
      <c r="AI248" s="21"/>
      <c r="AJ248" s="21"/>
      <c r="AK248" s="21"/>
      <c r="AL248" s="21">
        <v>2</v>
      </c>
      <c r="AM248" s="21"/>
      <c r="AN248" s="21"/>
      <c r="AO248" s="21">
        <v>2</v>
      </c>
      <c r="AP248" s="21">
        <v>8</v>
      </c>
      <c r="AQ248" s="21"/>
      <c r="AR248" s="21"/>
      <c r="AS248" s="21"/>
      <c r="AT248" s="12" t="str">
        <f>HYPERLINK("http://www.openstreetmap.org/?mlat=33.3482&amp;mlon=44.1688&amp;zoom=12#map=12/33.3482/44.1688","Maplink1")</f>
        <v>Maplink1</v>
      </c>
      <c r="AU248" s="12" t="str">
        <f>HYPERLINK("https://www.google.iq/maps/search/+33.3482,44.1688/@33.3482,44.1688,14z?hl=en","Maplink2")</f>
        <v>Maplink2</v>
      </c>
      <c r="AV248" s="12" t="str">
        <f>HYPERLINK("http://www.bing.com/maps/?lvl=14&amp;sty=h&amp;cp=33.3482~44.1688&amp;sp=point.33.3482_44.1688","Maplink3")</f>
        <v>Maplink3</v>
      </c>
    </row>
    <row r="249" spans="1:48" ht="15" customHeight="1" x14ac:dyDescent="0.25">
      <c r="A249" s="19">
        <v>24058</v>
      </c>
      <c r="B249" s="20" t="s">
        <v>11</v>
      </c>
      <c r="C249" s="20" t="s">
        <v>513</v>
      </c>
      <c r="D249" s="20" t="s">
        <v>522</v>
      </c>
      <c r="E249" s="20" t="s">
        <v>523</v>
      </c>
      <c r="F249" s="20">
        <v>33.376804058600001</v>
      </c>
      <c r="G249" s="20">
        <v>44.129541848800002</v>
      </c>
      <c r="H249" s="22">
        <v>11</v>
      </c>
      <c r="I249" s="22">
        <v>66</v>
      </c>
      <c r="J249" s="21">
        <v>5</v>
      </c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>
        <v>6</v>
      </c>
      <c r="Y249" s="21"/>
      <c r="Z249" s="21"/>
      <c r="AA249" s="21"/>
      <c r="AB249" s="21"/>
      <c r="AC249" s="21">
        <v>11</v>
      </c>
      <c r="AD249" s="21"/>
      <c r="AE249" s="21"/>
      <c r="AF249" s="21"/>
      <c r="AG249" s="21"/>
      <c r="AH249" s="21"/>
      <c r="AI249" s="21"/>
      <c r="AJ249" s="21"/>
      <c r="AK249" s="21"/>
      <c r="AL249" s="21">
        <v>5</v>
      </c>
      <c r="AM249" s="21"/>
      <c r="AN249" s="21"/>
      <c r="AO249" s="21">
        <v>6</v>
      </c>
      <c r="AP249" s="21"/>
      <c r="AQ249" s="21"/>
      <c r="AR249" s="21"/>
      <c r="AS249" s="21"/>
      <c r="AT249" s="12" t="str">
        <f>HYPERLINK("http://www.openstreetmap.org/?mlat=33.3768&amp;mlon=44.1295&amp;zoom=12#map=12/33.3768/44.1295","Maplink1")</f>
        <v>Maplink1</v>
      </c>
      <c r="AU249" s="12" t="str">
        <f>HYPERLINK("https://www.google.iq/maps/search/+33.3768,44.1295/@33.3768,44.1295,14z?hl=en","Maplink2")</f>
        <v>Maplink2</v>
      </c>
      <c r="AV249" s="12" t="str">
        <f>HYPERLINK("http://www.bing.com/maps/?lvl=14&amp;sty=h&amp;cp=33.3768~44.1295&amp;sp=point.33.3768_44.1295","Maplink3")</f>
        <v>Maplink3</v>
      </c>
    </row>
    <row r="250" spans="1:48" ht="15" customHeight="1" x14ac:dyDescent="0.25">
      <c r="A250" s="19">
        <v>24038</v>
      </c>
      <c r="B250" s="20" t="s">
        <v>11</v>
      </c>
      <c r="C250" s="20" t="s">
        <v>513</v>
      </c>
      <c r="D250" s="20" t="s">
        <v>524</v>
      </c>
      <c r="E250" s="20" t="s">
        <v>525</v>
      </c>
      <c r="F250" s="20">
        <v>33.312989360000003</v>
      </c>
      <c r="G250" s="20">
        <v>44.174080789999998</v>
      </c>
      <c r="H250" s="22">
        <v>28</v>
      </c>
      <c r="I250" s="22">
        <v>168</v>
      </c>
      <c r="J250" s="21">
        <v>28</v>
      </c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>
        <v>16</v>
      </c>
      <c r="AD250" s="21"/>
      <c r="AE250" s="21"/>
      <c r="AF250" s="21"/>
      <c r="AG250" s="21"/>
      <c r="AH250" s="21">
        <v>12</v>
      </c>
      <c r="AI250" s="21"/>
      <c r="AJ250" s="21"/>
      <c r="AK250" s="21"/>
      <c r="AL250" s="21">
        <v>8</v>
      </c>
      <c r="AM250" s="21"/>
      <c r="AN250" s="21"/>
      <c r="AO250" s="21">
        <v>9</v>
      </c>
      <c r="AP250" s="21">
        <v>11</v>
      </c>
      <c r="AQ250" s="21"/>
      <c r="AR250" s="21"/>
      <c r="AS250" s="21"/>
      <c r="AT250" s="12" t="str">
        <f>HYPERLINK("http://www.openstreetmap.org/?mlat=33.313&amp;mlon=44.1741&amp;zoom=12#map=12/33.313/44.1741","Maplink1")</f>
        <v>Maplink1</v>
      </c>
      <c r="AU250" s="12" t="str">
        <f>HYPERLINK("https://www.google.iq/maps/search/+33.313,44.1741/@33.313,44.1741,14z?hl=en","Maplink2")</f>
        <v>Maplink2</v>
      </c>
      <c r="AV250" s="12" t="str">
        <f>HYPERLINK("http://www.bing.com/maps/?lvl=14&amp;sty=h&amp;cp=33.313~44.1741&amp;sp=point.33.313_44.1741","Maplink3")</f>
        <v>Maplink3</v>
      </c>
    </row>
    <row r="251" spans="1:48" ht="15" customHeight="1" x14ac:dyDescent="0.25">
      <c r="A251" s="19">
        <v>24048</v>
      </c>
      <c r="B251" s="20" t="s">
        <v>11</v>
      </c>
      <c r="C251" s="20" t="s">
        <v>513</v>
      </c>
      <c r="D251" s="20" t="s">
        <v>526</v>
      </c>
      <c r="E251" s="20" t="s">
        <v>527</v>
      </c>
      <c r="F251" s="20">
        <v>33.337317676700003</v>
      </c>
      <c r="G251" s="20">
        <v>44.073877009299999</v>
      </c>
      <c r="H251" s="22">
        <v>18</v>
      </c>
      <c r="I251" s="22">
        <v>108</v>
      </c>
      <c r="J251" s="21">
        <v>12</v>
      </c>
      <c r="K251" s="21"/>
      <c r="L251" s="21">
        <v>6</v>
      </c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>
        <v>11</v>
      </c>
      <c r="AD251" s="21"/>
      <c r="AE251" s="21"/>
      <c r="AF251" s="21"/>
      <c r="AG251" s="21"/>
      <c r="AH251" s="21">
        <v>7</v>
      </c>
      <c r="AI251" s="21"/>
      <c r="AJ251" s="21"/>
      <c r="AK251" s="21"/>
      <c r="AL251" s="21">
        <v>8</v>
      </c>
      <c r="AM251" s="21"/>
      <c r="AN251" s="21"/>
      <c r="AO251" s="21">
        <v>2</v>
      </c>
      <c r="AP251" s="21">
        <v>8</v>
      </c>
      <c r="AQ251" s="21"/>
      <c r="AR251" s="21"/>
      <c r="AS251" s="21"/>
      <c r="AT251" s="12" t="str">
        <f>HYPERLINK("http://www.openstreetmap.org/?mlat=33.3373&amp;mlon=44.0739&amp;zoom=12#map=12/33.3373/44.0739","Maplink1")</f>
        <v>Maplink1</v>
      </c>
      <c r="AU251" s="12" t="str">
        <f>HYPERLINK("https://www.google.iq/maps/search/+33.3373,44.0739/@33.3373,44.0739,14z?hl=en","Maplink2")</f>
        <v>Maplink2</v>
      </c>
      <c r="AV251" s="12" t="str">
        <f>HYPERLINK("http://www.bing.com/maps/?lvl=14&amp;sty=h&amp;cp=33.3373~44.0739&amp;sp=point.33.3373_44.0739","Maplink3")</f>
        <v>Maplink3</v>
      </c>
    </row>
    <row r="252" spans="1:48" ht="15" customHeight="1" x14ac:dyDescent="0.25">
      <c r="A252" s="19">
        <v>27247</v>
      </c>
      <c r="B252" s="20" t="s">
        <v>11</v>
      </c>
      <c r="C252" s="20" t="s">
        <v>513</v>
      </c>
      <c r="D252" s="20" t="s">
        <v>5868</v>
      </c>
      <c r="E252" s="20" t="s">
        <v>5869</v>
      </c>
      <c r="F252" s="20">
        <v>33.314583349999999</v>
      </c>
      <c r="G252" s="20">
        <v>44.021264129999999</v>
      </c>
      <c r="H252" s="22">
        <v>270</v>
      </c>
      <c r="I252" s="22">
        <v>1620</v>
      </c>
      <c r="J252" s="21">
        <v>270</v>
      </c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>
        <v>270</v>
      </c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>
        <v>163</v>
      </c>
      <c r="AQ252" s="21">
        <v>53</v>
      </c>
      <c r="AR252" s="21">
        <v>54</v>
      </c>
      <c r="AS252" s="21"/>
      <c r="AT252" s="12" t="str">
        <f>HYPERLINK("http://www.openstreetmap.org/?mlat=33.3146&amp;mlon=44.0213&amp;zoom=12#map=12/33.3146/44.0213","Maplink1")</f>
        <v>Maplink1</v>
      </c>
      <c r="AU252" s="12" t="str">
        <f>HYPERLINK("https://www.google.iq/maps/search/+33.3146,44.0213/@33.3146,44.0213,14z?hl=en","Maplink2")</f>
        <v>Maplink2</v>
      </c>
      <c r="AV252" s="12" t="str">
        <f>HYPERLINK("http://www.bing.com/maps/?lvl=14&amp;sty=h&amp;cp=33.3146~44.0213&amp;sp=point.33.3146_44.0213","Maplink3")</f>
        <v>Maplink3</v>
      </c>
    </row>
    <row r="253" spans="1:48" ht="15" customHeight="1" x14ac:dyDescent="0.25">
      <c r="A253" s="19">
        <v>27291</v>
      </c>
      <c r="B253" s="20" t="s">
        <v>11</v>
      </c>
      <c r="C253" s="20" t="s">
        <v>513</v>
      </c>
      <c r="D253" s="20" t="s">
        <v>528</v>
      </c>
      <c r="E253" s="20" t="s">
        <v>529</v>
      </c>
      <c r="F253" s="20">
        <v>33.3473756956</v>
      </c>
      <c r="G253" s="20">
        <v>44.175417728799999</v>
      </c>
      <c r="H253" s="22">
        <v>11</v>
      </c>
      <c r="I253" s="22">
        <v>66</v>
      </c>
      <c r="J253" s="21">
        <v>7</v>
      </c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>
        <v>4</v>
      </c>
      <c r="Y253" s="21"/>
      <c r="Z253" s="21"/>
      <c r="AA253" s="21"/>
      <c r="AB253" s="21"/>
      <c r="AC253" s="21">
        <v>11</v>
      </c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>
        <v>4</v>
      </c>
      <c r="AP253" s="21">
        <v>7</v>
      </c>
      <c r="AQ253" s="21"/>
      <c r="AR253" s="21"/>
      <c r="AS253" s="21"/>
      <c r="AT253" s="12" t="str">
        <f>HYPERLINK("http://www.openstreetmap.org/?mlat=33.3474&amp;mlon=44.1754&amp;zoom=12#map=12/33.3474/44.1754","Maplink1")</f>
        <v>Maplink1</v>
      </c>
      <c r="AU253" s="12" t="str">
        <f>HYPERLINK("https://www.google.iq/maps/search/+33.3474,44.1754/@33.3474,44.1754,14z?hl=en","Maplink2")</f>
        <v>Maplink2</v>
      </c>
      <c r="AV253" s="12" t="str">
        <f>HYPERLINK("http://www.bing.com/maps/?lvl=14&amp;sty=h&amp;cp=33.3474~44.1754&amp;sp=point.33.3474_44.1754","Maplink3")</f>
        <v>Maplink3</v>
      </c>
    </row>
    <row r="254" spans="1:48" ht="15" customHeight="1" x14ac:dyDescent="0.25">
      <c r="A254" s="19">
        <v>31711</v>
      </c>
      <c r="B254" s="20" t="s">
        <v>11</v>
      </c>
      <c r="C254" s="20" t="s">
        <v>513</v>
      </c>
      <c r="D254" s="20" t="s">
        <v>530</v>
      </c>
      <c r="E254" s="20" t="s">
        <v>531</v>
      </c>
      <c r="F254" s="20">
        <v>33.266934999999997</v>
      </c>
      <c r="G254" s="20">
        <v>44.045630000000003</v>
      </c>
      <c r="H254" s="22">
        <v>9</v>
      </c>
      <c r="I254" s="22">
        <v>54</v>
      </c>
      <c r="J254" s="21">
        <v>9</v>
      </c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>
        <v>6</v>
      </c>
      <c r="AD254" s="21"/>
      <c r="AE254" s="21"/>
      <c r="AF254" s="21"/>
      <c r="AG254" s="21"/>
      <c r="AH254" s="21">
        <v>3</v>
      </c>
      <c r="AI254" s="21"/>
      <c r="AJ254" s="21"/>
      <c r="AK254" s="21"/>
      <c r="AL254" s="21">
        <v>2</v>
      </c>
      <c r="AM254" s="21"/>
      <c r="AN254" s="21"/>
      <c r="AO254" s="21">
        <v>4</v>
      </c>
      <c r="AP254" s="21">
        <v>3</v>
      </c>
      <c r="AQ254" s="21"/>
      <c r="AR254" s="21"/>
      <c r="AS254" s="21"/>
      <c r="AT254" s="12" t="str">
        <f>HYPERLINK("http://www.openstreetmap.org/?mlat=33.2669&amp;mlon=44.0456&amp;zoom=12#map=12/33.2669/44.0456","Maplink1")</f>
        <v>Maplink1</v>
      </c>
      <c r="AU254" s="12" t="str">
        <f>HYPERLINK("https://www.google.iq/maps/search/+33.2669,44.0456/@33.2669,44.0456,14z?hl=en","Maplink2")</f>
        <v>Maplink2</v>
      </c>
      <c r="AV254" s="12" t="str">
        <f>HYPERLINK("http://www.bing.com/maps/?lvl=14&amp;sty=h&amp;cp=33.2669~44.0456&amp;sp=point.33.2669_44.0456","Maplink3")</f>
        <v>Maplink3</v>
      </c>
    </row>
    <row r="255" spans="1:48" ht="15" customHeight="1" x14ac:dyDescent="0.25">
      <c r="A255" s="19">
        <v>31712</v>
      </c>
      <c r="B255" s="20" t="s">
        <v>11</v>
      </c>
      <c r="C255" s="20" t="s">
        <v>513</v>
      </c>
      <c r="D255" s="20" t="s">
        <v>532</v>
      </c>
      <c r="E255" s="20" t="s">
        <v>533</v>
      </c>
      <c r="F255" s="20">
        <v>33.247971</v>
      </c>
      <c r="G255" s="20">
        <v>44.025995000000002</v>
      </c>
      <c r="H255" s="22">
        <v>5</v>
      </c>
      <c r="I255" s="22">
        <v>30</v>
      </c>
      <c r="J255" s="21">
        <v>5</v>
      </c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>
        <v>5</v>
      </c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>
        <v>5</v>
      </c>
      <c r="AP255" s="21"/>
      <c r="AQ255" s="21"/>
      <c r="AR255" s="21"/>
      <c r="AS255" s="21"/>
      <c r="AT255" s="12" t="str">
        <f>HYPERLINK("http://www.openstreetmap.org/?mlat=33.248&amp;mlon=44.026&amp;zoom=12#map=12/33.248/44.026","Maplink1")</f>
        <v>Maplink1</v>
      </c>
      <c r="AU255" s="12" t="str">
        <f>HYPERLINK("https://www.google.iq/maps/search/+33.248,44.026/@33.248,44.026,14z?hl=en","Maplink2")</f>
        <v>Maplink2</v>
      </c>
      <c r="AV255" s="12" t="str">
        <f>HYPERLINK("http://www.bing.com/maps/?lvl=14&amp;sty=h&amp;cp=33.248~44.026&amp;sp=point.33.248_44.026","Maplink3")</f>
        <v>Maplink3</v>
      </c>
    </row>
    <row r="256" spans="1:48" ht="15" customHeight="1" x14ac:dyDescent="0.25">
      <c r="A256" s="19">
        <v>7623</v>
      </c>
      <c r="B256" s="20" t="s">
        <v>11</v>
      </c>
      <c r="C256" s="20" t="s">
        <v>513</v>
      </c>
      <c r="D256" s="20" t="s">
        <v>534</v>
      </c>
      <c r="E256" s="20" t="s">
        <v>535</v>
      </c>
      <c r="F256" s="20">
        <v>33.318169400000002</v>
      </c>
      <c r="G256" s="20">
        <v>44.199036210000003</v>
      </c>
      <c r="H256" s="22">
        <v>30</v>
      </c>
      <c r="I256" s="22">
        <v>180</v>
      </c>
      <c r="J256" s="21">
        <v>30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>
        <v>12</v>
      </c>
      <c r="AD256" s="21"/>
      <c r="AE256" s="21"/>
      <c r="AF256" s="21"/>
      <c r="AG256" s="21"/>
      <c r="AH256" s="21">
        <v>18</v>
      </c>
      <c r="AI256" s="21"/>
      <c r="AJ256" s="21"/>
      <c r="AK256" s="21"/>
      <c r="AL256" s="21"/>
      <c r="AM256" s="21"/>
      <c r="AN256" s="21"/>
      <c r="AO256" s="21">
        <v>16</v>
      </c>
      <c r="AP256" s="21">
        <v>8</v>
      </c>
      <c r="AQ256" s="21">
        <v>6</v>
      </c>
      <c r="AR256" s="21"/>
      <c r="AS256" s="21"/>
      <c r="AT256" s="12" t="str">
        <f>HYPERLINK("http://www.openstreetmap.org/?mlat=33.3182&amp;mlon=44.199&amp;zoom=12#map=12/33.3182/44.199","Maplink1")</f>
        <v>Maplink1</v>
      </c>
      <c r="AU256" s="12" t="str">
        <f>HYPERLINK("https://www.google.iq/maps/search/+33.3182,44.199/@33.3182,44.199,14z?hl=en","Maplink2")</f>
        <v>Maplink2</v>
      </c>
      <c r="AV256" s="12" t="str">
        <f>HYPERLINK("http://www.bing.com/maps/?lvl=14&amp;sty=h&amp;cp=33.3182~44.199&amp;sp=point.33.3182_44.199","Maplink3")</f>
        <v>Maplink3</v>
      </c>
    </row>
    <row r="257" spans="1:48" ht="15" customHeight="1" x14ac:dyDescent="0.25">
      <c r="A257" s="19">
        <v>29583</v>
      </c>
      <c r="B257" s="20" t="s">
        <v>11</v>
      </c>
      <c r="C257" s="20" t="s">
        <v>513</v>
      </c>
      <c r="D257" s="20" t="s">
        <v>536</v>
      </c>
      <c r="E257" s="20" t="s">
        <v>537</v>
      </c>
      <c r="F257" s="20">
        <v>33.296970000000002</v>
      </c>
      <c r="G257" s="20">
        <v>44.021672000000002</v>
      </c>
      <c r="H257" s="22">
        <v>90</v>
      </c>
      <c r="I257" s="22">
        <v>540</v>
      </c>
      <c r="J257" s="21">
        <v>86</v>
      </c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>
        <v>2</v>
      </c>
      <c r="W257" s="21"/>
      <c r="X257" s="21">
        <v>2</v>
      </c>
      <c r="Y257" s="21"/>
      <c r="Z257" s="21"/>
      <c r="AA257" s="21"/>
      <c r="AB257" s="21">
        <v>90</v>
      </c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>
        <v>90</v>
      </c>
      <c r="AQ257" s="21"/>
      <c r="AR257" s="21"/>
      <c r="AS257" s="21"/>
      <c r="AT257" s="12" t="str">
        <f>HYPERLINK("http://www.openstreetmap.org/?mlat=33.297&amp;mlon=44.0217&amp;zoom=12#map=12/33.297/44.0217","Maplink1")</f>
        <v>Maplink1</v>
      </c>
      <c r="AU257" s="12" t="str">
        <f>HYPERLINK("https://www.google.iq/maps/search/+33.297,44.0217/@33.297,44.0217,14z?hl=en","Maplink2")</f>
        <v>Maplink2</v>
      </c>
      <c r="AV257" s="12" t="str">
        <f>HYPERLINK("http://www.bing.com/maps/?lvl=14&amp;sty=h&amp;cp=33.297~44.0217&amp;sp=point.33.297_44.0217","Maplink3")</f>
        <v>Maplink3</v>
      </c>
    </row>
    <row r="258" spans="1:48" ht="15" customHeight="1" x14ac:dyDescent="0.25">
      <c r="A258" s="19">
        <v>7662</v>
      </c>
      <c r="B258" s="20" t="s">
        <v>11</v>
      </c>
      <c r="C258" s="20" t="s">
        <v>513</v>
      </c>
      <c r="D258" s="20" t="s">
        <v>538</v>
      </c>
      <c r="E258" s="20" t="s">
        <v>539</v>
      </c>
      <c r="F258" s="20">
        <v>33.314469959999997</v>
      </c>
      <c r="G258" s="20">
        <v>44.167119890000002</v>
      </c>
      <c r="H258" s="22">
        <v>9</v>
      </c>
      <c r="I258" s="22">
        <v>54</v>
      </c>
      <c r="J258" s="21">
        <v>9</v>
      </c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>
        <v>4</v>
      </c>
      <c r="AD258" s="21"/>
      <c r="AE258" s="21"/>
      <c r="AF258" s="21"/>
      <c r="AG258" s="21"/>
      <c r="AH258" s="21">
        <v>5</v>
      </c>
      <c r="AI258" s="21"/>
      <c r="AJ258" s="21"/>
      <c r="AK258" s="21"/>
      <c r="AL258" s="21"/>
      <c r="AM258" s="21"/>
      <c r="AN258" s="21"/>
      <c r="AO258" s="21">
        <v>4</v>
      </c>
      <c r="AP258" s="21">
        <v>5</v>
      </c>
      <c r="AQ258" s="21"/>
      <c r="AR258" s="21"/>
      <c r="AS258" s="21"/>
      <c r="AT258" s="12" t="str">
        <f>HYPERLINK("http://www.openstreetmap.org/?mlat=33.3145&amp;mlon=44.1671&amp;zoom=12#map=12/33.3145/44.1671","Maplink1")</f>
        <v>Maplink1</v>
      </c>
      <c r="AU258" s="12" t="str">
        <f>HYPERLINK("https://www.google.iq/maps/search/+33.3145,44.1671/@33.3145,44.1671,14z?hl=en","Maplink2")</f>
        <v>Maplink2</v>
      </c>
      <c r="AV258" s="12" t="str">
        <f>HYPERLINK("http://www.bing.com/maps/?lvl=14&amp;sty=h&amp;cp=33.3145~44.1671&amp;sp=point.33.3145_44.1671","Maplink3")</f>
        <v>Maplink3</v>
      </c>
    </row>
    <row r="259" spans="1:48" ht="15" customHeight="1" x14ac:dyDescent="0.25">
      <c r="A259" s="19">
        <v>23867</v>
      </c>
      <c r="B259" s="20" t="s">
        <v>11</v>
      </c>
      <c r="C259" s="20" t="s">
        <v>513</v>
      </c>
      <c r="D259" s="20" t="s">
        <v>540</v>
      </c>
      <c r="E259" s="20" t="s">
        <v>541</v>
      </c>
      <c r="F259" s="20">
        <v>33.300429530000002</v>
      </c>
      <c r="G259" s="20">
        <v>44.041708849999999</v>
      </c>
      <c r="H259" s="22">
        <v>25</v>
      </c>
      <c r="I259" s="22">
        <v>150</v>
      </c>
      <c r="J259" s="21">
        <v>25</v>
      </c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>
        <v>6</v>
      </c>
      <c r="AD259" s="21"/>
      <c r="AE259" s="21"/>
      <c r="AF259" s="21"/>
      <c r="AG259" s="21"/>
      <c r="AH259" s="21">
        <v>19</v>
      </c>
      <c r="AI259" s="21"/>
      <c r="AJ259" s="21"/>
      <c r="AK259" s="21"/>
      <c r="AL259" s="21">
        <v>16</v>
      </c>
      <c r="AM259" s="21"/>
      <c r="AN259" s="21"/>
      <c r="AO259" s="21"/>
      <c r="AP259" s="21">
        <v>9</v>
      </c>
      <c r="AQ259" s="21"/>
      <c r="AR259" s="21"/>
      <c r="AS259" s="21"/>
      <c r="AT259" s="12" t="str">
        <f>HYPERLINK("http://www.openstreetmap.org/?mlat=33.3004&amp;mlon=44.0417&amp;zoom=12#map=12/33.3004/44.0417","Maplink1")</f>
        <v>Maplink1</v>
      </c>
      <c r="AU259" s="12" t="str">
        <f>HYPERLINK("https://www.google.iq/maps/search/+33.3004,44.0417/@33.3004,44.0417,14z?hl=en","Maplink2")</f>
        <v>Maplink2</v>
      </c>
      <c r="AV259" s="12" t="str">
        <f>HYPERLINK("http://www.bing.com/maps/?lvl=14&amp;sty=h&amp;cp=33.3004~44.0417&amp;sp=point.33.3004_44.0417","Maplink3")</f>
        <v>Maplink3</v>
      </c>
    </row>
    <row r="260" spans="1:48" ht="15" customHeight="1" x14ac:dyDescent="0.25">
      <c r="A260" s="19">
        <v>23864</v>
      </c>
      <c r="B260" s="20" t="s">
        <v>11</v>
      </c>
      <c r="C260" s="20" t="s">
        <v>513</v>
      </c>
      <c r="D260" s="20" t="s">
        <v>542</v>
      </c>
      <c r="E260" s="20" t="s">
        <v>543</v>
      </c>
      <c r="F260" s="20">
        <v>33.306065070000002</v>
      </c>
      <c r="G260" s="20">
        <v>44.031835620000003</v>
      </c>
      <c r="H260" s="22">
        <v>12</v>
      </c>
      <c r="I260" s="22">
        <v>72</v>
      </c>
      <c r="J260" s="21">
        <v>12</v>
      </c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>
        <v>8</v>
      </c>
      <c r="AD260" s="21"/>
      <c r="AE260" s="21"/>
      <c r="AF260" s="21"/>
      <c r="AG260" s="21"/>
      <c r="AH260" s="21">
        <v>4</v>
      </c>
      <c r="AI260" s="21"/>
      <c r="AJ260" s="21"/>
      <c r="AK260" s="21"/>
      <c r="AL260" s="21"/>
      <c r="AM260" s="21"/>
      <c r="AN260" s="21"/>
      <c r="AO260" s="21">
        <v>3</v>
      </c>
      <c r="AP260" s="21">
        <v>9</v>
      </c>
      <c r="AQ260" s="21"/>
      <c r="AR260" s="21"/>
      <c r="AS260" s="21"/>
      <c r="AT260" s="12" t="str">
        <f>HYPERLINK("http://www.openstreetmap.org/?mlat=33.3061&amp;mlon=44.0318&amp;zoom=12#map=12/33.3061/44.0318","Maplink1")</f>
        <v>Maplink1</v>
      </c>
      <c r="AU260" s="12" t="str">
        <f>HYPERLINK("https://www.google.iq/maps/search/+33.3061,44.0318/@33.3061,44.0318,14z?hl=en","Maplink2")</f>
        <v>Maplink2</v>
      </c>
      <c r="AV260" s="12" t="str">
        <f>HYPERLINK("http://www.bing.com/maps/?lvl=14&amp;sty=h&amp;cp=33.3061~44.0318&amp;sp=point.33.3061_44.0318","Maplink3")</f>
        <v>Maplink3</v>
      </c>
    </row>
    <row r="261" spans="1:48" ht="15" customHeight="1" x14ac:dyDescent="0.25">
      <c r="A261" s="19">
        <v>7626</v>
      </c>
      <c r="B261" s="20" t="s">
        <v>11</v>
      </c>
      <c r="C261" s="20" t="s">
        <v>513</v>
      </c>
      <c r="D261" s="20" t="s">
        <v>544</v>
      </c>
      <c r="E261" s="20" t="s">
        <v>545</v>
      </c>
      <c r="F261" s="20">
        <v>33.310778759999998</v>
      </c>
      <c r="G261" s="20">
        <v>44.022870589999997</v>
      </c>
      <c r="H261" s="22">
        <v>55</v>
      </c>
      <c r="I261" s="22">
        <v>330</v>
      </c>
      <c r="J261" s="21">
        <v>55</v>
      </c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>
        <v>34</v>
      </c>
      <c r="AD261" s="21"/>
      <c r="AE261" s="21"/>
      <c r="AF261" s="21"/>
      <c r="AG261" s="21"/>
      <c r="AH261" s="21">
        <v>21</v>
      </c>
      <c r="AI261" s="21"/>
      <c r="AJ261" s="21"/>
      <c r="AK261" s="21"/>
      <c r="AL261" s="21">
        <v>21</v>
      </c>
      <c r="AM261" s="21"/>
      <c r="AN261" s="21"/>
      <c r="AO261" s="21">
        <v>12</v>
      </c>
      <c r="AP261" s="21">
        <v>22</v>
      </c>
      <c r="AQ261" s="21"/>
      <c r="AR261" s="21"/>
      <c r="AS261" s="21"/>
      <c r="AT261" s="12" t="str">
        <f>HYPERLINK("http://www.openstreetmap.org/?mlat=33.3108&amp;mlon=44.0229&amp;zoom=12#map=12/33.3108/44.0229","Maplink1")</f>
        <v>Maplink1</v>
      </c>
      <c r="AU261" s="12" t="str">
        <f>HYPERLINK("https://www.google.iq/maps/search/+33.3108,44.0229/@33.3108,44.0229,14z?hl=en","Maplink2")</f>
        <v>Maplink2</v>
      </c>
      <c r="AV261" s="12" t="str">
        <f>HYPERLINK("http://www.bing.com/maps/?lvl=14&amp;sty=h&amp;cp=33.3108~44.0229&amp;sp=point.33.3108_44.0229","Maplink3")</f>
        <v>Maplink3</v>
      </c>
    </row>
    <row r="262" spans="1:48" ht="15" customHeight="1" x14ac:dyDescent="0.25">
      <c r="A262" s="19">
        <v>24044</v>
      </c>
      <c r="B262" s="20" t="s">
        <v>11</v>
      </c>
      <c r="C262" s="20" t="s">
        <v>513</v>
      </c>
      <c r="D262" s="20" t="s">
        <v>546</v>
      </c>
      <c r="E262" s="20" t="s">
        <v>547</v>
      </c>
      <c r="F262" s="20">
        <v>33.308349139999997</v>
      </c>
      <c r="G262" s="20">
        <v>44.026121089999997</v>
      </c>
      <c r="H262" s="22">
        <v>54</v>
      </c>
      <c r="I262" s="22">
        <v>324</v>
      </c>
      <c r="J262" s="21">
        <v>54</v>
      </c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>
        <v>32</v>
      </c>
      <c r="AD262" s="21"/>
      <c r="AE262" s="21"/>
      <c r="AF262" s="21"/>
      <c r="AG262" s="21"/>
      <c r="AH262" s="21">
        <v>22</v>
      </c>
      <c r="AI262" s="21"/>
      <c r="AJ262" s="21"/>
      <c r="AK262" s="21"/>
      <c r="AL262" s="21">
        <v>31</v>
      </c>
      <c r="AM262" s="21"/>
      <c r="AN262" s="21"/>
      <c r="AO262" s="21">
        <v>10</v>
      </c>
      <c r="AP262" s="21">
        <v>13</v>
      </c>
      <c r="AQ262" s="21"/>
      <c r="AR262" s="21"/>
      <c r="AS262" s="21"/>
      <c r="AT262" s="12" t="str">
        <f>HYPERLINK("http://www.openstreetmap.org/?mlat=33.3083&amp;mlon=44.0261&amp;zoom=12#map=12/33.3083/44.0261","Maplink1")</f>
        <v>Maplink1</v>
      </c>
      <c r="AU262" s="12" t="str">
        <f>HYPERLINK("https://www.google.iq/maps/search/+33.3083,44.0261/@33.3083,44.0261,14z?hl=en","Maplink2")</f>
        <v>Maplink2</v>
      </c>
      <c r="AV262" s="12" t="str">
        <f>HYPERLINK("http://www.bing.com/maps/?lvl=14&amp;sty=h&amp;cp=33.3083~44.0261&amp;sp=point.33.3083_44.0261","Maplink3")</f>
        <v>Maplink3</v>
      </c>
    </row>
    <row r="263" spans="1:48" ht="15" customHeight="1" x14ac:dyDescent="0.25">
      <c r="A263" s="19">
        <v>23866</v>
      </c>
      <c r="B263" s="20" t="s">
        <v>11</v>
      </c>
      <c r="C263" s="20" t="s">
        <v>513</v>
      </c>
      <c r="D263" s="20" t="s">
        <v>548</v>
      </c>
      <c r="E263" s="20" t="s">
        <v>549</v>
      </c>
      <c r="F263" s="20">
        <v>33.30544347</v>
      </c>
      <c r="G263" s="20">
        <v>44.030535329999999</v>
      </c>
      <c r="H263" s="22">
        <v>25</v>
      </c>
      <c r="I263" s="22">
        <v>150</v>
      </c>
      <c r="J263" s="21">
        <v>25</v>
      </c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>
        <v>8</v>
      </c>
      <c r="AD263" s="21"/>
      <c r="AE263" s="21"/>
      <c r="AF263" s="21"/>
      <c r="AG263" s="21"/>
      <c r="AH263" s="21">
        <v>17</v>
      </c>
      <c r="AI263" s="21"/>
      <c r="AJ263" s="21"/>
      <c r="AK263" s="21"/>
      <c r="AL263" s="21">
        <v>15</v>
      </c>
      <c r="AM263" s="21"/>
      <c r="AN263" s="21"/>
      <c r="AO263" s="21"/>
      <c r="AP263" s="21">
        <v>10</v>
      </c>
      <c r="AQ263" s="21"/>
      <c r="AR263" s="21"/>
      <c r="AS263" s="21"/>
      <c r="AT263" s="12" t="str">
        <f>HYPERLINK("http://www.openstreetmap.org/?mlat=33.3054&amp;mlon=44.0305&amp;zoom=12#map=12/33.3054/44.0305","Maplink1")</f>
        <v>Maplink1</v>
      </c>
      <c r="AU263" s="12" t="str">
        <f>HYPERLINK("https://www.google.iq/maps/search/+33.3054,44.0305/@33.3054,44.0305,14z?hl=en","Maplink2")</f>
        <v>Maplink2</v>
      </c>
      <c r="AV263" s="12" t="str">
        <f>HYPERLINK("http://www.bing.com/maps/?lvl=14&amp;sty=h&amp;cp=33.3054~44.0305&amp;sp=point.33.3054_44.0305","Maplink3")</f>
        <v>Maplink3</v>
      </c>
    </row>
    <row r="264" spans="1:48" ht="15" customHeight="1" x14ac:dyDescent="0.25">
      <c r="A264" s="19">
        <v>23865</v>
      </c>
      <c r="B264" s="20" t="s">
        <v>11</v>
      </c>
      <c r="C264" s="20" t="s">
        <v>513</v>
      </c>
      <c r="D264" s="20" t="s">
        <v>550</v>
      </c>
      <c r="E264" s="20" t="s">
        <v>551</v>
      </c>
      <c r="F264" s="20">
        <v>33.293789349999997</v>
      </c>
      <c r="G264" s="20">
        <v>44.041409350000002</v>
      </c>
      <c r="H264" s="22">
        <v>24</v>
      </c>
      <c r="I264" s="22">
        <v>144</v>
      </c>
      <c r="J264" s="21">
        <v>24</v>
      </c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>
        <v>15</v>
      </c>
      <c r="AD264" s="21"/>
      <c r="AE264" s="21"/>
      <c r="AF264" s="21"/>
      <c r="AG264" s="21"/>
      <c r="AH264" s="21">
        <v>9</v>
      </c>
      <c r="AI264" s="21"/>
      <c r="AJ264" s="21"/>
      <c r="AK264" s="21"/>
      <c r="AL264" s="21">
        <v>10</v>
      </c>
      <c r="AM264" s="21"/>
      <c r="AN264" s="21"/>
      <c r="AO264" s="21">
        <v>2</v>
      </c>
      <c r="AP264" s="21">
        <v>12</v>
      </c>
      <c r="AQ264" s="21"/>
      <c r="AR264" s="21"/>
      <c r="AS264" s="21"/>
      <c r="AT264" s="12" t="str">
        <f>HYPERLINK("http://www.openstreetmap.org/?mlat=33.2938&amp;mlon=44.0414&amp;zoom=12#map=12/33.2938/44.0414","Maplink1")</f>
        <v>Maplink1</v>
      </c>
      <c r="AU264" s="12" t="str">
        <f>HYPERLINK("https://www.google.iq/maps/search/+33.2938,44.0414/@33.2938,44.0414,14z?hl=en","Maplink2")</f>
        <v>Maplink2</v>
      </c>
      <c r="AV264" s="12" t="str">
        <f>HYPERLINK("http://www.bing.com/maps/?lvl=14&amp;sty=h&amp;cp=33.2938~44.0414&amp;sp=point.33.2938_44.0414","Maplink3")</f>
        <v>Maplink3</v>
      </c>
    </row>
    <row r="265" spans="1:48" ht="15" customHeight="1" x14ac:dyDescent="0.25">
      <c r="A265" s="19">
        <v>24045</v>
      </c>
      <c r="B265" s="20" t="s">
        <v>11</v>
      </c>
      <c r="C265" s="20" t="s">
        <v>513</v>
      </c>
      <c r="D265" s="20" t="s">
        <v>552</v>
      </c>
      <c r="E265" s="20" t="s">
        <v>553</v>
      </c>
      <c r="F265" s="20">
        <v>33.295840390000002</v>
      </c>
      <c r="G265" s="20">
        <v>44.032216779999999</v>
      </c>
      <c r="H265" s="22">
        <v>49</v>
      </c>
      <c r="I265" s="22">
        <v>294</v>
      </c>
      <c r="J265" s="21">
        <v>49</v>
      </c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>
        <v>22</v>
      </c>
      <c r="AD265" s="21"/>
      <c r="AE265" s="21"/>
      <c r="AF265" s="21"/>
      <c r="AG265" s="21"/>
      <c r="AH265" s="21">
        <v>27</v>
      </c>
      <c r="AI265" s="21"/>
      <c r="AJ265" s="21"/>
      <c r="AK265" s="21"/>
      <c r="AL265" s="21">
        <v>20</v>
      </c>
      <c r="AM265" s="21"/>
      <c r="AN265" s="21"/>
      <c r="AO265" s="21">
        <v>3</v>
      </c>
      <c r="AP265" s="21">
        <v>26</v>
      </c>
      <c r="AQ265" s="21"/>
      <c r="AR265" s="21"/>
      <c r="AS265" s="21"/>
      <c r="AT265" s="12" t="str">
        <f>HYPERLINK("http://www.openstreetmap.org/?mlat=33.2958&amp;mlon=44.0322&amp;zoom=12#map=12/33.2958/44.0322","Maplink1")</f>
        <v>Maplink1</v>
      </c>
      <c r="AU265" s="12" t="str">
        <f>HYPERLINK("https://www.google.iq/maps/search/+33.2958,44.0322/@33.2958,44.0322,14z?hl=en","Maplink2")</f>
        <v>Maplink2</v>
      </c>
      <c r="AV265" s="12" t="str">
        <f>HYPERLINK("http://www.bing.com/maps/?lvl=14&amp;sty=h&amp;cp=33.2958~44.0322&amp;sp=point.33.2958_44.0322","Maplink3")</f>
        <v>Maplink3</v>
      </c>
    </row>
    <row r="266" spans="1:48" ht="15" customHeight="1" x14ac:dyDescent="0.25">
      <c r="A266" s="19">
        <v>24046</v>
      </c>
      <c r="B266" s="20" t="s">
        <v>11</v>
      </c>
      <c r="C266" s="20" t="s">
        <v>513</v>
      </c>
      <c r="D266" s="20" t="s">
        <v>554</v>
      </c>
      <c r="E266" s="20" t="s">
        <v>555</v>
      </c>
      <c r="F266" s="20">
        <v>33.2975371</v>
      </c>
      <c r="G266" s="20">
        <v>44.023792960000002</v>
      </c>
      <c r="H266" s="22">
        <v>42</v>
      </c>
      <c r="I266" s="22">
        <v>252</v>
      </c>
      <c r="J266" s="21">
        <v>42</v>
      </c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>
        <v>30</v>
      </c>
      <c r="AD266" s="21"/>
      <c r="AE266" s="21"/>
      <c r="AF266" s="21"/>
      <c r="AG266" s="21"/>
      <c r="AH266" s="21">
        <v>12</v>
      </c>
      <c r="AI266" s="21"/>
      <c r="AJ266" s="21"/>
      <c r="AK266" s="21"/>
      <c r="AL266" s="21">
        <v>18</v>
      </c>
      <c r="AM266" s="21"/>
      <c r="AN266" s="21"/>
      <c r="AO266" s="21">
        <v>16</v>
      </c>
      <c r="AP266" s="21"/>
      <c r="AQ266" s="21">
        <v>8</v>
      </c>
      <c r="AR266" s="21"/>
      <c r="AS266" s="21"/>
      <c r="AT266" s="12" t="str">
        <f>HYPERLINK("http://www.openstreetmap.org/?mlat=33.2975&amp;mlon=44.0238&amp;zoom=12#map=12/33.2975/44.0238","Maplink1")</f>
        <v>Maplink1</v>
      </c>
      <c r="AU266" s="12" t="str">
        <f>HYPERLINK("https://www.google.iq/maps/search/+33.2975,44.0238/@33.2975,44.0238,14z?hl=en","Maplink2")</f>
        <v>Maplink2</v>
      </c>
      <c r="AV266" s="12" t="str">
        <f>HYPERLINK("http://www.bing.com/maps/?lvl=14&amp;sty=h&amp;cp=33.2975~44.0238&amp;sp=point.33.2975_44.0238","Maplink3")</f>
        <v>Maplink3</v>
      </c>
    </row>
    <row r="267" spans="1:48" ht="15" customHeight="1" x14ac:dyDescent="0.25">
      <c r="A267" s="19">
        <v>7658</v>
      </c>
      <c r="B267" s="20" t="s">
        <v>11</v>
      </c>
      <c r="C267" s="20" t="s">
        <v>513</v>
      </c>
      <c r="D267" s="20" t="s">
        <v>556</v>
      </c>
      <c r="E267" s="20" t="s">
        <v>557</v>
      </c>
      <c r="F267" s="20">
        <v>33.29756184</v>
      </c>
      <c r="G267" s="20">
        <v>44.119761400000002</v>
      </c>
      <c r="H267" s="22">
        <v>59</v>
      </c>
      <c r="I267" s="22">
        <v>354</v>
      </c>
      <c r="J267" s="21">
        <v>59</v>
      </c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>
        <v>40</v>
      </c>
      <c r="AD267" s="21"/>
      <c r="AE267" s="21"/>
      <c r="AF267" s="21"/>
      <c r="AG267" s="21"/>
      <c r="AH267" s="21">
        <v>19</v>
      </c>
      <c r="AI267" s="21"/>
      <c r="AJ267" s="21"/>
      <c r="AK267" s="21"/>
      <c r="AL267" s="21">
        <v>11</v>
      </c>
      <c r="AM267" s="21">
        <v>17</v>
      </c>
      <c r="AN267" s="21"/>
      <c r="AO267" s="21">
        <v>11</v>
      </c>
      <c r="AP267" s="21">
        <v>13</v>
      </c>
      <c r="AQ267" s="21">
        <v>7</v>
      </c>
      <c r="AR267" s="21"/>
      <c r="AS267" s="21"/>
      <c r="AT267" s="12" t="str">
        <f>HYPERLINK("http://www.openstreetmap.org/?mlat=33.2976&amp;mlon=44.1198&amp;zoom=12#map=12/33.2976/44.1198","Maplink1")</f>
        <v>Maplink1</v>
      </c>
      <c r="AU267" s="12" t="str">
        <f>HYPERLINK("https://www.google.iq/maps/search/+33.2976,44.1198/@33.2976,44.1198,14z?hl=en","Maplink2")</f>
        <v>Maplink2</v>
      </c>
      <c r="AV267" s="12" t="str">
        <f>HYPERLINK("http://www.bing.com/maps/?lvl=14&amp;sty=h&amp;cp=33.2976~44.1198&amp;sp=point.33.2976_44.1198","Maplink3")</f>
        <v>Maplink3</v>
      </c>
    </row>
    <row r="268" spans="1:48" ht="15" customHeight="1" x14ac:dyDescent="0.25">
      <c r="A268" s="19">
        <v>25829</v>
      </c>
      <c r="B268" s="20" t="s">
        <v>11</v>
      </c>
      <c r="C268" s="20" t="s">
        <v>513</v>
      </c>
      <c r="D268" s="20" t="s">
        <v>558</v>
      </c>
      <c r="E268" s="20" t="s">
        <v>559</v>
      </c>
      <c r="F268" s="20">
        <v>33.290997840000003</v>
      </c>
      <c r="G268" s="20">
        <v>44.110346610000001</v>
      </c>
      <c r="H268" s="22">
        <v>153</v>
      </c>
      <c r="I268" s="22">
        <v>918</v>
      </c>
      <c r="J268" s="21">
        <v>135</v>
      </c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>
        <v>18</v>
      </c>
      <c r="W268" s="21"/>
      <c r="X268" s="21"/>
      <c r="Y268" s="21"/>
      <c r="Z268" s="21"/>
      <c r="AA268" s="21"/>
      <c r="AB268" s="21">
        <v>153</v>
      </c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>
        <v>81</v>
      </c>
      <c r="AQ268" s="21">
        <v>54</v>
      </c>
      <c r="AR268" s="21">
        <v>18</v>
      </c>
      <c r="AS268" s="21"/>
      <c r="AT268" s="12" t="str">
        <f>HYPERLINK("http://www.openstreetmap.org/?mlat=33.291&amp;mlon=44.1103&amp;zoom=12#map=12/33.291/44.1103","Maplink1")</f>
        <v>Maplink1</v>
      </c>
      <c r="AU268" s="12" t="str">
        <f>HYPERLINK("https://www.google.iq/maps/search/+33.291,44.1103/@33.291,44.1103,14z?hl=en","Maplink2")</f>
        <v>Maplink2</v>
      </c>
      <c r="AV268" s="12" t="str">
        <f>HYPERLINK("http://www.bing.com/maps/?lvl=14&amp;sty=h&amp;cp=33.291~44.1103&amp;sp=point.33.291_44.1103","Maplink3")</f>
        <v>Maplink3</v>
      </c>
    </row>
    <row r="269" spans="1:48" ht="15" customHeight="1" x14ac:dyDescent="0.25">
      <c r="A269" s="19">
        <v>24054</v>
      </c>
      <c r="B269" s="20" t="s">
        <v>11</v>
      </c>
      <c r="C269" s="20" t="s">
        <v>513</v>
      </c>
      <c r="D269" s="20" t="s">
        <v>560</v>
      </c>
      <c r="E269" s="20" t="s">
        <v>561</v>
      </c>
      <c r="F269" s="20">
        <v>33.288941415399997</v>
      </c>
      <c r="G269" s="20">
        <v>43.988170924400002</v>
      </c>
      <c r="H269" s="22">
        <v>9</v>
      </c>
      <c r="I269" s="22">
        <v>54</v>
      </c>
      <c r="J269" s="21">
        <v>9</v>
      </c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>
        <v>9</v>
      </c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>
        <v>7</v>
      </c>
      <c r="AQ269" s="21">
        <v>2</v>
      </c>
      <c r="AR269" s="21"/>
      <c r="AS269" s="21"/>
      <c r="AT269" s="12" t="str">
        <f>HYPERLINK("http://www.openstreetmap.org/?mlat=33.2889&amp;mlon=43.9882&amp;zoom=12#map=12/33.2889/43.9882","Maplink1")</f>
        <v>Maplink1</v>
      </c>
      <c r="AU269" s="12" t="str">
        <f>HYPERLINK("https://www.google.iq/maps/search/+33.2889,43.9882/@33.2889,43.9882,14z?hl=en","Maplink2")</f>
        <v>Maplink2</v>
      </c>
      <c r="AV269" s="12" t="str">
        <f>HYPERLINK("http://www.bing.com/maps/?lvl=14&amp;sty=h&amp;cp=33.2889~43.9882&amp;sp=point.33.2889_43.9882","Maplink3")</f>
        <v>Maplink3</v>
      </c>
    </row>
    <row r="270" spans="1:48" ht="15" customHeight="1" x14ac:dyDescent="0.25">
      <c r="A270" s="19">
        <v>24036</v>
      </c>
      <c r="B270" s="20" t="s">
        <v>11</v>
      </c>
      <c r="C270" s="20" t="s">
        <v>513</v>
      </c>
      <c r="D270" s="20" t="s">
        <v>562</v>
      </c>
      <c r="E270" s="20" t="s">
        <v>563</v>
      </c>
      <c r="F270" s="20">
        <v>33.316609999999997</v>
      </c>
      <c r="G270" s="20">
        <v>44.182789</v>
      </c>
      <c r="H270" s="22">
        <v>9</v>
      </c>
      <c r="I270" s="22">
        <v>54</v>
      </c>
      <c r="J270" s="21">
        <v>9</v>
      </c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>
        <v>9</v>
      </c>
      <c r="AI270" s="21"/>
      <c r="AJ270" s="21"/>
      <c r="AK270" s="21"/>
      <c r="AL270" s="21"/>
      <c r="AM270" s="21">
        <v>5</v>
      </c>
      <c r="AN270" s="21"/>
      <c r="AO270" s="21"/>
      <c r="AP270" s="21">
        <v>4</v>
      </c>
      <c r="AQ270" s="21"/>
      <c r="AR270" s="21"/>
      <c r="AS270" s="21"/>
      <c r="AT270" s="12" t="str">
        <f>HYPERLINK("http://www.openstreetmap.org/?mlat=33.3166&amp;mlon=44.1828&amp;zoom=12#map=12/33.3166/44.1828","Maplink1")</f>
        <v>Maplink1</v>
      </c>
      <c r="AU270" s="12" t="str">
        <f>HYPERLINK("https://www.google.iq/maps/search/+33.3166,44.1828/@33.3166,44.1828,14z?hl=en","Maplink2")</f>
        <v>Maplink2</v>
      </c>
      <c r="AV270" s="12" t="str">
        <f>HYPERLINK("http://www.bing.com/maps/?lvl=14&amp;sty=h&amp;cp=33.3166~44.1828&amp;sp=point.33.3166_44.1828","Maplink3")</f>
        <v>Maplink3</v>
      </c>
    </row>
    <row r="271" spans="1:48" ht="15" customHeight="1" x14ac:dyDescent="0.25">
      <c r="A271" s="19">
        <v>24055</v>
      </c>
      <c r="B271" s="20" t="s">
        <v>11</v>
      </c>
      <c r="C271" s="20" t="s">
        <v>513</v>
      </c>
      <c r="D271" s="20" t="s">
        <v>564</v>
      </c>
      <c r="E271" s="20" t="s">
        <v>565</v>
      </c>
      <c r="F271" s="20">
        <v>33.296883739999998</v>
      </c>
      <c r="G271" s="20">
        <v>44.083782290000002</v>
      </c>
      <c r="H271" s="22">
        <v>13</v>
      </c>
      <c r="I271" s="22">
        <v>78</v>
      </c>
      <c r="J271" s="21">
        <v>13</v>
      </c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>
        <v>5</v>
      </c>
      <c r="AD271" s="21"/>
      <c r="AE271" s="21"/>
      <c r="AF271" s="21"/>
      <c r="AG271" s="21"/>
      <c r="AH271" s="21">
        <v>8</v>
      </c>
      <c r="AI271" s="21"/>
      <c r="AJ271" s="21"/>
      <c r="AK271" s="21"/>
      <c r="AL271" s="21">
        <v>5</v>
      </c>
      <c r="AM271" s="21"/>
      <c r="AN271" s="21">
        <v>8</v>
      </c>
      <c r="AO271" s="21"/>
      <c r="AP271" s="21"/>
      <c r="AQ271" s="21"/>
      <c r="AR271" s="21"/>
      <c r="AS271" s="21"/>
      <c r="AT271" s="12" t="str">
        <f>HYPERLINK("http://www.openstreetmap.org/?mlat=33.2969&amp;mlon=44.0838&amp;zoom=12#map=12/33.2969/44.0838","Maplink1")</f>
        <v>Maplink1</v>
      </c>
      <c r="AU271" s="12" t="str">
        <f>HYPERLINK("https://www.google.iq/maps/search/+33.2969,44.0838/@33.2969,44.0838,14z?hl=en","Maplink2")</f>
        <v>Maplink2</v>
      </c>
      <c r="AV271" s="12" t="str">
        <f>HYPERLINK("http://www.bing.com/maps/?lvl=14&amp;sty=h&amp;cp=33.2969~44.0838&amp;sp=point.33.2969_44.0838","Maplink3")</f>
        <v>Maplink3</v>
      </c>
    </row>
    <row r="272" spans="1:48" ht="15" customHeight="1" x14ac:dyDescent="0.25">
      <c r="A272" s="19">
        <v>24033</v>
      </c>
      <c r="B272" s="20" t="s">
        <v>11</v>
      </c>
      <c r="C272" s="20" t="s">
        <v>513</v>
      </c>
      <c r="D272" s="20" t="s">
        <v>566</v>
      </c>
      <c r="E272" s="20" t="s">
        <v>567</v>
      </c>
      <c r="F272" s="20">
        <v>33.32186978</v>
      </c>
      <c r="G272" s="20">
        <v>44.198788380000003</v>
      </c>
      <c r="H272" s="22">
        <v>16</v>
      </c>
      <c r="I272" s="22">
        <v>96</v>
      </c>
      <c r="J272" s="21">
        <v>16</v>
      </c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>
        <v>7</v>
      </c>
      <c r="AD272" s="21"/>
      <c r="AE272" s="21"/>
      <c r="AF272" s="21"/>
      <c r="AG272" s="21"/>
      <c r="AH272" s="21">
        <v>9</v>
      </c>
      <c r="AI272" s="21"/>
      <c r="AJ272" s="21"/>
      <c r="AK272" s="21"/>
      <c r="AL272" s="21">
        <v>6</v>
      </c>
      <c r="AM272" s="21"/>
      <c r="AN272" s="21"/>
      <c r="AO272" s="21">
        <v>5</v>
      </c>
      <c r="AP272" s="21">
        <v>5</v>
      </c>
      <c r="AQ272" s="21"/>
      <c r="AR272" s="21"/>
      <c r="AS272" s="21"/>
      <c r="AT272" s="12" t="str">
        <f>HYPERLINK("http://www.openstreetmap.org/?mlat=33.3219&amp;mlon=44.1988&amp;zoom=12#map=12/33.3219/44.1988","Maplink1")</f>
        <v>Maplink1</v>
      </c>
      <c r="AU272" s="12" t="str">
        <f>HYPERLINK("https://www.google.iq/maps/search/+33.3219,44.1988/@33.3219,44.1988,14z?hl=en","Maplink2")</f>
        <v>Maplink2</v>
      </c>
      <c r="AV272" s="12" t="str">
        <f>HYPERLINK("http://www.bing.com/maps/?lvl=14&amp;sty=h&amp;cp=33.3219~44.1988&amp;sp=point.33.3219_44.1988","Maplink3")</f>
        <v>Maplink3</v>
      </c>
    </row>
    <row r="273" spans="1:48" ht="15" customHeight="1" x14ac:dyDescent="0.25">
      <c r="A273" s="19">
        <v>24034</v>
      </c>
      <c r="B273" s="20" t="s">
        <v>11</v>
      </c>
      <c r="C273" s="20" t="s">
        <v>513</v>
      </c>
      <c r="D273" s="20" t="s">
        <v>568</v>
      </c>
      <c r="E273" s="20" t="s">
        <v>569</v>
      </c>
      <c r="F273" s="20">
        <v>33.295627629999998</v>
      </c>
      <c r="G273" s="20">
        <v>44.121889529999997</v>
      </c>
      <c r="H273" s="22">
        <v>9</v>
      </c>
      <c r="I273" s="22">
        <v>54</v>
      </c>
      <c r="J273" s="21">
        <v>9</v>
      </c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>
        <v>7</v>
      </c>
      <c r="AD273" s="21"/>
      <c r="AE273" s="21"/>
      <c r="AF273" s="21"/>
      <c r="AG273" s="21"/>
      <c r="AH273" s="21">
        <v>2</v>
      </c>
      <c r="AI273" s="21"/>
      <c r="AJ273" s="21"/>
      <c r="AK273" s="21"/>
      <c r="AL273" s="21"/>
      <c r="AM273" s="21"/>
      <c r="AN273" s="21"/>
      <c r="AO273" s="21">
        <v>4</v>
      </c>
      <c r="AP273" s="21">
        <v>5</v>
      </c>
      <c r="AQ273" s="21"/>
      <c r="AR273" s="21"/>
      <c r="AS273" s="21"/>
      <c r="AT273" s="12" t="str">
        <f>HYPERLINK("http://www.openstreetmap.org/?mlat=33.2956&amp;mlon=44.1219&amp;zoom=12#map=12/33.2956/44.1219","Maplink1")</f>
        <v>Maplink1</v>
      </c>
      <c r="AU273" s="12" t="str">
        <f>HYPERLINK("https://www.google.iq/maps/search/+33.2956,44.1219/@33.2956,44.1219,14z?hl=en","Maplink2")</f>
        <v>Maplink2</v>
      </c>
      <c r="AV273" s="12" t="str">
        <f>HYPERLINK("http://www.bing.com/maps/?lvl=14&amp;sty=h&amp;cp=33.2956~44.1219&amp;sp=point.33.2956_44.1219","Maplink3")</f>
        <v>Maplink3</v>
      </c>
    </row>
    <row r="274" spans="1:48" ht="15" customHeight="1" x14ac:dyDescent="0.25">
      <c r="A274" s="19">
        <v>24032</v>
      </c>
      <c r="B274" s="20" t="s">
        <v>11</v>
      </c>
      <c r="C274" s="20" t="s">
        <v>513</v>
      </c>
      <c r="D274" s="20" t="s">
        <v>570</v>
      </c>
      <c r="E274" s="20" t="s">
        <v>571</v>
      </c>
      <c r="F274" s="20">
        <v>33.302391139999997</v>
      </c>
      <c r="G274" s="20">
        <v>44.189665890000001</v>
      </c>
      <c r="H274" s="22">
        <v>15</v>
      </c>
      <c r="I274" s="22">
        <v>90</v>
      </c>
      <c r="J274" s="21">
        <v>15</v>
      </c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>
        <v>7</v>
      </c>
      <c r="AD274" s="21"/>
      <c r="AE274" s="21"/>
      <c r="AF274" s="21"/>
      <c r="AG274" s="21"/>
      <c r="AH274" s="21">
        <v>8</v>
      </c>
      <c r="AI274" s="21"/>
      <c r="AJ274" s="21"/>
      <c r="AK274" s="21"/>
      <c r="AL274" s="21"/>
      <c r="AM274" s="21">
        <v>15</v>
      </c>
      <c r="AN274" s="21"/>
      <c r="AO274" s="21"/>
      <c r="AP274" s="21"/>
      <c r="AQ274" s="21"/>
      <c r="AR274" s="21"/>
      <c r="AS274" s="21"/>
      <c r="AT274" s="12" t="str">
        <f>HYPERLINK("http://www.openstreetmap.org/?mlat=33.3024&amp;mlon=44.1897&amp;zoom=12#map=12/33.3024/44.1897","Maplink1")</f>
        <v>Maplink1</v>
      </c>
      <c r="AU274" s="12" t="str">
        <f>HYPERLINK("https://www.google.iq/maps/search/+33.3024,44.1897/@33.3024,44.1897,14z?hl=en","Maplink2")</f>
        <v>Maplink2</v>
      </c>
      <c r="AV274" s="12" t="str">
        <f>HYPERLINK("http://www.bing.com/maps/?lvl=14&amp;sty=h&amp;cp=33.3024~44.1897&amp;sp=point.33.3024_44.1897","Maplink3")</f>
        <v>Maplink3</v>
      </c>
    </row>
    <row r="275" spans="1:48" ht="15" customHeight="1" x14ac:dyDescent="0.25">
      <c r="A275" s="19">
        <v>24039</v>
      </c>
      <c r="B275" s="20" t="s">
        <v>11</v>
      </c>
      <c r="C275" s="20" t="s">
        <v>513</v>
      </c>
      <c r="D275" s="20" t="s">
        <v>572</v>
      </c>
      <c r="E275" s="20" t="s">
        <v>153</v>
      </c>
      <c r="F275" s="20">
        <v>33.310505890000002</v>
      </c>
      <c r="G275" s="20">
        <v>44.185740989999999</v>
      </c>
      <c r="H275" s="22">
        <v>31</v>
      </c>
      <c r="I275" s="22">
        <v>186</v>
      </c>
      <c r="J275" s="21">
        <v>31</v>
      </c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>
        <v>13</v>
      </c>
      <c r="AD275" s="21"/>
      <c r="AE275" s="21"/>
      <c r="AF275" s="21"/>
      <c r="AG275" s="21"/>
      <c r="AH275" s="21">
        <v>18</v>
      </c>
      <c r="AI275" s="21"/>
      <c r="AJ275" s="21"/>
      <c r="AK275" s="21"/>
      <c r="AL275" s="21">
        <v>12</v>
      </c>
      <c r="AM275" s="21"/>
      <c r="AN275" s="21"/>
      <c r="AO275" s="21">
        <v>10</v>
      </c>
      <c r="AP275" s="21">
        <v>9</v>
      </c>
      <c r="AQ275" s="21"/>
      <c r="AR275" s="21"/>
      <c r="AS275" s="21"/>
      <c r="AT275" s="12" t="str">
        <f>HYPERLINK("http://www.openstreetmap.org/?mlat=33.3105&amp;mlon=44.1857&amp;zoom=12#map=12/33.3105/44.1857","Maplink1")</f>
        <v>Maplink1</v>
      </c>
      <c r="AU275" s="12" t="str">
        <f>HYPERLINK("https://www.google.iq/maps/search/+33.3105,44.1857/@33.3105,44.1857,14z?hl=en","Maplink2")</f>
        <v>Maplink2</v>
      </c>
      <c r="AV275" s="12" t="str">
        <f>HYPERLINK("http://www.bing.com/maps/?lvl=14&amp;sty=h&amp;cp=33.3105~44.1857&amp;sp=point.33.3105_44.1857","Maplink3")</f>
        <v>Maplink3</v>
      </c>
    </row>
    <row r="276" spans="1:48" ht="15" customHeight="1" x14ac:dyDescent="0.25">
      <c r="A276" s="19">
        <v>7553</v>
      </c>
      <c r="B276" s="20" t="s">
        <v>11</v>
      </c>
      <c r="C276" s="20" t="s">
        <v>513</v>
      </c>
      <c r="D276" s="20" t="s">
        <v>311</v>
      </c>
      <c r="E276" s="20" t="s">
        <v>573</v>
      </c>
      <c r="F276" s="20">
        <v>33.292959449999998</v>
      </c>
      <c r="G276" s="20">
        <v>44.055421590000002</v>
      </c>
      <c r="H276" s="22">
        <v>27</v>
      </c>
      <c r="I276" s="22">
        <v>162</v>
      </c>
      <c r="J276" s="21">
        <v>25</v>
      </c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>
        <v>2</v>
      </c>
      <c r="W276" s="21"/>
      <c r="X276" s="21"/>
      <c r="Y276" s="21"/>
      <c r="Z276" s="21"/>
      <c r="AA276" s="21"/>
      <c r="AB276" s="21"/>
      <c r="AC276" s="21">
        <v>10</v>
      </c>
      <c r="AD276" s="21"/>
      <c r="AE276" s="21"/>
      <c r="AF276" s="21"/>
      <c r="AG276" s="21"/>
      <c r="AH276" s="21">
        <v>11</v>
      </c>
      <c r="AI276" s="21">
        <v>3</v>
      </c>
      <c r="AJ276" s="21">
        <v>3</v>
      </c>
      <c r="AK276" s="21"/>
      <c r="AL276" s="21"/>
      <c r="AM276" s="21"/>
      <c r="AN276" s="21"/>
      <c r="AO276" s="21">
        <v>12</v>
      </c>
      <c r="AP276" s="21">
        <v>10</v>
      </c>
      <c r="AQ276" s="21"/>
      <c r="AR276" s="21">
        <v>5</v>
      </c>
      <c r="AS276" s="21"/>
      <c r="AT276" s="12" t="str">
        <f>HYPERLINK("http://www.openstreetmap.org/?mlat=33.293&amp;mlon=44.0554&amp;zoom=12#map=12/33.293/44.0554","Maplink1")</f>
        <v>Maplink1</v>
      </c>
      <c r="AU276" s="12" t="str">
        <f>HYPERLINK("https://www.google.iq/maps/search/+33.293,44.0554/@33.293,44.0554,14z?hl=en","Maplink2")</f>
        <v>Maplink2</v>
      </c>
      <c r="AV276" s="12" t="str">
        <f>HYPERLINK("http://www.bing.com/maps/?lvl=14&amp;sty=h&amp;cp=33.293~44.0554&amp;sp=point.33.293_44.0554","Maplink3")</f>
        <v>Maplink3</v>
      </c>
    </row>
    <row r="277" spans="1:48" ht="15" customHeight="1" x14ac:dyDescent="0.25">
      <c r="A277" s="19">
        <v>22050</v>
      </c>
      <c r="B277" s="20" t="s">
        <v>11</v>
      </c>
      <c r="C277" s="20" t="s">
        <v>513</v>
      </c>
      <c r="D277" s="20" t="s">
        <v>574</v>
      </c>
      <c r="E277" s="20" t="s">
        <v>575</v>
      </c>
      <c r="F277" s="20">
        <v>33.302862519999998</v>
      </c>
      <c r="G277" s="20">
        <v>44.169808240000002</v>
      </c>
      <c r="H277" s="22">
        <v>17</v>
      </c>
      <c r="I277" s="22">
        <v>102</v>
      </c>
      <c r="J277" s="21">
        <v>17</v>
      </c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>
        <v>12</v>
      </c>
      <c r="AD277" s="21"/>
      <c r="AE277" s="21"/>
      <c r="AF277" s="21"/>
      <c r="AG277" s="21"/>
      <c r="AH277" s="21">
        <v>5</v>
      </c>
      <c r="AI277" s="21"/>
      <c r="AJ277" s="21"/>
      <c r="AK277" s="21"/>
      <c r="AL277" s="21">
        <v>5</v>
      </c>
      <c r="AM277" s="21">
        <v>9</v>
      </c>
      <c r="AN277" s="21"/>
      <c r="AO277" s="21"/>
      <c r="AP277" s="21">
        <v>3</v>
      </c>
      <c r="AQ277" s="21"/>
      <c r="AR277" s="21"/>
      <c r="AS277" s="21"/>
      <c r="AT277" s="12" t="str">
        <f>HYPERLINK("http://www.openstreetmap.org/?mlat=33.3029&amp;mlon=44.1698&amp;zoom=12#map=12/33.3029/44.1698","Maplink1")</f>
        <v>Maplink1</v>
      </c>
      <c r="AU277" s="12" t="str">
        <f>HYPERLINK("https://www.google.iq/maps/search/+33.3029,44.1698/@33.3029,44.1698,14z?hl=en","Maplink2")</f>
        <v>Maplink2</v>
      </c>
      <c r="AV277" s="12" t="str">
        <f>HYPERLINK("http://www.bing.com/maps/?lvl=14&amp;sty=h&amp;cp=33.3029~44.1698&amp;sp=point.33.3029_44.1698","Maplink3")</f>
        <v>Maplink3</v>
      </c>
    </row>
    <row r="278" spans="1:48" ht="15" customHeight="1" x14ac:dyDescent="0.25">
      <c r="A278" s="19">
        <v>24052</v>
      </c>
      <c r="B278" s="20" t="s">
        <v>11</v>
      </c>
      <c r="C278" s="20" t="s">
        <v>513</v>
      </c>
      <c r="D278" s="20" t="s">
        <v>576</v>
      </c>
      <c r="E278" s="20" t="s">
        <v>577</v>
      </c>
      <c r="F278" s="20">
        <v>33.283787109999999</v>
      </c>
      <c r="G278" s="20">
        <v>44.054551199999999</v>
      </c>
      <c r="H278" s="22">
        <v>8</v>
      </c>
      <c r="I278" s="22">
        <v>48</v>
      </c>
      <c r="J278" s="21"/>
      <c r="K278" s="21"/>
      <c r="L278" s="21">
        <v>8</v>
      </c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>
        <v>5</v>
      </c>
      <c r="AD278" s="21"/>
      <c r="AE278" s="21"/>
      <c r="AF278" s="21"/>
      <c r="AG278" s="21"/>
      <c r="AH278" s="21">
        <v>3</v>
      </c>
      <c r="AI278" s="21"/>
      <c r="AJ278" s="21"/>
      <c r="AK278" s="21"/>
      <c r="AL278" s="21">
        <v>5</v>
      </c>
      <c r="AM278" s="21"/>
      <c r="AN278" s="21"/>
      <c r="AO278" s="21">
        <v>3</v>
      </c>
      <c r="AP278" s="21"/>
      <c r="AQ278" s="21"/>
      <c r="AR278" s="21"/>
      <c r="AS278" s="21"/>
      <c r="AT278" s="12" t="str">
        <f>HYPERLINK("http://www.openstreetmap.org/?mlat=33.2838&amp;mlon=44.0546&amp;zoom=12#map=12/33.2838/44.0546","Maplink1")</f>
        <v>Maplink1</v>
      </c>
      <c r="AU278" s="12" t="str">
        <f>HYPERLINK("https://www.google.iq/maps/search/+33.2838,44.0546/@33.2838,44.0546,14z?hl=en","Maplink2")</f>
        <v>Maplink2</v>
      </c>
      <c r="AV278" s="12" t="str">
        <f>HYPERLINK("http://www.bing.com/maps/?lvl=14&amp;sty=h&amp;cp=33.2838~44.0546&amp;sp=point.33.2838_44.0546","Maplink3")</f>
        <v>Maplink3</v>
      </c>
    </row>
    <row r="279" spans="1:48" ht="15" customHeight="1" x14ac:dyDescent="0.25">
      <c r="A279" s="19">
        <v>25129</v>
      </c>
      <c r="B279" s="20" t="s">
        <v>11</v>
      </c>
      <c r="C279" s="20" t="s">
        <v>513</v>
      </c>
      <c r="D279" s="20" t="s">
        <v>578</v>
      </c>
      <c r="E279" s="20" t="s">
        <v>579</v>
      </c>
      <c r="F279" s="20">
        <v>33.296097539999998</v>
      </c>
      <c r="G279" s="20">
        <v>44.127043819999997</v>
      </c>
      <c r="H279" s="22">
        <v>29</v>
      </c>
      <c r="I279" s="22">
        <v>174</v>
      </c>
      <c r="J279" s="21">
        <v>25</v>
      </c>
      <c r="K279" s="21"/>
      <c r="L279" s="21"/>
      <c r="M279" s="21"/>
      <c r="N279" s="21"/>
      <c r="O279" s="21"/>
      <c r="P279" s="21"/>
      <c r="Q279" s="21"/>
      <c r="R279" s="21">
        <v>4</v>
      </c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>
        <v>11</v>
      </c>
      <c r="AD279" s="21"/>
      <c r="AE279" s="21"/>
      <c r="AF279" s="21"/>
      <c r="AG279" s="21"/>
      <c r="AH279" s="21">
        <v>18</v>
      </c>
      <c r="AI279" s="21"/>
      <c r="AJ279" s="21"/>
      <c r="AK279" s="21"/>
      <c r="AL279" s="21"/>
      <c r="AM279" s="21">
        <v>10</v>
      </c>
      <c r="AN279" s="21"/>
      <c r="AO279" s="21">
        <v>6</v>
      </c>
      <c r="AP279" s="21">
        <v>6</v>
      </c>
      <c r="AQ279" s="21">
        <v>7</v>
      </c>
      <c r="AR279" s="21"/>
      <c r="AS279" s="21"/>
      <c r="AT279" s="12" t="str">
        <f>HYPERLINK("http://www.openstreetmap.org/?mlat=33.2961&amp;mlon=44.127&amp;zoom=12#map=12/33.2961/44.127","Maplink1")</f>
        <v>Maplink1</v>
      </c>
      <c r="AU279" s="12" t="str">
        <f>HYPERLINK("https://www.google.iq/maps/search/+33.2961,44.127/@33.2961,44.127,14z?hl=en","Maplink2")</f>
        <v>Maplink2</v>
      </c>
      <c r="AV279" s="12" t="str">
        <f>HYPERLINK("http://www.bing.com/maps/?lvl=14&amp;sty=h&amp;cp=33.2961~44.127&amp;sp=point.33.2961_44.127","Maplink3")</f>
        <v>Maplink3</v>
      </c>
    </row>
    <row r="280" spans="1:48" ht="15" customHeight="1" x14ac:dyDescent="0.25">
      <c r="A280" s="19">
        <v>27290</v>
      </c>
      <c r="B280" s="20" t="s">
        <v>11</v>
      </c>
      <c r="C280" s="20" t="s">
        <v>513</v>
      </c>
      <c r="D280" s="20" t="s">
        <v>580</v>
      </c>
      <c r="E280" s="20" t="s">
        <v>581</v>
      </c>
      <c r="F280" s="20">
        <v>33.390074759999997</v>
      </c>
      <c r="G280" s="20">
        <v>44.131248370000002</v>
      </c>
      <c r="H280" s="22">
        <v>8</v>
      </c>
      <c r="I280" s="22">
        <v>48</v>
      </c>
      <c r="J280" s="21">
        <v>8</v>
      </c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>
        <v>8</v>
      </c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>
        <v>3</v>
      </c>
      <c r="AP280" s="21">
        <v>5</v>
      </c>
      <c r="AQ280" s="21"/>
      <c r="AR280" s="21"/>
      <c r="AS280" s="21"/>
      <c r="AT280" s="12" t="str">
        <f>HYPERLINK("http://www.openstreetmap.org/?mlat=33.3901&amp;mlon=44.1312&amp;zoom=12#map=12/33.3901/44.1312","Maplink1")</f>
        <v>Maplink1</v>
      </c>
      <c r="AU280" s="12" t="str">
        <f>HYPERLINK("https://www.google.iq/maps/search/+33.3901,44.1312/@33.3901,44.1312,14z?hl=en","Maplink2")</f>
        <v>Maplink2</v>
      </c>
      <c r="AV280" s="12" t="str">
        <f>HYPERLINK("http://www.bing.com/maps/?lvl=14&amp;sty=h&amp;cp=33.3901~44.1312&amp;sp=point.33.3901_44.1312","Maplink3")</f>
        <v>Maplink3</v>
      </c>
    </row>
    <row r="281" spans="1:48" ht="15" customHeight="1" x14ac:dyDescent="0.25">
      <c r="A281" s="19">
        <v>24056</v>
      </c>
      <c r="B281" s="20" t="s">
        <v>11</v>
      </c>
      <c r="C281" s="20" t="s">
        <v>513</v>
      </c>
      <c r="D281" s="20" t="s">
        <v>582</v>
      </c>
      <c r="E281" s="20" t="s">
        <v>583</v>
      </c>
      <c r="F281" s="20">
        <v>33.315670934400003</v>
      </c>
      <c r="G281" s="20">
        <v>44.075819115800002</v>
      </c>
      <c r="H281" s="22">
        <v>5</v>
      </c>
      <c r="I281" s="22">
        <v>30</v>
      </c>
      <c r="J281" s="21">
        <v>5</v>
      </c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>
        <v>5</v>
      </c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>
        <v>5</v>
      </c>
      <c r="AQ281" s="21"/>
      <c r="AR281" s="21"/>
      <c r="AS281" s="21"/>
      <c r="AT281" s="12" t="str">
        <f>HYPERLINK("http://www.openstreetmap.org/?mlat=33.3157&amp;mlon=44.0758&amp;zoom=12#map=12/33.3157/44.0758","Maplink1")</f>
        <v>Maplink1</v>
      </c>
      <c r="AU281" s="12" t="str">
        <f>HYPERLINK("https://www.google.iq/maps/search/+33.3157,44.0758/@33.3157,44.0758,14z?hl=en","Maplink2")</f>
        <v>Maplink2</v>
      </c>
      <c r="AV281" s="12" t="str">
        <f>HYPERLINK("http://www.bing.com/maps/?lvl=14&amp;sty=h&amp;cp=33.3157~44.0758&amp;sp=point.33.3157_44.0758","Maplink3")</f>
        <v>Maplink3</v>
      </c>
    </row>
    <row r="282" spans="1:48" ht="15" customHeight="1" x14ac:dyDescent="0.25">
      <c r="A282" s="19">
        <v>25126</v>
      </c>
      <c r="B282" s="20" t="s">
        <v>11</v>
      </c>
      <c r="C282" s="20" t="s">
        <v>513</v>
      </c>
      <c r="D282" s="20" t="s">
        <v>584</v>
      </c>
      <c r="E282" s="20" t="s">
        <v>585</v>
      </c>
      <c r="F282" s="20">
        <v>33.295946020000002</v>
      </c>
      <c r="G282" s="20">
        <v>44.059759450000001</v>
      </c>
      <c r="H282" s="22">
        <v>29</v>
      </c>
      <c r="I282" s="22">
        <v>174</v>
      </c>
      <c r="J282" s="21">
        <v>19</v>
      </c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>
        <v>4</v>
      </c>
      <c r="W282" s="21"/>
      <c r="X282" s="21">
        <v>6</v>
      </c>
      <c r="Y282" s="21"/>
      <c r="Z282" s="21"/>
      <c r="AA282" s="21"/>
      <c r="AB282" s="21"/>
      <c r="AC282" s="21">
        <v>7</v>
      </c>
      <c r="AD282" s="21"/>
      <c r="AE282" s="21"/>
      <c r="AF282" s="21"/>
      <c r="AG282" s="21"/>
      <c r="AH282" s="21">
        <v>15</v>
      </c>
      <c r="AI282" s="21"/>
      <c r="AJ282" s="21">
        <v>7</v>
      </c>
      <c r="AK282" s="21"/>
      <c r="AL282" s="21"/>
      <c r="AM282" s="21"/>
      <c r="AN282" s="21"/>
      <c r="AO282" s="21">
        <v>10</v>
      </c>
      <c r="AP282" s="21">
        <v>7</v>
      </c>
      <c r="AQ282" s="21">
        <v>8</v>
      </c>
      <c r="AR282" s="21">
        <v>4</v>
      </c>
      <c r="AS282" s="21"/>
      <c r="AT282" s="12" t="str">
        <f>HYPERLINK("http://www.openstreetmap.org/?mlat=33.2959&amp;mlon=44.0598&amp;zoom=12#map=12/33.2959/44.0598","Maplink1")</f>
        <v>Maplink1</v>
      </c>
      <c r="AU282" s="12" t="str">
        <f>HYPERLINK("https://www.google.iq/maps/search/+33.2959,44.0598/@33.2959,44.0598,14z?hl=en","Maplink2")</f>
        <v>Maplink2</v>
      </c>
      <c r="AV282" s="12" t="str">
        <f>HYPERLINK("http://www.bing.com/maps/?lvl=14&amp;sty=h&amp;cp=33.2959~44.0598&amp;sp=point.33.2959_44.0598","Maplink3")</f>
        <v>Maplink3</v>
      </c>
    </row>
    <row r="283" spans="1:48" ht="15" customHeight="1" x14ac:dyDescent="0.25">
      <c r="A283" s="19">
        <v>25128</v>
      </c>
      <c r="B283" s="20" t="s">
        <v>11</v>
      </c>
      <c r="C283" s="20" t="s">
        <v>513</v>
      </c>
      <c r="D283" s="20" t="s">
        <v>586</v>
      </c>
      <c r="E283" s="20" t="s">
        <v>6060</v>
      </c>
      <c r="F283" s="20">
        <v>33.319542630000001</v>
      </c>
      <c r="G283" s="20">
        <v>44.192081719999997</v>
      </c>
      <c r="H283" s="22">
        <v>97</v>
      </c>
      <c r="I283" s="22">
        <v>582</v>
      </c>
      <c r="J283" s="21">
        <v>97</v>
      </c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>
        <v>63</v>
      </c>
      <c r="AD283" s="21"/>
      <c r="AE283" s="21"/>
      <c r="AF283" s="21"/>
      <c r="AG283" s="21"/>
      <c r="AH283" s="21">
        <v>19</v>
      </c>
      <c r="AI283" s="21"/>
      <c r="AJ283" s="21">
        <v>15</v>
      </c>
      <c r="AK283" s="21"/>
      <c r="AL283" s="21"/>
      <c r="AM283" s="21">
        <v>72</v>
      </c>
      <c r="AN283" s="21"/>
      <c r="AO283" s="21"/>
      <c r="AP283" s="21">
        <v>25</v>
      </c>
      <c r="AQ283" s="21"/>
      <c r="AR283" s="21"/>
      <c r="AS283" s="21"/>
      <c r="AT283" s="12" t="str">
        <f>HYPERLINK("http://www.openstreetmap.org/?mlat=33.3195&amp;mlon=44.1921&amp;zoom=12#map=12/33.3195/44.1921","Maplink1")</f>
        <v>Maplink1</v>
      </c>
      <c r="AU283" s="12" t="str">
        <f>HYPERLINK("https://www.google.iq/maps/search/+33.3195,44.1921/@33.3195,44.1921,14z?hl=en","Maplink2")</f>
        <v>Maplink2</v>
      </c>
      <c r="AV283" s="12" t="str">
        <f>HYPERLINK("http://www.bing.com/maps/?lvl=14&amp;sty=h&amp;cp=33.3195~44.1921&amp;sp=point.33.3195_44.1921","Maplink3")</f>
        <v>Maplink3</v>
      </c>
    </row>
    <row r="284" spans="1:48" ht="15" customHeight="1" x14ac:dyDescent="0.25">
      <c r="A284" s="19">
        <v>7709</v>
      </c>
      <c r="B284" s="20" t="s">
        <v>11</v>
      </c>
      <c r="C284" s="20" t="s">
        <v>513</v>
      </c>
      <c r="D284" s="20" t="s">
        <v>587</v>
      </c>
      <c r="E284" s="20" t="s">
        <v>588</v>
      </c>
      <c r="F284" s="20">
        <v>33.328324240000001</v>
      </c>
      <c r="G284" s="20">
        <v>44.192065309999997</v>
      </c>
      <c r="H284" s="22">
        <v>31</v>
      </c>
      <c r="I284" s="22">
        <v>186</v>
      </c>
      <c r="J284" s="21">
        <v>31</v>
      </c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>
        <v>12</v>
      </c>
      <c r="AD284" s="21"/>
      <c r="AE284" s="21"/>
      <c r="AF284" s="21"/>
      <c r="AG284" s="21"/>
      <c r="AH284" s="21">
        <v>19</v>
      </c>
      <c r="AI284" s="21"/>
      <c r="AJ284" s="21"/>
      <c r="AK284" s="21"/>
      <c r="AL284" s="21">
        <v>11</v>
      </c>
      <c r="AM284" s="21"/>
      <c r="AN284" s="21"/>
      <c r="AO284" s="21">
        <v>12</v>
      </c>
      <c r="AP284" s="21">
        <v>8</v>
      </c>
      <c r="AQ284" s="21"/>
      <c r="AR284" s="21"/>
      <c r="AS284" s="21"/>
      <c r="AT284" s="12" t="str">
        <f>HYPERLINK("http://www.openstreetmap.org/?mlat=33.3283&amp;mlon=44.1921&amp;zoom=12#map=12/33.3283/44.1921","Maplink1")</f>
        <v>Maplink1</v>
      </c>
      <c r="AU284" s="12" t="str">
        <f>HYPERLINK("https://www.google.iq/maps/search/+33.3283,44.1921/@33.3283,44.1921,14z?hl=en","Maplink2")</f>
        <v>Maplink2</v>
      </c>
      <c r="AV284" s="12" t="str">
        <f>HYPERLINK("http://www.bing.com/maps/?lvl=14&amp;sty=h&amp;cp=33.3283~44.1921&amp;sp=point.33.3283_44.1921","Maplink3")</f>
        <v>Maplink3</v>
      </c>
    </row>
    <row r="285" spans="1:48" ht="15" customHeight="1" x14ac:dyDescent="0.25">
      <c r="A285" s="19">
        <v>24035</v>
      </c>
      <c r="B285" s="20" t="s">
        <v>11</v>
      </c>
      <c r="C285" s="20" t="s">
        <v>513</v>
      </c>
      <c r="D285" s="20" t="s">
        <v>589</v>
      </c>
      <c r="E285" s="20" t="s">
        <v>590</v>
      </c>
      <c r="F285" s="20">
        <v>33.314552599999999</v>
      </c>
      <c r="G285" s="20">
        <v>44.183673769999999</v>
      </c>
      <c r="H285" s="22">
        <v>9</v>
      </c>
      <c r="I285" s="22">
        <v>54</v>
      </c>
      <c r="J285" s="21">
        <v>9</v>
      </c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>
        <v>3</v>
      </c>
      <c r="AD285" s="21"/>
      <c r="AE285" s="21"/>
      <c r="AF285" s="21"/>
      <c r="AG285" s="21"/>
      <c r="AH285" s="21">
        <v>6</v>
      </c>
      <c r="AI285" s="21"/>
      <c r="AJ285" s="21"/>
      <c r="AK285" s="21"/>
      <c r="AL285" s="21"/>
      <c r="AM285" s="21"/>
      <c r="AN285" s="21"/>
      <c r="AO285" s="21">
        <v>6</v>
      </c>
      <c r="AP285" s="21">
        <v>3</v>
      </c>
      <c r="AQ285" s="21"/>
      <c r="AR285" s="21"/>
      <c r="AS285" s="21"/>
      <c r="AT285" s="12" t="str">
        <f>HYPERLINK("http://www.openstreetmap.org/?mlat=33.3146&amp;mlon=44.1837&amp;zoom=12#map=12/33.3146/44.1837","Maplink1")</f>
        <v>Maplink1</v>
      </c>
      <c r="AU285" s="12" t="str">
        <f>HYPERLINK("https://www.google.iq/maps/search/+33.3146,44.1837/@33.3146,44.1837,14z?hl=en","Maplink2")</f>
        <v>Maplink2</v>
      </c>
      <c r="AV285" s="12" t="str">
        <f>HYPERLINK("http://www.bing.com/maps/?lvl=14&amp;sty=h&amp;cp=33.3146~44.1837&amp;sp=point.33.3146_44.1837","Maplink3")</f>
        <v>Maplink3</v>
      </c>
    </row>
    <row r="286" spans="1:48" ht="15" customHeight="1" x14ac:dyDescent="0.25">
      <c r="A286" s="19">
        <v>31713</v>
      </c>
      <c r="B286" s="20" t="s">
        <v>11</v>
      </c>
      <c r="C286" s="20" t="s">
        <v>513</v>
      </c>
      <c r="D286" s="20" t="s">
        <v>591</v>
      </c>
      <c r="E286" s="20" t="s">
        <v>592</v>
      </c>
      <c r="F286" s="20">
        <v>33.303758000000002</v>
      </c>
      <c r="G286" s="20">
        <v>44.147514999999999</v>
      </c>
      <c r="H286" s="22">
        <v>91</v>
      </c>
      <c r="I286" s="22">
        <v>546</v>
      </c>
      <c r="J286" s="21">
        <v>87</v>
      </c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>
        <v>4</v>
      </c>
      <c r="W286" s="21"/>
      <c r="X286" s="21"/>
      <c r="Y286" s="21"/>
      <c r="Z286" s="21"/>
      <c r="AA286" s="21"/>
      <c r="AB286" s="21"/>
      <c r="AC286" s="21">
        <v>44</v>
      </c>
      <c r="AD286" s="21"/>
      <c r="AE286" s="21"/>
      <c r="AF286" s="21"/>
      <c r="AG286" s="21"/>
      <c r="AH286" s="21">
        <v>44</v>
      </c>
      <c r="AI286" s="21">
        <v>3</v>
      </c>
      <c r="AJ286" s="21"/>
      <c r="AK286" s="21"/>
      <c r="AL286" s="21">
        <v>21</v>
      </c>
      <c r="AM286" s="21"/>
      <c r="AN286" s="21"/>
      <c r="AO286" s="21">
        <v>33</v>
      </c>
      <c r="AP286" s="21">
        <v>24</v>
      </c>
      <c r="AQ286" s="21">
        <v>9</v>
      </c>
      <c r="AR286" s="21">
        <v>4</v>
      </c>
      <c r="AS286" s="21"/>
      <c r="AT286" s="12" t="str">
        <f>HYPERLINK("http://www.openstreetmap.org/?mlat=33.3038&amp;mlon=44.1475&amp;zoom=12#map=12/33.3038/44.1475","Maplink1")</f>
        <v>Maplink1</v>
      </c>
      <c r="AU286" s="12" t="str">
        <f>HYPERLINK("https://www.google.iq/maps/search/+33.3038,44.1475/@33.3038,44.1475,14z?hl=en","Maplink2")</f>
        <v>Maplink2</v>
      </c>
      <c r="AV286" s="12" t="str">
        <f>HYPERLINK("http://www.bing.com/maps/?lvl=14&amp;sty=h&amp;cp=33.3038~44.1475&amp;sp=point.33.3038_44.1475","Maplink3")</f>
        <v>Maplink3</v>
      </c>
    </row>
    <row r="287" spans="1:48" ht="15" customHeight="1" x14ac:dyDescent="0.25">
      <c r="A287" s="19">
        <v>31715</v>
      </c>
      <c r="B287" s="20" t="s">
        <v>11</v>
      </c>
      <c r="C287" s="20" t="s">
        <v>513</v>
      </c>
      <c r="D287" s="20" t="s">
        <v>593</v>
      </c>
      <c r="E287" s="20" t="s">
        <v>594</v>
      </c>
      <c r="F287" s="20">
        <v>33.301071</v>
      </c>
      <c r="G287" s="20">
        <v>44.134264999999999</v>
      </c>
      <c r="H287" s="22">
        <v>55</v>
      </c>
      <c r="I287" s="22">
        <v>330</v>
      </c>
      <c r="J287" s="21">
        <v>55</v>
      </c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>
        <v>22</v>
      </c>
      <c r="AD287" s="21"/>
      <c r="AE287" s="21"/>
      <c r="AF287" s="21"/>
      <c r="AG287" s="21"/>
      <c r="AH287" s="21">
        <v>33</v>
      </c>
      <c r="AI287" s="21"/>
      <c r="AJ287" s="21"/>
      <c r="AK287" s="21"/>
      <c r="AL287" s="21">
        <v>16</v>
      </c>
      <c r="AM287" s="21">
        <v>14</v>
      </c>
      <c r="AN287" s="21"/>
      <c r="AO287" s="21">
        <v>10</v>
      </c>
      <c r="AP287" s="21">
        <v>15</v>
      </c>
      <c r="AQ287" s="21"/>
      <c r="AR287" s="21"/>
      <c r="AS287" s="21"/>
      <c r="AT287" s="12" t="str">
        <f>HYPERLINK("http://www.openstreetmap.org/?mlat=33.3011&amp;mlon=44.1343&amp;zoom=12#map=12/33.3011/44.1343","Maplink1")</f>
        <v>Maplink1</v>
      </c>
      <c r="AU287" s="12" t="str">
        <f>HYPERLINK("https://www.google.iq/maps/search/+33.3011,44.1343/@33.3011,44.1343,14z?hl=en","Maplink2")</f>
        <v>Maplink2</v>
      </c>
      <c r="AV287" s="12" t="str">
        <f>HYPERLINK("http://www.bing.com/maps/?lvl=14&amp;sty=h&amp;cp=33.3011~44.1343&amp;sp=point.33.3011_44.1343","Maplink3")</f>
        <v>Maplink3</v>
      </c>
    </row>
    <row r="288" spans="1:48" ht="15" customHeight="1" x14ac:dyDescent="0.25">
      <c r="A288" s="19">
        <v>31714</v>
      </c>
      <c r="B288" s="20" t="s">
        <v>11</v>
      </c>
      <c r="C288" s="20" t="s">
        <v>513</v>
      </c>
      <c r="D288" s="20" t="s">
        <v>595</v>
      </c>
      <c r="E288" s="20" t="s">
        <v>596</v>
      </c>
      <c r="F288" s="20">
        <v>33.303119000000002</v>
      </c>
      <c r="G288" s="20">
        <v>44.141635000000001</v>
      </c>
      <c r="H288" s="22">
        <v>62</v>
      </c>
      <c r="I288" s="22">
        <v>372</v>
      </c>
      <c r="J288" s="21">
        <v>50</v>
      </c>
      <c r="K288" s="21"/>
      <c r="L288" s="21">
        <v>8</v>
      </c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>
        <v>4</v>
      </c>
      <c r="Y288" s="21"/>
      <c r="Z288" s="21"/>
      <c r="AA288" s="21"/>
      <c r="AB288" s="21"/>
      <c r="AC288" s="21">
        <v>29</v>
      </c>
      <c r="AD288" s="21"/>
      <c r="AE288" s="21"/>
      <c r="AF288" s="21"/>
      <c r="AG288" s="21"/>
      <c r="AH288" s="21">
        <v>24</v>
      </c>
      <c r="AI288" s="21"/>
      <c r="AJ288" s="21">
        <v>9</v>
      </c>
      <c r="AK288" s="21"/>
      <c r="AL288" s="21"/>
      <c r="AM288" s="21">
        <v>25</v>
      </c>
      <c r="AN288" s="21"/>
      <c r="AO288" s="21">
        <v>10</v>
      </c>
      <c r="AP288" s="21">
        <v>17</v>
      </c>
      <c r="AQ288" s="21">
        <v>10</v>
      </c>
      <c r="AR288" s="21"/>
      <c r="AS288" s="21"/>
      <c r="AT288" s="12" t="str">
        <f>HYPERLINK("http://www.openstreetmap.org/?mlat=33.3031&amp;mlon=44.1416&amp;zoom=12#map=12/33.3031/44.1416","Maplink1")</f>
        <v>Maplink1</v>
      </c>
      <c r="AU288" s="12" t="str">
        <f>HYPERLINK("https://www.google.iq/maps/search/+33.3031,44.1416/@33.3031,44.1416,14z?hl=en","Maplink2")</f>
        <v>Maplink2</v>
      </c>
      <c r="AV288" s="12" t="str">
        <f>HYPERLINK("http://www.bing.com/maps/?lvl=14&amp;sty=h&amp;cp=33.3031~44.1416&amp;sp=point.33.3031_44.1416","Maplink3")</f>
        <v>Maplink3</v>
      </c>
    </row>
    <row r="289" spans="1:48" ht="15" customHeight="1" x14ac:dyDescent="0.25">
      <c r="A289" s="19">
        <v>24989</v>
      </c>
      <c r="B289" s="20" t="s">
        <v>11</v>
      </c>
      <c r="C289" s="20" t="s">
        <v>597</v>
      </c>
      <c r="D289" s="20" t="s">
        <v>598</v>
      </c>
      <c r="E289" s="20" t="s">
        <v>599</v>
      </c>
      <c r="F289" s="20">
        <v>33.458517970000003</v>
      </c>
      <c r="G289" s="20">
        <v>44.343839529999997</v>
      </c>
      <c r="H289" s="22">
        <v>4</v>
      </c>
      <c r="I289" s="22">
        <v>24</v>
      </c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>
        <v>4</v>
      </c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>
        <v>4</v>
      </c>
      <c r="AI289" s="21"/>
      <c r="AJ289" s="21"/>
      <c r="AK289" s="21"/>
      <c r="AL289" s="21"/>
      <c r="AM289" s="21"/>
      <c r="AN289" s="21">
        <v>4</v>
      </c>
      <c r="AO289" s="21"/>
      <c r="AP289" s="21"/>
      <c r="AQ289" s="21"/>
      <c r="AR289" s="21"/>
      <c r="AS289" s="21"/>
      <c r="AT289" s="12" t="str">
        <f>HYPERLINK("http://www.openstreetmap.org/?mlat=33.4585&amp;mlon=44.3438&amp;zoom=12#map=12/33.4585/44.3438","Maplink1")</f>
        <v>Maplink1</v>
      </c>
      <c r="AU289" s="12" t="str">
        <f>HYPERLINK("https://www.google.iq/maps/search/+33.4585,44.3438/@33.4585,44.3438,14z?hl=en","Maplink2")</f>
        <v>Maplink2</v>
      </c>
      <c r="AV289" s="12" t="str">
        <f>HYPERLINK("http://www.bing.com/maps/?lvl=14&amp;sty=h&amp;cp=33.4585~44.3438&amp;sp=point.33.4585_44.3438","Maplink3")</f>
        <v>Maplink3</v>
      </c>
    </row>
    <row r="290" spans="1:48" ht="15" customHeight="1" x14ac:dyDescent="0.25">
      <c r="A290" s="19">
        <v>7717</v>
      </c>
      <c r="B290" s="20" t="s">
        <v>11</v>
      </c>
      <c r="C290" s="20" t="s">
        <v>597</v>
      </c>
      <c r="D290" s="20" t="s">
        <v>600</v>
      </c>
      <c r="E290" s="20" t="s">
        <v>601</v>
      </c>
      <c r="F290" s="20">
        <v>33.36724186</v>
      </c>
      <c r="G290" s="20">
        <v>44.363475389999998</v>
      </c>
      <c r="H290" s="22">
        <v>13</v>
      </c>
      <c r="I290" s="22">
        <v>78</v>
      </c>
      <c r="J290" s="21">
        <v>5</v>
      </c>
      <c r="K290" s="21"/>
      <c r="L290" s="21"/>
      <c r="M290" s="21"/>
      <c r="N290" s="21"/>
      <c r="O290" s="21">
        <v>2</v>
      </c>
      <c r="P290" s="21"/>
      <c r="Q290" s="21"/>
      <c r="R290" s="21"/>
      <c r="S290" s="21"/>
      <c r="T290" s="21"/>
      <c r="U290" s="21"/>
      <c r="V290" s="21">
        <v>4</v>
      </c>
      <c r="W290" s="21"/>
      <c r="X290" s="21">
        <v>2</v>
      </c>
      <c r="Y290" s="21"/>
      <c r="Z290" s="21"/>
      <c r="AA290" s="21"/>
      <c r="AB290" s="21"/>
      <c r="AC290" s="21"/>
      <c r="AD290" s="21"/>
      <c r="AE290" s="21"/>
      <c r="AF290" s="21"/>
      <c r="AG290" s="21"/>
      <c r="AH290" s="21">
        <v>13</v>
      </c>
      <c r="AI290" s="21"/>
      <c r="AJ290" s="21"/>
      <c r="AK290" s="21"/>
      <c r="AL290" s="21"/>
      <c r="AM290" s="21">
        <v>4</v>
      </c>
      <c r="AN290" s="21"/>
      <c r="AO290" s="21">
        <v>4</v>
      </c>
      <c r="AP290" s="21">
        <v>5</v>
      </c>
      <c r="AQ290" s="21"/>
      <c r="AR290" s="21"/>
      <c r="AS290" s="21"/>
      <c r="AT290" s="12" t="str">
        <f>HYPERLINK("http://www.openstreetmap.org/?mlat=33.3672&amp;mlon=44.3635&amp;zoom=12#map=12/33.3672/44.3635","Maplink1")</f>
        <v>Maplink1</v>
      </c>
      <c r="AU290" s="12" t="str">
        <f>HYPERLINK("https://www.google.iq/maps/search/+33.3672,44.3635/@33.3672,44.3635,14z?hl=en","Maplink2")</f>
        <v>Maplink2</v>
      </c>
      <c r="AV290" s="12" t="str">
        <f>HYPERLINK("http://www.bing.com/maps/?lvl=14&amp;sty=h&amp;cp=33.3672~44.3635&amp;sp=point.33.3672_44.3635","Maplink3")</f>
        <v>Maplink3</v>
      </c>
    </row>
    <row r="291" spans="1:48" ht="15" customHeight="1" x14ac:dyDescent="0.25">
      <c r="A291" s="19">
        <v>7730</v>
      </c>
      <c r="B291" s="20" t="s">
        <v>11</v>
      </c>
      <c r="C291" s="20" t="s">
        <v>597</v>
      </c>
      <c r="D291" s="20" t="s">
        <v>602</v>
      </c>
      <c r="E291" s="20" t="s">
        <v>603</v>
      </c>
      <c r="F291" s="20">
        <v>33.368774209999998</v>
      </c>
      <c r="G291" s="20">
        <v>44.357466670000001</v>
      </c>
      <c r="H291" s="22">
        <v>95</v>
      </c>
      <c r="I291" s="22">
        <v>570</v>
      </c>
      <c r="J291" s="21">
        <v>59</v>
      </c>
      <c r="K291" s="21"/>
      <c r="L291" s="21"/>
      <c r="M291" s="21"/>
      <c r="N291" s="21"/>
      <c r="O291" s="21">
        <v>5</v>
      </c>
      <c r="P291" s="21"/>
      <c r="Q291" s="21"/>
      <c r="R291" s="21"/>
      <c r="S291" s="21"/>
      <c r="T291" s="21"/>
      <c r="U291" s="21"/>
      <c r="V291" s="21">
        <v>23</v>
      </c>
      <c r="W291" s="21"/>
      <c r="X291" s="21">
        <v>8</v>
      </c>
      <c r="Y291" s="21"/>
      <c r="Z291" s="21"/>
      <c r="AA291" s="21"/>
      <c r="AB291" s="21"/>
      <c r="AC291" s="21">
        <v>39</v>
      </c>
      <c r="AD291" s="21"/>
      <c r="AE291" s="21"/>
      <c r="AF291" s="21"/>
      <c r="AG291" s="21"/>
      <c r="AH291" s="21">
        <v>56</v>
      </c>
      <c r="AI291" s="21"/>
      <c r="AJ291" s="21"/>
      <c r="AK291" s="21"/>
      <c r="AL291" s="21">
        <v>10</v>
      </c>
      <c r="AM291" s="21">
        <v>18</v>
      </c>
      <c r="AN291" s="21">
        <v>11</v>
      </c>
      <c r="AO291" s="21">
        <v>14</v>
      </c>
      <c r="AP291" s="21">
        <v>10</v>
      </c>
      <c r="AQ291" s="21">
        <v>15</v>
      </c>
      <c r="AR291" s="21">
        <v>10</v>
      </c>
      <c r="AS291" s="21">
        <v>7</v>
      </c>
      <c r="AT291" s="12" t="str">
        <f>HYPERLINK("http://www.openstreetmap.org/?mlat=33.3688&amp;mlon=44.3575&amp;zoom=12#map=12/33.3688/44.3575","Maplink1")</f>
        <v>Maplink1</v>
      </c>
      <c r="AU291" s="12" t="str">
        <f>HYPERLINK("https://www.google.iq/maps/search/+33.3688,44.3575/@33.3688,44.3575,14z?hl=en","Maplink2")</f>
        <v>Maplink2</v>
      </c>
      <c r="AV291" s="12" t="str">
        <f>HYPERLINK("http://www.bing.com/maps/?lvl=14&amp;sty=h&amp;cp=33.3688~44.3575&amp;sp=point.33.3688_44.3575","Maplink3")</f>
        <v>Maplink3</v>
      </c>
    </row>
    <row r="292" spans="1:48" ht="15" customHeight="1" x14ac:dyDescent="0.25">
      <c r="A292" s="19">
        <v>23646</v>
      </c>
      <c r="B292" s="20" t="s">
        <v>11</v>
      </c>
      <c r="C292" s="20" t="s">
        <v>597</v>
      </c>
      <c r="D292" s="20" t="s">
        <v>604</v>
      </c>
      <c r="E292" s="20" t="s">
        <v>605</v>
      </c>
      <c r="F292" s="20">
        <v>33.376857630000003</v>
      </c>
      <c r="G292" s="20">
        <v>44.36213163</v>
      </c>
      <c r="H292" s="22">
        <v>110</v>
      </c>
      <c r="I292" s="22">
        <v>660</v>
      </c>
      <c r="J292" s="21">
        <v>63</v>
      </c>
      <c r="K292" s="21"/>
      <c r="L292" s="21"/>
      <c r="M292" s="21"/>
      <c r="N292" s="21"/>
      <c r="O292" s="21"/>
      <c r="P292" s="21"/>
      <c r="Q292" s="21"/>
      <c r="R292" s="21">
        <v>5</v>
      </c>
      <c r="S292" s="21"/>
      <c r="T292" s="21"/>
      <c r="U292" s="21"/>
      <c r="V292" s="21">
        <v>28</v>
      </c>
      <c r="W292" s="21"/>
      <c r="X292" s="21">
        <v>14</v>
      </c>
      <c r="Y292" s="21"/>
      <c r="Z292" s="21"/>
      <c r="AA292" s="21"/>
      <c r="AB292" s="21"/>
      <c r="AC292" s="21">
        <v>49</v>
      </c>
      <c r="AD292" s="21"/>
      <c r="AE292" s="21"/>
      <c r="AF292" s="21"/>
      <c r="AG292" s="21"/>
      <c r="AH292" s="21">
        <v>61</v>
      </c>
      <c r="AI292" s="21"/>
      <c r="AJ292" s="21"/>
      <c r="AK292" s="21"/>
      <c r="AL292" s="21">
        <v>7</v>
      </c>
      <c r="AM292" s="21">
        <v>22</v>
      </c>
      <c r="AN292" s="21">
        <v>29</v>
      </c>
      <c r="AO292" s="21">
        <v>16</v>
      </c>
      <c r="AP292" s="21">
        <v>18</v>
      </c>
      <c r="AQ292" s="21">
        <v>6</v>
      </c>
      <c r="AR292" s="21">
        <v>12</v>
      </c>
      <c r="AS292" s="21"/>
      <c r="AT292" s="12" t="str">
        <f>HYPERLINK("http://www.openstreetmap.org/?mlat=33.3769&amp;mlon=44.3621&amp;zoom=12#map=12/33.3769/44.3621","Maplink1")</f>
        <v>Maplink1</v>
      </c>
      <c r="AU292" s="12" t="str">
        <f>HYPERLINK("https://www.google.iq/maps/search/+33.3769,44.3621/@33.3769,44.3621,14z?hl=en","Maplink2")</f>
        <v>Maplink2</v>
      </c>
      <c r="AV292" s="12" t="str">
        <f>HYPERLINK("http://www.bing.com/maps/?lvl=14&amp;sty=h&amp;cp=33.3769~44.3621&amp;sp=point.33.3769_44.3621","Maplink3")</f>
        <v>Maplink3</v>
      </c>
    </row>
    <row r="293" spans="1:48" ht="15" customHeight="1" x14ac:dyDescent="0.25">
      <c r="A293" s="19">
        <v>23728</v>
      </c>
      <c r="B293" s="20" t="s">
        <v>11</v>
      </c>
      <c r="C293" s="20" t="s">
        <v>597</v>
      </c>
      <c r="D293" s="20" t="s">
        <v>606</v>
      </c>
      <c r="E293" s="20" t="s">
        <v>607</v>
      </c>
      <c r="F293" s="20">
        <v>33.36205666</v>
      </c>
      <c r="G293" s="20">
        <v>44.353814720000003</v>
      </c>
      <c r="H293" s="22">
        <v>26</v>
      </c>
      <c r="I293" s="22">
        <v>156</v>
      </c>
      <c r="J293" s="21">
        <v>8</v>
      </c>
      <c r="K293" s="21"/>
      <c r="L293" s="21"/>
      <c r="M293" s="21"/>
      <c r="N293" s="21"/>
      <c r="O293" s="21">
        <v>3</v>
      </c>
      <c r="P293" s="21"/>
      <c r="Q293" s="21"/>
      <c r="R293" s="21"/>
      <c r="S293" s="21"/>
      <c r="T293" s="21"/>
      <c r="U293" s="21"/>
      <c r="V293" s="21">
        <v>10</v>
      </c>
      <c r="W293" s="21"/>
      <c r="X293" s="21">
        <v>5</v>
      </c>
      <c r="Y293" s="21"/>
      <c r="Z293" s="21"/>
      <c r="AA293" s="21"/>
      <c r="AB293" s="21"/>
      <c r="AC293" s="21">
        <v>9</v>
      </c>
      <c r="AD293" s="21"/>
      <c r="AE293" s="21">
        <v>7</v>
      </c>
      <c r="AF293" s="21"/>
      <c r="AG293" s="21"/>
      <c r="AH293" s="21">
        <v>10</v>
      </c>
      <c r="AI293" s="21"/>
      <c r="AJ293" s="21"/>
      <c r="AK293" s="21"/>
      <c r="AL293" s="21"/>
      <c r="AM293" s="21">
        <v>6</v>
      </c>
      <c r="AN293" s="21">
        <v>4</v>
      </c>
      <c r="AO293" s="21">
        <v>5</v>
      </c>
      <c r="AP293" s="21"/>
      <c r="AQ293" s="21">
        <v>7</v>
      </c>
      <c r="AR293" s="21">
        <v>4</v>
      </c>
      <c r="AS293" s="21"/>
      <c r="AT293" s="12" t="str">
        <f>HYPERLINK("http://www.openstreetmap.org/?mlat=33.3621&amp;mlon=44.3538&amp;zoom=12#map=12/33.3621/44.3538","Maplink1")</f>
        <v>Maplink1</v>
      </c>
      <c r="AU293" s="12" t="str">
        <f>HYPERLINK("https://www.google.iq/maps/search/+33.3621,44.3538/@33.3621,44.3538,14z?hl=en","Maplink2")</f>
        <v>Maplink2</v>
      </c>
      <c r="AV293" s="12" t="str">
        <f>HYPERLINK("http://www.bing.com/maps/?lvl=14&amp;sty=h&amp;cp=33.3621~44.3538&amp;sp=point.33.3621_44.3538","Maplink3")</f>
        <v>Maplink3</v>
      </c>
    </row>
    <row r="294" spans="1:48" ht="15" customHeight="1" x14ac:dyDescent="0.25">
      <c r="A294" s="19">
        <v>27192</v>
      </c>
      <c r="B294" s="20" t="s">
        <v>11</v>
      </c>
      <c r="C294" s="20" t="s">
        <v>597</v>
      </c>
      <c r="D294" s="20" t="s">
        <v>608</v>
      </c>
      <c r="E294" s="20" t="s">
        <v>609</v>
      </c>
      <c r="F294" s="20">
        <v>33.533329999999999</v>
      </c>
      <c r="G294" s="20">
        <v>44.345939999999999</v>
      </c>
      <c r="H294" s="22">
        <v>2</v>
      </c>
      <c r="I294" s="22">
        <v>12</v>
      </c>
      <c r="J294" s="21">
        <v>2</v>
      </c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>
        <v>2</v>
      </c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>
        <v>2</v>
      </c>
      <c r="AQ294" s="21"/>
      <c r="AR294" s="21"/>
      <c r="AS294" s="21"/>
      <c r="AT294" s="12" t="str">
        <f>HYPERLINK("http://www.openstreetmap.org/?mlat=33.5333&amp;mlon=44.3459&amp;zoom=12#map=12/33.5333/44.3459","Maplink1")</f>
        <v>Maplink1</v>
      </c>
      <c r="AU294" s="12" t="str">
        <f>HYPERLINK("https://www.google.iq/maps/search/+33.5333,44.3459/@33.5333,44.3459,14z?hl=en","Maplink2")</f>
        <v>Maplink2</v>
      </c>
      <c r="AV294" s="12" t="str">
        <f>HYPERLINK("http://www.bing.com/maps/?lvl=14&amp;sty=h&amp;cp=33.5333~44.3459&amp;sp=point.33.5333_44.3459","Maplink3")</f>
        <v>Maplink3</v>
      </c>
    </row>
    <row r="295" spans="1:48" ht="15" customHeight="1" x14ac:dyDescent="0.25">
      <c r="A295" s="19">
        <v>24175</v>
      </c>
      <c r="B295" s="20" t="s">
        <v>11</v>
      </c>
      <c r="C295" s="20" t="s">
        <v>597</v>
      </c>
      <c r="D295" s="20" t="s">
        <v>611</v>
      </c>
      <c r="E295" s="20" t="s">
        <v>612</v>
      </c>
      <c r="F295" s="20">
        <v>33.411193140000002</v>
      </c>
      <c r="G295" s="20">
        <v>44.37744429</v>
      </c>
      <c r="H295" s="22">
        <v>4</v>
      </c>
      <c r="I295" s="22">
        <v>24</v>
      </c>
      <c r="J295" s="21">
        <v>1</v>
      </c>
      <c r="K295" s="21"/>
      <c r="L295" s="21"/>
      <c r="M295" s="21"/>
      <c r="N295" s="21"/>
      <c r="O295" s="21">
        <v>1</v>
      </c>
      <c r="P295" s="21"/>
      <c r="Q295" s="21"/>
      <c r="R295" s="21"/>
      <c r="S295" s="21"/>
      <c r="T295" s="21"/>
      <c r="U295" s="21"/>
      <c r="V295" s="21">
        <v>2</v>
      </c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>
        <v>4</v>
      </c>
      <c r="AI295" s="21"/>
      <c r="AJ295" s="21"/>
      <c r="AK295" s="21"/>
      <c r="AL295" s="21"/>
      <c r="AM295" s="21">
        <v>4</v>
      </c>
      <c r="AN295" s="21"/>
      <c r="AO295" s="21"/>
      <c r="AP295" s="21"/>
      <c r="AQ295" s="21"/>
      <c r="AR295" s="21"/>
      <c r="AS295" s="21"/>
      <c r="AT295" s="12" t="str">
        <f>HYPERLINK("http://www.openstreetmap.org/?mlat=33.4112&amp;mlon=44.3774&amp;zoom=12#map=12/33.4112/44.3774","Maplink1")</f>
        <v>Maplink1</v>
      </c>
      <c r="AU295" s="12" t="str">
        <f>HYPERLINK("https://www.google.iq/maps/search/+33.4112,44.3774/@33.4112,44.3774,14z?hl=en","Maplink2")</f>
        <v>Maplink2</v>
      </c>
      <c r="AV295" s="12" t="str">
        <f>HYPERLINK("http://www.bing.com/maps/?lvl=14&amp;sty=h&amp;cp=33.4112~44.3774&amp;sp=point.33.4112_44.3774","Maplink3")</f>
        <v>Maplink3</v>
      </c>
    </row>
    <row r="296" spans="1:48" ht="15" customHeight="1" x14ac:dyDescent="0.25">
      <c r="A296" s="19">
        <v>22612</v>
      </c>
      <c r="B296" s="20" t="s">
        <v>11</v>
      </c>
      <c r="C296" s="20" t="s">
        <v>597</v>
      </c>
      <c r="D296" s="20" t="s">
        <v>613</v>
      </c>
      <c r="E296" s="20" t="s">
        <v>614</v>
      </c>
      <c r="F296" s="20">
        <v>33.411913949999999</v>
      </c>
      <c r="G296" s="20">
        <v>44.380905660000003</v>
      </c>
      <c r="H296" s="22">
        <v>2</v>
      </c>
      <c r="I296" s="22">
        <v>12</v>
      </c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>
        <v>1</v>
      </c>
      <c r="W296" s="21"/>
      <c r="X296" s="21">
        <v>1</v>
      </c>
      <c r="Y296" s="21"/>
      <c r="Z296" s="21"/>
      <c r="AA296" s="21"/>
      <c r="AB296" s="21"/>
      <c r="AC296" s="21"/>
      <c r="AD296" s="21"/>
      <c r="AE296" s="21"/>
      <c r="AF296" s="21"/>
      <c r="AG296" s="21"/>
      <c r="AH296" s="21">
        <v>2</v>
      </c>
      <c r="AI296" s="21"/>
      <c r="AJ296" s="21"/>
      <c r="AK296" s="21"/>
      <c r="AL296" s="21"/>
      <c r="AM296" s="21">
        <v>1</v>
      </c>
      <c r="AN296" s="21"/>
      <c r="AO296" s="21">
        <v>1</v>
      </c>
      <c r="AP296" s="21"/>
      <c r="AQ296" s="21"/>
      <c r="AR296" s="21"/>
      <c r="AS296" s="21"/>
      <c r="AT296" s="12" t="str">
        <f>HYPERLINK("http://www.openstreetmap.org/?mlat=33.4119&amp;mlon=44.3809&amp;zoom=12#map=12/33.4119/44.3809","Maplink1")</f>
        <v>Maplink1</v>
      </c>
      <c r="AU296" s="12" t="str">
        <f>HYPERLINK("https://www.google.iq/maps/search/+33.4119,44.3809/@33.4119,44.3809,14z?hl=en","Maplink2")</f>
        <v>Maplink2</v>
      </c>
      <c r="AV296" s="12" t="str">
        <f>HYPERLINK("http://www.bing.com/maps/?lvl=14&amp;sty=h&amp;cp=33.4119~44.3809&amp;sp=point.33.4119_44.3809","Maplink3")</f>
        <v>Maplink3</v>
      </c>
    </row>
    <row r="297" spans="1:48" ht="15" customHeight="1" x14ac:dyDescent="0.25">
      <c r="A297" s="19">
        <v>22696</v>
      </c>
      <c r="B297" s="20" t="s">
        <v>11</v>
      </c>
      <c r="C297" s="20" t="s">
        <v>597</v>
      </c>
      <c r="D297" s="20" t="s">
        <v>615</v>
      </c>
      <c r="E297" s="20" t="s">
        <v>616</v>
      </c>
      <c r="F297" s="20">
        <v>33.42687471</v>
      </c>
      <c r="G297" s="20">
        <v>44.379967630000003</v>
      </c>
      <c r="H297" s="22">
        <v>4</v>
      </c>
      <c r="I297" s="22">
        <v>24</v>
      </c>
      <c r="J297" s="21"/>
      <c r="K297" s="21">
        <v>3</v>
      </c>
      <c r="L297" s="21"/>
      <c r="M297" s="21"/>
      <c r="N297" s="21"/>
      <c r="O297" s="21">
        <v>1</v>
      </c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>
        <v>4</v>
      </c>
      <c r="AI297" s="21"/>
      <c r="AJ297" s="21"/>
      <c r="AK297" s="21"/>
      <c r="AL297" s="21"/>
      <c r="AM297" s="21"/>
      <c r="AN297" s="21">
        <v>1</v>
      </c>
      <c r="AO297" s="21">
        <v>3</v>
      </c>
      <c r="AP297" s="21"/>
      <c r="AQ297" s="21"/>
      <c r="AR297" s="21"/>
      <c r="AS297" s="21"/>
      <c r="AT297" s="12" t="str">
        <f>HYPERLINK("http://www.openstreetmap.org/?mlat=33.4269&amp;mlon=44.38&amp;zoom=12#map=12/33.4269/44.38","Maplink1")</f>
        <v>Maplink1</v>
      </c>
      <c r="AU297" s="12" t="str">
        <f>HYPERLINK("https://www.google.iq/maps/search/+33.4269,44.38/@33.4269,44.38,14z?hl=en","Maplink2")</f>
        <v>Maplink2</v>
      </c>
      <c r="AV297" s="12" t="str">
        <f>HYPERLINK("http://www.bing.com/maps/?lvl=14&amp;sty=h&amp;cp=33.4269~44.38&amp;sp=point.33.4269_44.38","Maplink3")</f>
        <v>Maplink3</v>
      </c>
    </row>
    <row r="298" spans="1:48" ht="15" customHeight="1" x14ac:dyDescent="0.25">
      <c r="A298" s="19">
        <v>24173</v>
      </c>
      <c r="B298" s="20" t="s">
        <v>11</v>
      </c>
      <c r="C298" s="20" t="s">
        <v>597</v>
      </c>
      <c r="D298" s="20" t="s">
        <v>617</v>
      </c>
      <c r="E298" s="20" t="s">
        <v>618</v>
      </c>
      <c r="F298" s="20">
        <v>33.433089209999999</v>
      </c>
      <c r="G298" s="20">
        <v>44.379268099999997</v>
      </c>
      <c r="H298" s="22">
        <v>10</v>
      </c>
      <c r="I298" s="22">
        <v>60</v>
      </c>
      <c r="J298" s="21">
        <v>3</v>
      </c>
      <c r="K298" s="21">
        <v>1</v>
      </c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>
        <v>2</v>
      </c>
      <c r="W298" s="21"/>
      <c r="X298" s="21">
        <v>4</v>
      </c>
      <c r="Y298" s="21"/>
      <c r="Z298" s="21"/>
      <c r="AA298" s="21"/>
      <c r="AB298" s="21"/>
      <c r="AC298" s="21"/>
      <c r="AD298" s="21"/>
      <c r="AE298" s="21"/>
      <c r="AF298" s="21"/>
      <c r="AG298" s="21"/>
      <c r="AH298" s="21">
        <v>10</v>
      </c>
      <c r="AI298" s="21"/>
      <c r="AJ298" s="21"/>
      <c r="AK298" s="21"/>
      <c r="AL298" s="21"/>
      <c r="AM298" s="21">
        <v>2</v>
      </c>
      <c r="AN298" s="21"/>
      <c r="AO298" s="21">
        <v>5</v>
      </c>
      <c r="AP298" s="21"/>
      <c r="AQ298" s="21">
        <v>3</v>
      </c>
      <c r="AR298" s="21"/>
      <c r="AS298" s="21"/>
      <c r="AT298" s="12" t="str">
        <f>HYPERLINK("http://www.openstreetmap.org/?mlat=33.4331&amp;mlon=44.3793&amp;zoom=12#map=12/33.4331/44.3793","Maplink1")</f>
        <v>Maplink1</v>
      </c>
      <c r="AU298" s="12" t="str">
        <f>HYPERLINK("https://www.google.iq/maps/search/+33.4331,44.3793/@33.4331,44.3793,14z?hl=en","Maplink2")</f>
        <v>Maplink2</v>
      </c>
      <c r="AV298" s="12" t="str">
        <f>HYPERLINK("http://www.bing.com/maps/?lvl=14&amp;sty=h&amp;cp=33.4331~44.3793&amp;sp=point.33.4331_44.3793","Maplink3")</f>
        <v>Maplink3</v>
      </c>
    </row>
    <row r="299" spans="1:48" ht="15" customHeight="1" x14ac:dyDescent="0.25">
      <c r="A299" s="19">
        <v>23732</v>
      </c>
      <c r="B299" s="20" t="s">
        <v>11</v>
      </c>
      <c r="C299" s="20" t="s">
        <v>597</v>
      </c>
      <c r="D299" s="20" t="s">
        <v>619</v>
      </c>
      <c r="E299" s="20" t="s">
        <v>620</v>
      </c>
      <c r="F299" s="20">
        <v>33.395223238200003</v>
      </c>
      <c r="G299" s="20">
        <v>44.3922503398</v>
      </c>
      <c r="H299" s="22">
        <v>8</v>
      </c>
      <c r="I299" s="22">
        <v>48</v>
      </c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>
        <v>8</v>
      </c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>
        <v>8</v>
      </c>
      <c r="AI299" s="21"/>
      <c r="AJ299" s="21"/>
      <c r="AK299" s="21"/>
      <c r="AL299" s="21"/>
      <c r="AM299" s="21">
        <v>3</v>
      </c>
      <c r="AN299" s="21">
        <v>5</v>
      </c>
      <c r="AO299" s="21"/>
      <c r="AP299" s="21"/>
      <c r="AQ299" s="21"/>
      <c r="AR299" s="21"/>
      <c r="AS299" s="21"/>
      <c r="AT299" s="12" t="str">
        <f>HYPERLINK("http://www.openstreetmap.org/?mlat=33.3952&amp;mlon=44.3923&amp;zoom=12#map=12/33.3952/44.3923","Maplink1")</f>
        <v>Maplink1</v>
      </c>
      <c r="AU299" s="12" t="str">
        <f>HYPERLINK("https://www.google.iq/maps/search/+33.3952,44.3923/@33.3952,44.3923,14z?hl=en","Maplink2")</f>
        <v>Maplink2</v>
      </c>
      <c r="AV299" s="12" t="str">
        <f>HYPERLINK("http://www.bing.com/maps/?lvl=14&amp;sty=h&amp;cp=33.3952~44.3923&amp;sp=point.33.3952_44.3923","Maplink3")</f>
        <v>Maplink3</v>
      </c>
    </row>
    <row r="300" spans="1:48" ht="15" customHeight="1" x14ac:dyDescent="0.25">
      <c r="A300" s="19">
        <v>27117</v>
      </c>
      <c r="B300" s="20" t="s">
        <v>11</v>
      </c>
      <c r="C300" s="20" t="s">
        <v>597</v>
      </c>
      <c r="D300" s="20" t="s">
        <v>621</v>
      </c>
      <c r="E300" s="20" t="s">
        <v>622</v>
      </c>
      <c r="F300" s="20">
        <v>33.39147595</v>
      </c>
      <c r="G300" s="20">
        <v>44.396469310000001</v>
      </c>
      <c r="H300" s="22">
        <v>4</v>
      </c>
      <c r="I300" s="22">
        <v>24</v>
      </c>
      <c r="J300" s="21">
        <v>1</v>
      </c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>
        <v>3</v>
      </c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>
        <v>4</v>
      </c>
      <c r="AI300" s="21"/>
      <c r="AJ300" s="21"/>
      <c r="AK300" s="21"/>
      <c r="AL300" s="21"/>
      <c r="AM300" s="21">
        <v>2</v>
      </c>
      <c r="AN300" s="21">
        <v>2</v>
      </c>
      <c r="AO300" s="21"/>
      <c r="AP300" s="21"/>
      <c r="AQ300" s="21"/>
      <c r="AR300" s="21"/>
      <c r="AS300" s="21"/>
      <c r="AT300" s="12" t="str">
        <f>HYPERLINK("http://www.openstreetmap.org/?mlat=33.3915&amp;mlon=44.3965&amp;zoom=12#map=12/33.3915/44.3965","Maplink1")</f>
        <v>Maplink1</v>
      </c>
      <c r="AU300" s="12" t="str">
        <f>HYPERLINK("https://www.google.iq/maps/search/+33.3915,44.3965/@33.3915,44.3965,14z?hl=en","Maplink2")</f>
        <v>Maplink2</v>
      </c>
      <c r="AV300" s="12" t="str">
        <f>HYPERLINK("http://www.bing.com/maps/?lvl=14&amp;sty=h&amp;cp=33.3915~44.3965&amp;sp=point.33.3915_44.3965","Maplink3")</f>
        <v>Maplink3</v>
      </c>
    </row>
    <row r="301" spans="1:48" ht="15" customHeight="1" x14ac:dyDescent="0.25">
      <c r="A301" s="19">
        <v>24030</v>
      </c>
      <c r="B301" s="20" t="s">
        <v>11</v>
      </c>
      <c r="C301" s="20" t="s">
        <v>597</v>
      </c>
      <c r="D301" s="20" t="s">
        <v>623</v>
      </c>
      <c r="E301" s="20" t="s">
        <v>624</v>
      </c>
      <c r="F301" s="20">
        <v>33.380502718800003</v>
      </c>
      <c r="G301" s="20">
        <v>44.411506836000001</v>
      </c>
      <c r="H301" s="22">
        <v>3</v>
      </c>
      <c r="I301" s="22">
        <v>18</v>
      </c>
      <c r="J301" s="21">
        <v>1</v>
      </c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>
        <v>2</v>
      </c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>
        <v>3</v>
      </c>
      <c r="AI301" s="21"/>
      <c r="AJ301" s="21"/>
      <c r="AK301" s="21"/>
      <c r="AL301" s="21"/>
      <c r="AM301" s="21"/>
      <c r="AN301" s="21">
        <v>3</v>
      </c>
      <c r="AO301" s="21"/>
      <c r="AP301" s="21"/>
      <c r="AQ301" s="21"/>
      <c r="AR301" s="21"/>
      <c r="AS301" s="21"/>
      <c r="AT301" s="12" t="str">
        <f>HYPERLINK("http://www.openstreetmap.org/?mlat=33.3805&amp;mlon=44.4115&amp;zoom=12#map=12/33.3805/44.4115","Maplink1")</f>
        <v>Maplink1</v>
      </c>
      <c r="AU301" s="12" t="str">
        <f>HYPERLINK("https://www.google.iq/maps/search/+33.3805,44.4115/@33.3805,44.4115,14z?hl=en","Maplink2")</f>
        <v>Maplink2</v>
      </c>
      <c r="AV301" s="12" t="str">
        <f>HYPERLINK("http://www.bing.com/maps/?lvl=14&amp;sty=h&amp;cp=33.3805~44.4115&amp;sp=point.33.3805_44.4115","Maplink3")</f>
        <v>Maplink3</v>
      </c>
    </row>
    <row r="302" spans="1:48" ht="15" customHeight="1" x14ac:dyDescent="0.25">
      <c r="A302" s="19">
        <v>21171</v>
      </c>
      <c r="B302" s="20" t="s">
        <v>11</v>
      </c>
      <c r="C302" s="20" t="s">
        <v>597</v>
      </c>
      <c r="D302" s="20" t="s">
        <v>625</v>
      </c>
      <c r="E302" s="20" t="s">
        <v>626</v>
      </c>
      <c r="F302" s="20">
        <v>33.539210599999997</v>
      </c>
      <c r="G302" s="20">
        <v>44.320929040000003</v>
      </c>
      <c r="H302" s="22">
        <v>2</v>
      </c>
      <c r="I302" s="22">
        <v>12</v>
      </c>
      <c r="J302" s="21"/>
      <c r="K302" s="21"/>
      <c r="L302" s="21"/>
      <c r="M302" s="21"/>
      <c r="N302" s="21"/>
      <c r="O302" s="21">
        <v>2</v>
      </c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>
        <v>2</v>
      </c>
      <c r="AI302" s="21"/>
      <c r="AJ302" s="21"/>
      <c r="AK302" s="21"/>
      <c r="AL302" s="21"/>
      <c r="AM302" s="21"/>
      <c r="AN302" s="21"/>
      <c r="AO302" s="21">
        <v>2</v>
      </c>
      <c r="AP302" s="21"/>
      <c r="AQ302" s="21"/>
      <c r="AR302" s="21"/>
      <c r="AS302" s="21"/>
      <c r="AT302" s="12" t="str">
        <f>HYPERLINK("http://www.openstreetmap.org/?mlat=33.5392&amp;mlon=44.3209&amp;zoom=12#map=12/33.5392/44.3209","Maplink1")</f>
        <v>Maplink1</v>
      </c>
      <c r="AU302" s="12" t="str">
        <f>HYPERLINK("https://www.google.iq/maps/search/+33.5392,44.3209/@33.5392,44.3209,14z?hl=en","Maplink2")</f>
        <v>Maplink2</v>
      </c>
      <c r="AV302" s="12" t="str">
        <f>HYPERLINK("http://www.bing.com/maps/?lvl=14&amp;sty=h&amp;cp=33.5392~44.3209&amp;sp=point.33.5392_44.3209","Maplink3")</f>
        <v>Maplink3</v>
      </c>
    </row>
    <row r="303" spans="1:48" ht="15" customHeight="1" x14ac:dyDescent="0.25">
      <c r="A303" s="19">
        <v>24991</v>
      </c>
      <c r="B303" s="20" t="s">
        <v>11</v>
      </c>
      <c r="C303" s="20" t="s">
        <v>597</v>
      </c>
      <c r="D303" s="20" t="s">
        <v>627</v>
      </c>
      <c r="E303" s="20" t="s">
        <v>628</v>
      </c>
      <c r="F303" s="20">
        <v>33.461005779499999</v>
      </c>
      <c r="G303" s="20">
        <v>44.347488580899999</v>
      </c>
      <c r="H303" s="22">
        <v>4</v>
      </c>
      <c r="I303" s="22">
        <v>24</v>
      </c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>
        <v>4</v>
      </c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>
        <v>4</v>
      </c>
      <c r="AI303" s="21"/>
      <c r="AJ303" s="21"/>
      <c r="AK303" s="21"/>
      <c r="AL303" s="21"/>
      <c r="AM303" s="21">
        <v>4</v>
      </c>
      <c r="AN303" s="21"/>
      <c r="AO303" s="21"/>
      <c r="AP303" s="21"/>
      <c r="AQ303" s="21"/>
      <c r="AR303" s="21"/>
      <c r="AS303" s="21"/>
      <c r="AT303" s="12" t="str">
        <f>HYPERLINK("http://www.openstreetmap.org/?mlat=33.461&amp;mlon=44.3475&amp;zoom=12#map=12/33.461/44.3475","Maplink1")</f>
        <v>Maplink1</v>
      </c>
      <c r="AU303" s="12" t="str">
        <f>HYPERLINK("https://www.google.iq/maps/search/+33.461,44.3475/@33.461,44.3475,14z?hl=en","Maplink2")</f>
        <v>Maplink2</v>
      </c>
      <c r="AV303" s="12" t="str">
        <f>HYPERLINK("http://www.bing.com/maps/?lvl=14&amp;sty=h&amp;cp=33.461~44.3475&amp;sp=point.33.461_44.3475","Maplink3")</f>
        <v>Maplink3</v>
      </c>
    </row>
    <row r="304" spans="1:48" ht="15" customHeight="1" x14ac:dyDescent="0.25">
      <c r="A304" s="19">
        <v>24990</v>
      </c>
      <c r="B304" s="20" t="s">
        <v>11</v>
      </c>
      <c r="C304" s="20" t="s">
        <v>597</v>
      </c>
      <c r="D304" s="20" t="s">
        <v>629</v>
      </c>
      <c r="E304" s="20" t="s">
        <v>630</v>
      </c>
      <c r="F304" s="20">
        <v>33.45523206</v>
      </c>
      <c r="G304" s="20">
        <v>44.345119050000001</v>
      </c>
      <c r="H304" s="22">
        <v>5</v>
      </c>
      <c r="I304" s="22">
        <v>30</v>
      </c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>
        <v>5</v>
      </c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>
        <v>5</v>
      </c>
      <c r="AI304" s="21"/>
      <c r="AJ304" s="21"/>
      <c r="AK304" s="21"/>
      <c r="AL304" s="21"/>
      <c r="AM304" s="21">
        <v>5</v>
      </c>
      <c r="AN304" s="21"/>
      <c r="AO304" s="21"/>
      <c r="AP304" s="21"/>
      <c r="AQ304" s="21"/>
      <c r="AR304" s="21"/>
      <c r="AS304" s="21"/>
      <c r="AT304" s="12" t="str">
        <f>HYPERLINK("http://www.openstreetmap.org/?mlat=33.4552&amp;mlon=44.3451&amp;zoom=12#map=12/33.4552/44.3451","Maplink1")</f>
        <v>Maplink1</v>
      </c>
      <c r="AU304" s="12" t="str">
        <f>HYPERLINK("https://www.google.iq/maps/search/+33.4552,44.3451/@33.4552,44.3451,14z?hl=en","Maplink2")</f>
        <v>Maplink2</v>
      </c>
      <c r="AV304" s="12" t="str">
        <f>HYPERLINK("http://www.bing.com/maps/?lvl=14&amp;sty=h&amp;cp=33.4552~44.3451&amp;sp=point.33.4552_44.3451","Maplink3")</f>
        <v>Maplink3</v>
      </c>
    </row>
    <row r="305" spans="1:48" ht="15" customHeight="1" x14ac:dyDescent="0.25">
      <c r="A305" s="19">
        <v>22004</v>
      </c>
      <c r="B305" s="20" t="s">
        <v>11</v>
      </c>
      <c r="C305" s="20" t="s">
        <v>597</v>
      </c>
      <c r="D305" s="20" t="s">
        <v>631</v>
      </c>
      <c r="E305" s="20" t="s">
        <v>632</v>
      </c>
      <c r="F305" s="20">
        <v>33.554431697799998</v>
      </c>
      <c r="G305" s="20">
        <v>44.395267597199997</v>
      </c>
      <c r="H305" s="22">
        <v>8</v>
      </c>
      <c r="I305" s="22">
        <v>48</v>
      </c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>
        <v>1</v>
      </c>
      <c r="W305" s="21"/>
      <c r="X305" s="21">
        <v>7</v>
      </c>
      <c r="Y305" s="21"/>
      <c r="Z305" s="21"/>
      <c r="AA305" s="21"/>
      <c r="AB305" s="21"/>
      <c r="AC305" s="21">
        <v>3</v>
      </c>
      <c r="AD305" s="21"/>
      <c r="AE305" s="21"/>
      <c r="AF305" s="21"/>
      <c r="AG305" s="21"/>
      <c r="AH305" s="21">
        <v>5</v>
      </c>
      <c r="AI305" s="21"/>
      <c r="AJ305" s="21"/>
      <c r="AK305" s="21"/>
      <c r="AL305" s="21"/>
      <c r="AM305" s="21"/>
      <c r="AN305" s="21">
        <v>1</v>
      </c>
      <c r="AO305" s="21">
        <v>7</v>
      </c>
      <c r="AP305" s="21"/>
      <c r="AQ305" s="21"/>
      <c r="AR305" s="21"/>
      <c r="AS305" s="21"/>
      <c r="AT305" s="12" t="str">
        <f>HYPERLINK("http://www.openstreetmap.org/?mlat=33.5544&amp;mlon=44.3953&amp;zoom=12#map=12/33.5544/44.3953","Maplink1")</f>
        <v>Maplink1</v>
      </c>
      <c r="AU305" s="12" t="str">
        <f>HYPERLINK("https://www.google.iq/maps/search/+33.5544,44.3953/@33.5544,44.3953,14z?hl=en","Maplink2")</f>
        <v>Maplink2</v>
      </c>
      <c r="AV305" s="12" t="str">
        <f>HYPERLINK("http://www.bing.com/maps/?lvl=14&amp;sty=h&amp;cp=33.5544~44.3953&amp;sp=point.33.5544_44.3953","Maplink3")</f>
        <v>Maplink3</v>
      </c>
    </row>
    <row r="306" spans="1:48" ht="15" customHeight="1" x14ac:dyDescent="0.25">
      <c r="A306" s="19">
        <v>22005</v>
      </c>
      <c r="B306" s="20" t="s">
        <v>11</v>
      </c>
      <c r="C306" s="20" t="s">
        <v>597</v>
      </c>
      <c r="D306" s="20" t="s">
        <v>633</v>
      </c>
      <c r="E306" s="20" t="s">
        <v>634</v>
      </c>
      <c r="F306" s="20">
        <v>33.545859</v>
      </c>
      <c r="G306" s="20">
        <v>44.391705999999999</v>
      </c>
      <c r="H306" s="22">
        <v>10</v>
      </c>
      <c r="I306" s="22">
        <v>60</v>
      </c>
      <c r="J306" s="21"/>
      <c r="K306" s="21"/>
      <c r="L306" s="21"/>
      <c r="M306" s="21"/>
      <c r="N306" s="21"/>
      <c r="O306" s="21">
        <v>3</v>
      </c>
      <c r="P306" s="21"/>
      <c r="Q306" s="21"/>
      <c r="R306" s="21"/>
      <c r="S306" s="21"/>
      <c r="T306" s="21"/>
      <c r="U306" s="21"/>
      <c r="V306" s="21">
        <v>7</v>
      </c>
      <c r="W306" s="21"/>
      <c r="X306" s="21"/>
      <c r="Y306" s="21"/>
      <c r="Z306" s="21"/>
      <c r="AA306" s="21"/>
      <c r="AB306" s="21"/>
      <c r="AC306" s="21">
        <v>3</v>
      </c>
      <c r="AD306" s="21"/>
      <c r="AE306" s="21"/>
      <c r="AF306" s="21"/>
      <c r="AG306" s="21"/>
      <c r="AH306" s="21">
        <v>7</v>
      </c>
      <c r="AI306" s="21"/>
      <c r="AJ306" s="21"/>
      <c r="AK306" s="21"/>
      <c r="AL306" s="21"/>
      <c r="AM306" s="21">
        <v>2</v>
      </c>
      <c r="AN306" s="21">
        <v>6</v>
      </c>
      <c r="AO306" s="21">
        <v>2</v>
      </c>
      <c r="AP306" s="21"/>
      <c r="AQ306" s="21"/>
      <c r="AR306" s="21"/>
      <c r="AS306" s="21"/>
      <c r="AT306" s="12" t="str">
        <f>HYPERLINK("http://www.openstreetmap.org/?mlat=33.5459&amp;mlon=44.3917&amp;zoom=12#map=12/33.5459/44.3917","Maplink1")</f>
        <v>Maplink1</v>
      </c>
      <c r="AU306" s="12" t="str">
        <f>HYPERLINK("https://www.google.iq/maps/search/+33.5459,44.3917/@33.5459,44.3917,14z?hl=en","Maplink2")</f>
        <v>Maplink2</v>
      </c>
      <c r="AV306" s="12" t="str">
        <f>HYPERLINK("http://www.bing.com/maps/?lvl=14&amp;sty=h&amp;cp=33.5459~44.3917&amp;sp=point.33.5459_44.3917","Maplink3")</f>
        <v>Maplink3</v>
      </c>
    </row>
    <row r="307" spans="1:48" ht="15" customHeight="1" x14ac:dyDescent="0.25">
      <c r="A307" s="19">
        <v>22032</v>
      </c>
      <c r="B307" s="20" t="s">
        <v>11</v>
      </c>
      <c r="C307" s="20" t="s">
        <v>597</v>
      </c>
      <c r="D307" s="20" t="s">
        <v>635</v>
      </c>
      <c r="E307" s="20" t="s">
        <v>636</v>
      </c>
      <c r="F307" s="20">
        <v>33.542786700000001</v>
      </c>
      <c r="G307" s="20">
        <v>44.421716670000002</v>
      </c>
      <c r="H307" s="22">
        <v>4</v>
      </c>
      <c r="I307" s="22">
        <v>24</v>
      </c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>
        <v>2</v>
      </c>
      <c r="W307" s="21"/>
      <c r="X307" s="21">
        <v>2</v>
      </c>
      <c r="Y307" s="21"/>
      <c r="Z307" s="21"/>
      <c r="AA307" s="21"/>
      <c r="AB307" s="21"/>
      <c r="AC307" s="21"/>
      <c r="AD307" s="21"/>
      <c r="AE307" s="21"/>
      <c r="AF307" s="21"/>
      <c r="AG307" s="21"/>
      <c r="AH307" s="21">
        <v>4</v>
      </c>
      <c r="AI307" s="21"/>
      <c r="AJ307" s="21"/>
      <c r="AK307" s="21"/>
      <c r="AL307" s="21"/>
      <c r="AM307" s="21">
        <v>2</v>
      </c>
      <c r="AN307" s="21"/>
      <c r="AO307" s="21">
        <v>2</v>
      </c>
      <c r="AP307" s="21"/>
      <c r="AQ307" s="21"/>
      <c r="AR307" s="21"/>
      <c r="AS307" s="21"/>
      <c r="AT307" s="12" t="str">
        <f>HYPERLINK("http://www.openstreetmap.org/?mlat=33.5428&amp;mlon=44.4217&amp;zoom=12#map=12/33.5428/44.4217","Maplink1")</f>
        <v>Maplink1</v>
      </c>
      <c r="AU307" s="12" t="str">
        <f>HYPERLINK("https://www.google.iq/maps/search/+33.5428,44.4217/@33.5428,44.4217,14z?hl=en","Maplink2")</f>
        <v>Maplink2</v>
      </c>
      <c r="AV307" s="12" t="str">
        <f>HYPERLINK("http://www.bing.com/maps/?lvl=14&amp;sty=h&amp;cp=33.5428~44.4217&amp;sp=point.33.5428_44.4217","Maplink3")</f>
        <v>Maplink3</v>
      </c>
    </row>
    <row r="308" spans="1:48" ht="15" customHeight="1" x14ac:dyDescent="0.25">
      <c r="A308" s="19">
        <v>22252</v>
      </c>
      <c r="B308" s="20" t="s">
        <v>11</v>
      </c>
      <c r="C308" s="20" t="s">
        <v>597</v>
      </c>
      <c r="D308" s="20" t="s">
        <v>6061</v>
      </c>
      <c r="E308" s="20" t="s">
        <v>6062</v>
      </c>
      <c r="F308" s="20">
        <v>33.54785528</v>
      </c>
      <c r="G308" s="20">
        <v>44.403838159999999</v>
      </c>
      <c r="H308" s="22">
        <v>6</v>
      </c>
      <c r="I308" s="22">
        <v>36</v>
      </c>
      <c r="J308" s="21"/>
      <c r="K308" s="21"/>
      <c r="L308" s="21"/>
      <c r="M308" s="21"/>
      <c r="N308" s="21"/>
      <c r="O308" s="21">
        <v>1</v>
      </c>
      <c r="P308" s="21"/>
      <c r="Q308" s="21"/>
      <c r="R308" s="21"/>
      <c r="S308" s="21"/>
      <c r="T308" s="21"/>
      <c r="U308" s="21"/>
      <c r="V308" s="21">
        <v>4</v>
      </c>
      <c r="W308" s="21"/>
      <c r="X308" s="21">
        <v>1</v>
      </c>
      <c r="Y308" s="21"/>
      <c r="Z308" s="21"/>
      <c r="AA308" s="21"/>
      <c r="AB308" s="21"/>
      <c r="AC308" s="21"/>
      <c r="AD308" s="21"/>
      <c r="AE308" s="21"/>
      <c r="AF308" s="21"/>
      <c r="AG308" s="21"/>
      <c r="AH308" s="21">
        <v>6</v>
      </c>
      <c r="AI308" s="21"/>
      <c r="AJ308" s="21"/>
      <c r="AK308" s="21"/>
      <c r="AL308" s="21"/>
      <c r="AM308" s="21">
        <v>1</v>
      </c>
      <c r="AN308" s="21"/>
      <c r="AO308" s="21">
        <v>5</v>
      </c>
      <c r="AP308" s="21"/>
      <c r="AQ308" s="21"/>
      <c r="AR308" s="21"/>
      <c r="AS308" s="21"/>
      <c r="AT308" s="12" t="str">
        <f>HYPERLINK("http://www.openstreetmap.org/?mlat=33.5479&amp;mlon=44.4038&amp;zoom=12#map=12/33.5479/44.4038","Maplink1")</f>
        <v>Maplink1</v>
      </c>
      <c r="AU308" s="12" t="str">
        <f>HYPERLINK("https://www.google.iq/maps/search/+33.5479,44.4038/@33.5479,44.4038,14z?hl=en","Maplink2")</f>
        <v>Maplink2</v>
      </c>
      <c r="AV308" s="12" t="str">
        <f>HYPERLINK("http://www.bing.com/maps/?lvl=14&amp;sty=h&amp;cp=33.5479~44.4038&amp;sp=point.33.5479_44.4038","Maplink3")</f>
        <v>Maplink3</v>
      </c>
    </row>
    <row r="309" spans="1:48" ht="15" customHeight="1" x14ac:dyDescent="0.25">
      <c r="A309" s="19">
        <v>21907</v>
      </c>
      <c r="B309" s="20" t="s">
        <v>11</v>
      </c>
      <c r="C309" s="20" t="s">
        <v>597</v>
      </c>
      <c r="D309" s="20" t="s">
        <v>6063</v>
      </c>
      <c r="E309" s="20" t="s">
        <v>6064</v>
      </c>
      <c r="F309" s="20">
        <v>33.548985309999999</v>
      </c>
      <c r="G309" s="20">
        <v>44.403644890000002</v>
      </c>
      <c r="H309" s="22">
        <v>4</v>
      </c>
      <c r="I309" s="22">
        <v>24</v>
      </c>
      <c r="J309" s="21"/>
      <c r="K309" s="21">
        <v>2</v>
      </c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>
        <v>2</v>
      </c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>
        <v>4</v>
      </c>
      <c r="AI309" s="21"/>
      <c r="AJ309" s="21"/>
      <c r="AK309" s="21"/>
      <c r="AL309" s="21"/>
      <c r="AM309" s="21">
        <v>2</v>
      </c>
      <c r="AN309" s="21"/>
      <c r="AO309" s="21">
        <v>2</v>
      </c>
      <c r="AP309" s="21"/>
      <c r="AQ309" s="21"/>
      <c r="AR309" s="21"/>
      <c r="AS309" s="21"/>
      <c r="AT309" s="12" t="str">
        <f>HYPERLINK("http://www.openstreetmap.org/?mlat=33.549&amp;mlon=44.4036&amp;zoom=12#map=12/33.549/44.4036","Maplink1")</f>
        <v>Maplink1</v>
      </c>
      <c r="AU309" s="12" t="str">
        <f>HYPERLINK("https://www.google.iq/maps/search/+33.549,44.4036/@33.549,44.4036,14z?hl=en","Maplink2")</f>
        <v>Maplink2</v>
      </c>
      <c r="AV309" s="12" t="str">
        <f>HYPERLINK("http://www.bing.com/maps/?lvl=14&amp;sty=h&amp;cp=33.549~44.4036&amp;sp=point.33.549_44.4036","Maplink3")</f>
        <v>Maplink3</v>
      </c>
    </row>
    <row r="310" spans="1:48" ht="15" customHeight="1" x14ac:dyDescent="0.25">
      <c r="A310" s="19">
        <v>24930</v>
      </c>
      <c r="B310" s="20" t="s">
        <v>11</v>
      </c>
      <c r="C310" s="20" t="s">
        <v>597</v>
      </c>
      <c r="D310" s="20" t="s">
        <v>637</v>
      </c>
      <c r="E310" s="20" t="s">
        <v>638</v>
      </c>
      <c r="F310" s="20">
        <v>33.544996930499998</v>
      </c>
      <c r="G310" s="20">
        <v>44.437342737199998</v>
      </c>
      <c r="H310" s="22">
        <v>3</v>
      </c>
      <c r="I310" s="22">
        <v>18</v>
      </c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>
        <v>3</v>
      </c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>
        <v>3</v>
      </c>
      <c r="AI310" s="21"/>
      <c r="AJ310" s="21"/>
      <c r="AK310" s="21"/>
      <c r="AL310" s="21"/>
      <c r="AM310" s="21"/>
      <c r="AN310" s="21"/>
      <c r="AO310" s="21">
        <v>3</v>
      </c>
      <c r="AP310" s="21"/>
      <c r="AQ310" s="21"/>
      <c r="AR310" s="21"/>
      <c r="AS310" s="21"/>
      <c r="AT310" s="12" t="str">
        <f>HYPERLINK("http://www.openstreetmap.org/?mlat=33.545&amp;mlon=44.4373&amp;zoom=12#map=12/33.545/44.4373","Maplink1")</f>
        <v>Maplink1</v>
      </c>
      <c r="AU310" s="12" t="str">
        <f>HYPERLINK("https://www.google.iq/maps/search/+33.545,44.4373/@33.545,44.4373,14z?hl=en","Maplink2")</f>
        <v>Maplink2</v>
      </c>
      <c r="AV310" s="12" t="str">
        <f>HYPERLINK("http://www.bing.com/maps/?lvl=14&amp;sty=h&amp;cp=33.545~44.4373&amp;sp=point.33.545_44.4373","Maplink3")</f>
        <v>Maplink3</v>
      </c>
    </row>
    <row r="311" spans="1:48" ht="15" customHeight="1" x14ac:dyDescent="0.25">
      <c r="A311" s="19">
        <v>22698</v>
      </c>
      <c r="B311" s="20" t="s">
        <v>11</v>
      </c>
      <c r="C311" s="20" t="s">
        <v>597</v>
      </c>
      <c r="D311" s="20" t="s">
        <v>639</v>
      </c>
      <c r="E311" s="20" t="s">
        <v>640</v>
      </c>
      <c r="F311" s="20">
        <v>33.556711819999997</v>
      </c>
      <c r="G311" s="20">
        <v>44.412538519999998</v>
      </c>
      <c r="H311" s="22">
        <v>5</v>
      </c>
      <c r="I311" s="22">
        <v>30</v>
      </c>
      <c r="J311" s="21">
        <v>1</v>
      </c>
      <c r="K311" s="21"/>
      <c r="L311" s="21"/>
      <c r="M311" s="21"/>
      <c r="N311" s="21"/>
      <c r="O311" s="21">
        <v>2</v>
      </c>
      <c r="P311" s="21"/>
      <c r="Q311" s="21"/>
      <c r="R311" s="21"/>
      <c r="S311" s="21"/>
      <c r="T311" s="21"/>
      <c r="U311" s="21"/>
      <c r="V311" s="21">
        <v>2</v>
      </c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>
        <v>5</v>
      </c>
      <c r="AI311" s="21"/>
      <c r="AJ311" s="21"/>
      <c r="AK311" s="21"/>
      <c r="AL311" s="21"/>
      <c r="AM311" s="21">
        <v>2</v>
      </c>
      <c r="AN311" s="21"/>
      <c r="AO311" s="21">
        <v>2</v>
      </c>
      <c r="AP311" s="21">
        <v>1</v>
      </c>
      <c r="AQ311" s="21"/>
      <c r="AR311" s="21"/>
      <c r="AS311" s="21"/>
      <c r="AT311" s="12" t="str">
        <f>HYPERLINK("http://www.openstreetmap.org/?mlat=33.5567&amp;mlon=44.4125&amp;zoom=12#map=12/33.5567/44.4125","Maplink1")</f>
        <v>Maplink1</v>
      </c>
      <c r="AU311" s="12" t="str">
        <f>HYPERLINK("https://www.google.iq/maps/search/+33.5567,44.4125/@33.5567,44.4125,14z?hl=en","Maplink2")</f>
        <v>Maplink2</v>
      </c>
      <c r="AV311" s="12" t="str">
        <f>HYPERLINK("http://www.bing.com/maps/?lvl=14&amp;sty=h&amp;cp=33.5567~44.4125&amp;sp=point.33.5567_44.4125","Maplink3")</f>
        <v>Maplink3</v>
      </c>
    </row>
    <row r="312" spans="1:48" ht="15" customHeight="1" x14ac:dyDescent="0.25">
      <c r="A312" s="19">
        <v>22380</v>
      </c>
      <c r="B312" s="20" t="s">
        <v>11</v>
      </c>
      <c r="C312" s="20" t="s">
        <v>597</v>
      </c>
      <c r="D312" s="20" t="s">
        <v>641</v>
      </c>
      <c r="E312" s="20" t="s">
        <v>642</v>
      </c>
      <c r="F312" s="20">
        <v>33.554257439899999</v>
      </c>
      <c r="G312" s="20">
        <v>44.419471145599999</v>
      </c>
      <c r="H312" s="22">
        <v>3</v>
      </c>
      <c r="I312" s="22">
        <v>18</v>
      </c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>
        <v>3</v>
      </c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>
        <v>3</v>
      </c>
      <c r="AI312" s="21"/>
      <c r="AJ312" s="21"/>
      <c r="AK312" s="21"/>
      <c r="AL312" s="21"/>
      <c r="AM312" s="21"/>
      <c r="AN312" s="21">
        <v>3</v>
      </c>
      <c r="AO312" s="21"/>
      <c r="AP312" s="21"/>
      <c r="AQ312" s="21"/>
      <c r="AR312" s="21"/>
      <c r="AS312" s="21"/>
      <c r="AT312" s="12" t="str">
        <f>HYPERLINK("http://www.openstreetmap.org/?mlat=33.5543&amp;mlon=44.4195&amp;zoom=12#map=12/33.5543/44.4195","Maplink1")</f>
        <v>Maplink1</v>
      </c>
      <c r="AU312" s="12" t="str">
        <f>HYPERLINK("https://www.google.iq/maps/search/+33.5543,44.4195/@33.5543,44.4195,14z?hl=en","Maplink2")</f>
        <v>Maplink2</v>
      </c>
      <c r="AV312" s="12" t="str">
        <f>HYPERLINK("http://www.bing.com/maps/?lvl=14&amp;sty=h&amp;cp=33.5543~44.4195&amp;sp=point.33.5543_44.4195","Maplink3")</f>
        <v>Maplink3</v>
      </c>
    </row>
    <row r="313" spans="1:48" ht="15" customHeight="1" x14ac:dyDescent="0.25">
      <c r="A313" s="19">
        <v>22699</v>
      </c>
      <c r="B313" s="20" t="s">
        <v>11</v>
      </c>
      <c r="C313" s="20" t="s">
        <v>597</v>
      </c>
      <c r="D313" s="20" t="s">
        <v>643</v>
      </c>
      <c r="E313" s="20" t="s">
        <v>644</v>
      </c>
      <c r="F313" s="20">
        <v>33.544444249999998</v>
      </c>
      <c r="G313" s="20">
        <v>44.392920269999998</v>
      </c>
      <c r="H313" s="22">
        <v>4</v>
      </c>
      <c r="I313" s="22">
        <v>24</v>
      </c>
      <c r="J313" s="21"/>
      <c r="K313" s="21"/>
      <c r="L313" s="21"/>
      <c r="M313" s="21"/>
      <c r="N313" s="21"/>
      <c r="O313" s="21"/>
      <c r="P313" s="21"/>
      <c r="Q313" s="21"/>
      <c r="R313" s="21">
        <v>2</v>
      </c>
      <c r="S313" s="21"/>
      <c r="T313" s="21"/>
      <c r="U313" s="21"/>
      <c r="V313" s="21">
        <v>2</v>
      </c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>
        <v>4</v>
      </c>
      <c r="AI313" s="21"/>
      <c r="AJ313" s="21"/>
      <c r="AK313" s="21"/>
      <c r="AL313" s="21"/>
      <c r="AM313" s="21"/>
      <c r="AN313" s="21">
        <v>2</v>
      </c>
      <c r="AO313" s="21">
        <v>2</v>
      </c>
      <c r="AP313" s="21"/>
      <c r="AQ313" s="21"/>
      <c r="AR313" s="21"/>
      <c r="AS313" s="21"/>
      <c r="AT313" s="12" t="str">
        <f>HYPERLINK("http://www.openstreetmap.org/?mlat=33.5444&amp;mlon=44.3929&amp;zoom=12#map=12/33.5444/44.3929","Maplink1")</f>
        <v>Maplink1</v>
      </c>
      <c r="AU313" s="12" t="str">
        <f>HYPERLINK("https://www.google.iq/maps/search/+33.5444,44.3929/@33.5444,44.3929,14z?hl=en","Maplink2")</f>
        <v>Maplink2</v>
      </c>
      <c r="AV313" s="12" t="str">
        <f>HYPERLINK("http://www.bing.com/maps/?lvl=14&amp;sty=h&amp;cp=33.5444~44.3929&amp;sp=point.33.5444_44.3929","Maplink3")</f>
        <v>Maplink3</v>
      </c>
    </row>
    <row r="314" spans="1:48" ht="15" customHeight="1" x14ac:dyDescent="0.25">
      <c r="A314" s="19">
        <v>22381</v>
      </c>
      <c r="B314" s="20" t="s">
        <v>11</v>
      </c>
      <c r="C314" s="20" t="s">
        <v>597</v>
      </c>
      <c r="D314" s="20" t="s">
        <v>645</v>
      </c>
      <c r="E314" s="20" t="s">
        <v>646</v>
      </c>
      <c r="F314" s="20">
        <v>33.55243823</v>
      </c>
      <c r="G314" s="20">
        <v>44.399467830699997</v>
      </c>
      <c r="H314" s="22">
        <v>2</v>
      </c>
      <c r="I314" s="22">
        <v>12</v>
      </c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>
        <v>1</v>
      </c>
      <c r="W314" s="21"/>
      <c r="X314" s="21">
        <v>1</v>
      </c>
      <c r="Y314" s="21"/>
      <c r="Z314" s="21"/>
      <c r="AA314" s="21"/>
      <c r="AB314" s="21"/>
      <c r="AC314" s="21"/>
      <c r="AD314" s="21"/>
      <c r="AE314" s="21"/>
      <c r="AF314" s="21"/>
      <c r="AG314" s="21"/>
      <c r="AH314" s="21">
        <v>2</v>
      </c>
      <c r="AI314" s="21"/>
      <c r="AJ314" s="21"/>
      <c r="AK314" s="21"/>
      <c r="AL314" s="21"/>
      <c r="AM314" s="21">
        <v>1</v>
      </c>
      <c r="AN314" s="21"/>
      <c r="AO314" s="21"/>
      <c r="AP314" s="21">
        <v>1</v>
      </c>
      <c r="AQ314" s="21"/>
      <c r="AR314" s="21"/>
      <c r="AS314" s="21"/>
      <c r="AT314" s="12" t="str">
        <f>HYPERLINK("http://www.openstreetmap.org/?mlat=33.5524&amp;mlon=44.3995&amp;zoom=12#map=12/33.5524/44.3995","Maplink1")</f>
        <v>Maplink1</v>
      </c>
      <c r="AU314" s="12" t="str">
        <f>HYPERLINK("https://www.google.iq/maps/search/+33.5524,44.3995/@33.5524,44.3995,14z?hl=en","Maplink2")</f>
        <v>Maplink2</v>
      </c>
      <c r="AV314" s="12" t="str">
        <f>HYPERLINK("http://www.bing.com/maps/?lvl=14&amp;sty=h&amp;cp=33.5524~44.3995&amp;sp=point.33.5524_44.3995","Maplink3")</f>
        <v>Maplink3</v>
      </c>
    </row>
    <row r="315" spans="1:48" ht="15" customHeight="1" x14ac:dyDescent="0.25">
      <c r="A315" s="19">
        <v>22033</v>
      </c>
      <c r="B315" s="20" t="s">
        <v>11</v>
      </c>
      <c r="C315" s="20" t="s">
        <v>597</v>
      </c>
      <c r="D315" s="20" t="s">
        <v>647</v>
      </c>
      <c r="E315" s="20" t="s">
        <v>648</v>
      </c>
      <c r="F315" s="20">
        <v>33.5346973037</v>
      </c>
      <c r="G315" s="20">
        <v>44.395296600000002</v>
      </c>
      <c r="H315" s="22">
        <v>5</v>
      </c>
      <c r="I315" s="22">
        <v>30</v>
      </c>
      <c r="J315" s="21">
        <v>2</v>
      </c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>
        <v>2</v>
      </c>
      <c r="W315" s="21"/>
      <c r="X315" s="21">
        <v>1</v>
      </c>
      <c r="Y315" s="21"/>
      <c r="Z315" s="21"/>
      <c r="AA315" s="21"/>
      <c r="AB315" s="21"/>
      <c r="AC315" s="21"/>
      <c r="AD315" s="21"/>
      <c r="AE315" s="21"/>
      <c r="AF315" s="21"/>
      <c r="AG315" s="21"/>
      <c r="AH315" s="21">
        <v>5</v>
      </c>
      <c r="AI315" s="21"/>
      <c r="AJ315" s="21"/>
      <c r="AK315" s="21"/>
      <c r="AL315" s="21"/>
      <c r="AM315" s="21">
        <v>2</v>
      </c>
      <c r="AN315" s="21">
        <v>2</v>
      </c>
      <c r="AO315" s="21"/>
      <c r="AP315" s="21">
        <v>1</v>
      </c>
      <c r="AQ315" s="21"/>
      <c r="AR315" s="21"/>
      <c r="AS315" s="21"/>
      <c r="AT315" s="12" t="str">
        <f>HYPERLINK("http://www.openstreetmap.org/?mlat=33.5347&amp;mlon=44.3953&amp;zoom=12#map=12/33.5347/44.3953","Maplink1")</f>
        <v>Maplink1</v>
      </c>
      <c r="AU315" s="12" t="str">
        <f>HYPERLINK("https://www.google.iq/maps/search/+33.5347,44.3953/@33.5347,44.3953,14z?hl=en","Maplink2")</f>
        <v>Maplink2</v>
      </c>
      <c r="AV315" s="12" t="str">
        <f>HYPERLINK("http://www.bing.com/maps/?lvl=14&amp;sty=h&amp;cp=33.5347~44.3953&amp;sp=point.33.5347_44.3953","Maplink3")</f>
        <v>Maplink3</v>
      </c>
    </row>
    <row r="316" spans="1:48" ht="15" customHeight="1" x14ac:dyDescent="0.25">
      <c r="A316" s="19">
        <v>21627</v>
      </c>
      <c r="B316" s="20" t="s">
        <v>11</v>
      </c>
      <c r="C316" s="20" t="s">
        <v>597</v>
      </c>
      <c r="D316" s="20" t="s">
        <v>649</v>
      </c>
      <c r="E316" s="20" t="s">
        <v>650</v>
      </c>
      <c r="F316" s="20">
        <v>33.544251420000002</v>
      </c>
      <c r="G316" s="20">
        <v>44.419667850000003</v>
      </c>
      <c r="H316" s="22">
        <v>4</v>
      </c>
      <c r="I316" s="22">
        <v>24</v>
      </c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>
        <v>2</v>
      </c>
      <c r="W316" s="21"/>
      <c r="X316" s="21">
        <v>2</v>
      </c>
      <c r="Y316" s="21"/>
      <c r="Z316" s="21"/>
      <c r="AA316" s="21"/>
      <c r="AB316" s="21"/>
      <c r="AC316" s="21"/>
      <c r="AD316" s="21"/>
      <c r="AE316" s="21"/>
      <c r="AF316" s="21"/>
      <c r="AG316" s="21"/>
      <c r="AH316" s="21">
        <v>4</v>
      </c>
      <c r="AI316" s="21"/>
      <c r="AJ316" s="21"/>
      <c r="AK316" s="21"/>
      <c r="AL316" s="21"/>
      <c r="AM316" s="21">
        <v>2</v>
      </c>
      <c r="AN316" s="21"/>
      <c r="AO316" s="21">
        <v>2</v>
      </c>
      <c r="AP316" s="21"/>
      <c r="AQ316" s="21"/>
      <c r="AR316" s="21"/>
      <c r="AS316" s="21"/>
      <c r="AT316" s="12" t="str">
        <f>HYPERLINK("http://www.openstreetmap.org/?mlat=33.5443&amp;mlon=44.4197&amp;zoom=12#map=12/33.5443/44.4197","Maplink1")</f>
        <v>Maplink1</v>
      </c>
      <c r="AU316" s="12" t="str">
        <f>HYPERLINK("https://www.google.iq/maps/search/+33.5443,44.4197/@33.5443,44.4197,14z?hl=en","Maplink2")</f>
        <v>Maplink2</v>
      </c>
      <c r="AV316" s="12" t="str">
        <f>HYPERLINK("http://www.bing.com/maps/?lvl=14&amp;sty=h&amp;cp=33.5443~44.4197&amp;sp=point.33.5443_44.4197","Maplink3")</f>
        <v>Maplink3</v>
      </c>
    </row>
    <row r="317" spans="1:48" ht="15" customHeight="1" x14ac:dyDescent="0.25">
      <c r="A317" s="19">
        <v>21873</v>
      </c>
      <c r="B317" s="20" t="s">
        <v>11</v>
      </c>
      <c r="C317" s="20" t="s">
        <v>597</v>
      </c>
      <c r="D317" s="20" t="s">
        <v>651</v>
      </c>
      <c r="E317" s="20" t="s">
        <v>652</v>
      </c>
      <c r="F317" s="20">
        <v>33.552990975999997</v>
      </c>
      <c r="G317" s="20">
        <v>44.433589358299997</v>
      </c>
      <c r="H317" s="22">
        <v>5</v>
      </c>
      <c r="I317" s="22">
        <v>30</v>
      </c>
      <c r="J317" s="21"/>
      <c r="K317" s="21"/>
      <c r="L317" s="21"/>
      <c r="M317" s="21"/>
      <c r="N317" s="21"/>
      <c r="O317" s="21"/>
      <c r="P317" s="21"/>
      <c r="Q317" s="21"/>
      <c r="R317" s="21">
        <v>2</v>
      </c>
      <c r="S317" s="21"/>
      <c r="T317" s="21"/>
      <c r="U317" s="21"/>
      <c r="V317" s="21">
        <v>3</v>
      </c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>
        <v>5</v>
      </c>
      <c r="AI317" s="21"/>
      <c r="AJ317" s="21"/>
      <c r="AK317" s="21"/>
      <c r="AL317" s="21"/>
      <c r="AM317" s="21"/>
      <c r="AN317" s="21">
        <v>3</v>
      </c>
      <c r="AO317" s="21"/>
      <c r="AP317" s="21"/>
      <c r="AQ317" s="21"/>
      <c r="AR317" s="21">
        <v>2</v>
      </c>
      <c r="AS317" s="21"/>
      <c r="AT317" s="12" t="str">
        <f>HYPERLINK("http://www.openstreetmap.org/?mlat=33.553&amp;mlon=44.4336&amp;zoom=12#map=12/33.553/44.4336","Maplink1")</f>
        <v>Maplink1</v>
      </c>
      <c r="AU317" s="12" t="str">
        <f>HYPERLINK("https://www.google.iq/maps/search/+33.553,44.4336/@33.553,44.4336,14z?hl=en","Maplink2")</f>
        <v>Maplink2</v>
      </c>
      <c r="AV317" s="12" t="str">
        <f>HYPERLINK("http://www.bing.com/maps/?lvl=14&amp;sty=h&amp;cp=33.553~44.4336&amp;sp=point.33.553_44.4336","Maplink3")</f>
        <v>Maplink3</v>
      </c>
    </row>
    <row r="318" spans="1:48" ht="15" customHeight="1" x14ac:dyDescent="0.25">
      <c r="A318" s="19">
        <v>21628</v>
      </c>
      <c r="B318" s="20" t="s">
        <v>11</v>
      </c>
      <c r="C318" s="20" t="s">
        <v>597</v>
      </c>
      <c r="D318" s="20" t="s">
        <v>653</v>
      </c>
      <c r="E318" s="20" t="s">
        <v>654</v>
      </c>
      <c r="F318" s="20">
        <v>33.5555959</v>
      </c>
      <c r="G318" s="20">
        <v>44.433041340000003</v>
      </c>
      <c r="H318" s="22">
        <v>3</v>
      </c>
      <c r="I318" s="22">
        <v>18</v>
      </c>
      <c r="J318" s="21">
        <v>1</v>
      </c>
      <c r="K318" s="21"/>
      <c r="L318" s="21"/>
      <c r="M318" s="21"/>
      <c r="N318" s="21"/>
      <c r="O318" s="21"/>
      <c r="P318" s="21"/>
      <c r="Q318" s="21"/>
      <c r="R318" s="21">
        <v>1</v>
      </c>
      <c r="S318" s="21"/>
      <c r="T318" s="21"/>
      <c r="U318" s="21"/>
      <c r="V318" s="21">
        <v>1</v>
      </c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>
        <v>3</v>
      </c>
      <c r="AI318" s="21"/>
      <c r="AJ318" s="21"/>
      <c r="AK318" s="21"/>
      <c r="AL318" s="21">
        <v>1</v>
      </c>
      <c r="AM318" s="21">
        <v>1</v>
      </c>
      <c r="AN318" s="21"/>
      <c r="AO318" s="21"/>
      <c r="AP318" s="21"/>
      <c r="AQ318" s="21"/>
      <c r="AR318" s="21">
        <v>1</v>
      </c>
      <c r="AS318" s="21"/>
      <c r="AT318" s="12" t="str">
        <f>HYPERLINK("http://www.openstreetmap.org/?mlat=33.5556&amp;mlon=44.433&amp;zoom=12#map=12/33.5556/44.433","Maplink1")</f>
        <v>Maplink1</v>
      </c>
      <c r="AU318" s="12" t="str">
        <f>HYPERLINK("https://www.google.iq/maps/search/+33.5556,44.433/@33.5556,44.433,14z?hl=en","Maplink2")</f>
        <v>Maplink2</v>
      </c>
      <c r="AV318" s="12" t="str">
        <f>HYPERLINK("http://www.bing.com/maps/?lvl=14&amp;sty=h&amp;cp=33.5556~44.433&amp;sp=point.33.5556_44.433","Maplink3")</f>
        <v>Maplink3</v>
      </c>
    </row>
    <row r="319" spans="1:48" ht="15" customHeight="1" x14ac:dyDescent="0.25">
      <c r="A319" s="19">
        <v>24621</v>
      </c>
      <c r="B319" s="20" t="s">
        <v>11</v>
      </c>
      <c r="C319" s="20" t="s">
        <v>597</v>
      </c>
      <c r="D319" s="20" t="s">
        <v>655</v>
      </c>
      <c r="E319" s="20" t="s">
        <v>656</v>
      </c>
      <c r="F319" s="20">
        <v>33.533886099999997</v>
      </c>
      <c r="G319" s="20">
        <v>44.393016199999998</v>
      </c>
      <c r="H319" s="22">
        <v>4</v>
      </c>
      <c r="I319" s="22">
        <v>24</v>
      </c>
      <c r="J319" s="21"/>
      <c r="K319" s="21"/>
      <c r="L319" s="21"/>
      <c r="M319" s="21"/>
      <c r="N319" s="21"/>
      <c r="O319" s="21"/>
      <c r="P319" s="21"/>
      <c r="Q319" s="21"/>
      <c r="R319" s="21">
        <v>1</v>
      </c>
      <c r="S319" s="21"/>
      <c r="T319" s="21"/>
      <c r="U319" s="21"/>
      <c r="V319" s="21">
        <v>3</v>
      </c>
      <c r="W319" s="21"/>
      <c r="X319" s="21"/>
      <c r="Y319" s="21"/>
      <c r="Z319" s="21"/>
      <c r="AA319" s="21"/>
      <c r="AB319" s="21"/>
      <c r="AC319" s="21">
        <v>2</v>
      </c>
      <c r="AD319" s="21"/>
      <c r="AE319" s="21"/>
      <c r="AF319" s="21"/>
      <c r="AG319" s="21"/>
      <c r="AH319" s="21">
        <v>2</v>
      </c>
      <c r="AI319" s="21"/>
      <c r="AJ319" s="21"/>
      <c r="AK319" s="21"/>
      <c r="AL319" s="21"/>
      <c r="AM319" s="21"/>
      <c r="AN319" s="21"/>
      <c r="AO319" s="21">
        <v>4</v>
      </c>
      <c r="AP319" s="21"/>
      <c r="AQ319" s="21"/>
      <c r="AR319" s="21"/>
      <c r="AS319" s="21"/>
      <c r="AT319" s="12" t="str">
        <f>HYPERLINK("http://www.openstreetmap.org/?mlat=33.5339&amp;mlon=44.393&amp;zoom=12#map=12/33.5339/44.393","Maplink1")</f>
        <v>Maplink1</v>
      </c>
      <c r="AU319" s="12" t="str">
        <f>HYPERLINK("https://www.google.iq/maps/search/+33.5339,44.393/@33.5339,44.393,14z?hl=en","Maplink2")</f>
        <v>Maplink2</v>
      </c>
      <c r="AV319" s="12" t="str">
        <f>HYPERLINK("http://www.bing.com/maps/?lvl=14&amp;sty=h&amp;cp=33.5339~44.393&amp;sp=point.33.5339_44.393","Maplink3")</f>
        <v>Maplink3</v>
      </c>
    </row>
    <row r="320" spans="1:48" ht="15" customHeight="1" x14ac:dyDescent="0.25">
      <c r="A320" s="19">
        <v>25208</v>
      </c>
      <c r="B320" s="20" t="s">
        <v>11</v>
      </c>
      <c r="C320" s="20" t="s">
        <v>597</v>
      </c>
      <c r="D320" s="20" t="s">
        <v>657</v>
      </c>
      <c r="E320" s="20" t="s">
        <v>658</v>
      </c>
      <c r="F320" s="20">
        <v>33.536706260000003</v>
      </c>
      <c r="G320" s="20">
        <v>44.354805579999997</v>
      </c>
      <c r="H320" s="22">
        <v>3</v>
      </c>
      <c r="I320" s="22">
        <v>18</v>
      </c>
      <c r="J320" s="21">
        <v>2</v>
      </c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>
        <v>1</v>
      </c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>
        <v>3</v>
      </c>
      <c r="AI320" s="21"/>
      <c r="AJ320" s="21"/>
      <c r="AK320" s="21"/>
      <c r="AL320" s="21"/>
      <c r="AM320" s="21"/>
      <c r="AN320" s="21"/>
      <c r="AO320" s="21">
        <v>3</v>
      </c>
      <c r="AP320" s="21"/>
      <c r="AQ320" s="21"/>
      <c r="AR320" s="21"/>
      <c r="AS320" s="21"/>
      <c r="AT320" s="12" t="str">
        <f>HYPERLINK("http://www.openstreetmap.org/?mlat=33.5367&amp;mlon=44.3548&amp;zoom=12#map=12/33.5367/44.3548","Maplink1")</f>
        <v>Maplink1</v>
      </c>
      <c r="AU320" s="12" t="str">
        <f>HYPERLINK("https://www.google.iq/maps/search/+33.5367,44.3548/@33.5367,44.3548,14z?hl=en","Maplink2")</f>
        <v>Maplink2</v>
      </c>
      <c r="AV320" s="12" t="str">
        <f>HYPERLINK("http://www.bing.com/maps/?lvl=14&amp;sty=h&amp;cp=33.5367~44.3548&amp;sp=point.33.5367_44.3548","Maplink3")</f>
        <v>Maplink3</v>
      </c>
    </row>
    <row r="321" spans="1:48" ht="15" customHeight="1" x14ac:dyDescent="0.25">
      <c r="A321" s="19">
        <v>24004</v>
      </c>
      <c r="B321" s="20" t="s">
        <v>11</v>
      </c>
      <c r="C321" s="20" t="s">
        <v>597</v>
      </c>
      <c r="D321" s="20" t="s">
        <v>659</v>
      </c>
      <c r="E321" s="20" t="s">
        <v>660</v>
      </c>
      <c r="F321" s="20">
        <v>33.356755283600002</v>
      </c>
      <c r="G321" s="20">
        <v>44.378352864199996</v>
      </c>
      <c r="H321" s="22">
        <v>7</v>
      </c>
      <c r="I321" s="22">
        <v>42</v>
      </c>
      <c r="J321" s="21">
        <v>2</v>
      </c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>
        <v>2</v>
      </c>
      <c r="W321" s="21"/>
      <c r="X321" s="21">
        <v>3</v>
      </c>
      <c r="Y321" s="21"/>
      <c r="Z321" s="21"/>
      <c r="AA321" s="21"/>
      <c r="AB321" s="21"/>
      <c r="AC321" s="21"/>
      <c r="AD321" s="21"/>
      <c r="AE321" s="21"/>
      <c r="AF321" s="21"/>
      <c r="AG321" s="21"/>
      <c r="AH321" s="21">
        <v>7</v>
      </c>
      <c r="AI321" s="21"/>
      <c r="AJ321" s="21"/>
      <c r="AK321" s="21"/>
      <c r="AL321" s="21"/>
      <c r="AM321" s="21"/>
      <c r="AN321" s="21"/>
      <c r="AO321" s="21">
        <v>5</v>
      </c>
      <c r="AP321" s="21"/>
      <c r="AQ321" s="21"/>
      <c r="AR321" s="21">
        <v>2</v>
      </c>
      <c r="AS321" s="21"/>
      <c r="AT321" s="12" t="str">
        <f>HYPERLINK("http://www.openstreetmap.org/?mlat=33.3568&amp;mlon=44.3784&amp;zoom=12#map=12/33.3568/44.3784","Maplink1")</f>
        <v>Maplink1</v>
      </c>
      <c r="AU321" s="12" t="str">
        <f>HYPERLINK("https://www.google.iq/maps/search/+33.3568,44.3784/@33.3568,44.3784,14z?hl=en","Maplink2")</f>
        <v>Maplink2</v>
      </c>
      <c r="AV321" s="12" t="str">
        <f>HYPERLINK("http://www.bing.com/maps/?lvl=14&amp;sty=h&amp;cp=33.3568~44.3784&amp;sp=point.33.3568_44.3784","Maplink3")</f>
        <v>Maplink3</v>
      </c>
    </row>
    <row r="322" spans="1:48" ht="15" customHeight="1" x14ac:dyDescent="0.25">
      <c r="A322" s="19">
        <v>24005</v>
      </c>
      <c r="B322" s="20" t="s">
        <v>11</v>
      </c>
      <c r="C322" s="20" t="s">
        <v>597</v>
      </c>
      <c r="D322" s="20" t="s">
        <v>661</v>
      </c>
      <c r="E322" s="20" t="s">
        <v>662</v>
      </c>
      <c r="F322" s="20">
        <v>33.367032629999997</v>
      </c>
      <c r="G322" s="20">
        <v>44.380787779999999</v>
      </c>
      <c r="H322" s="22">
        <v>11</v>
      </c>
      <c r="I322" s="22">
        <v>66</v>
      </c>
      <c r="J322" s="21">
        <v>3</v>
      </c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>
        <v>8</v>
      </c>
      <c r="W322" s="21"/>
      <c r="X322" s="21"/>
      <c r="Y322" s="21"/>
      <c r="Z322" s="21"/>
      <c r="AA322" s="21"/>
      <c r="AB322" s="21"/>
      <c r="AC322" s="21">
        <v>4</v>
      </c>
      <c r="AD322" s="21"/>
      <c r="AE322" s="21"/>
      <c r="AF322" s="21"/>
      <c r="AG322" s="21"/>
      <c r="AH322" s="21">
        <v>7</v>
      </c>
      <c r="AI322" s="21"/>
      <c r="AJ322" s="21"/>
      <c r="AK322" s="21"/>
      <c r="AL322" s="21">
        <v>6</v>
      </c>
      <c r="AM322" s="21"/>
      <c r="AN322" s="21"/>
      <c r="AO322" s="21"/>
      <c r="AP322" s="21"/>
      <c r="AQ322" s="21"/>
      <c r="AR322" s="21">
        <v>5</v>
      </c>
      <c r="AS322" s="21"/>
      <c r="AT322" s="12" t="str">
        <f>HYPERLINK("http://www.openstreetmap.org/?mlat=33.367&amp;mlon=44.3808&amp;zoom=12#map=12/33.367/44.3808","Maplink1")</f>
        <v>Maplink1</v>
      </c>
      <c r="AU322" s="12" t="str">
        <f>HYPERLINK("https://www.google.iq/maps/search/+33.367,44.3808/@33.367,44.3808,14z?hl=en","Maplink2")</f>
        <v>Maplink2</v>
      </c>
      <c r="AV322" s="12" t="str">
        <f>HYPERLINK("http://www.bing.com/maps/?lvl=14&amp;sty=h&amp;cp=33.367~44.3808&amp;sp=point.33.367_44.3808","Maplink3")</f>
        <v>Maplink3</v>
      </c>
    </row>
    <row r="323" spans="1:48" ht="15" customHeight="1" x14ac:dyDescent="0.25">
      <c r="A323" s="19">
        <v>7549</v>
      </c>
      <c r="B323" s="20" t="s">
        <v>11</v>
      </c>
      <c r="C323" s="20" t="s">
        <v>597</v>
      </c>
      <c r="D323" s="20" t="s">
        <v>663</v>
      </c>
      <c r="E323" s="20" t="s">
        <v>664</v>
      </c>
      <c r="F323" s="20">
        <v>33.550331918700003</v>
      </c>
      <c r="G323" s="20">
        <v>44.347867797500001</v>
      </c>
      <c r="H323" s="22">
        <v>2</v>
      </c>
      <c r="I323" s="22">
        <v>12</v>
      </c>
      <c r="J323" s="21">
        <v>1</v>
      </c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>
        <v>1</v>
      </c>
      <c r="Y323" s="21"/>
      <c r="Z323" s="21"/>
      <c r="AA323" s="21"/>
      <c r="AB323" s="21"/>
      <c r="AC323" s="21"/>
      <c r="AD323" s="21"/>
      <c r="AE323" s="21"/>
      <c r="AF323" s="21"/>
      <c r="AG323" s="21"/>
      <c r="AH323" s="21">
        <v>2</v>
      </c>
      <c r="AI323" s="21"/>
      <c r="AJ323" s="21"/>
      <c r="AK323" s="21"/>
      <c r="AL323" s="21"/>
      <c r="AM323" s="21"/>
      <c r="AN323" s="21"/>
      <c r="AO323" s="21">
        <v>2</v>
      </c>
      <c r="AP323" s="21"/>
      <c r="AQ323" s="21"/>
      <c r="AR323" s="21"/>
      <c r="AS323" s="21"/>
      <c r="AT323" s="12" t="str">
        <f>HYPERLINK("http://www.openstreetmap.org/?mlat=33.5503&amp;mlon=44.3479&amp;zoom=12#map=12/33.5503/44.3479","Maplink1")</f>
        <v>Maplink1</v>
      </c>
      <c r="AU323" s="12" t="str">
        <f>HYPERLINK("https://www.google.iq/maps/search/+33.5503,44.3479/@33.5503,44.3479,14z?hl=en","Maplink2")</f>
        <v>Maplink2</v>
      </c>
      <c r="AV323" s="12" t="str">
        <f>HYPERLINK("http://www.bing.com/maps/?lvl=14&amp;sty=h&amp;cp=33.5503~44.3479&amp;sp=point.33.5503_44.3479","Maplink3")</f>
        <v>Maplink3</v>
      </c>
    </row>
    <row r="324" spans="1:48" ht="15" customHeight="1" x14ac:dyDescent="0.25">
      <c r="A324" s="19">
        <v>25220</v>
      </c>
      <c r="B324" s="20" t="s">
        <v>11</v>
      </c>
      <c r="C324" s="20" t="s">
        <v>597</v>
      </c>
      <c r="D324" s="20" t="s">
        <v>665</v>
      </c>
      <c r="E324" s="20" t="s">
        <v>666</v>
      </c>
      <c r="F324" s="20">
        <v>33.589665848300001</v>
      </c>
      <c r="G324" s="20">
        <v>44.3304252318</v>
      </c>
      <c r="H324" s="22">
        <v>2</v>
      </c>
      <c r="I324" s="22">
        <v>12</v>
      </c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>
        <v>2</v>
      </c>
      <c r="Y324" s="21"/>
      <c r="Z324" s="21"/>
      <c r="AA324" s="21"/>
      <c r="AB324" s="21"/>
      <c r="AC324" s="21">
        <v>2</v>
      </c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>
        <v>2</v>
      </c>
      <c r="AP324" s="21"/>
      <c r="AQ324" s="21"/>
      <c r="AR324" s="21"/>
      <c r="AS324" s="21"/>
      <c r="AT324" s="12" t="str">
        <f>HYPERLINK("http://www.openstreetmap.org/?mlat=33.5897&amp;mlon=44.3304&amp;zoom=12#map=12/33.5897/44.3304","Maplink1")</f>
        <v>Maplink1</v>
      </c>
      <c r="AU324" s="12" t="str">
        <f>HYPERLINK("https://www.google.iq/maps/search/+33.5897,44.3304/@33.5897,44.3304,14z?hl=en","Maplink2")</f>
        <v>Maplink2</v>
      </c>
      <c r="AV324" s="12" t="str">
        <f>HYPERLINK("http://www.bing.com/maps/?lvl=14&amp;sty=h&amp;cp=33.5897~44.3304&amp;sp=point.33.5897_44.3304","Maplink3")</f>
        <v>Maplink3</v>
      </c>
    </row>
    <row r="325" spans="1:48" ht="15" customHeight="1" x14ac:dyDescent="0.25">
      <c r="A325" s="19">
        <v>23999</v>
      </c>
      <c r="B325" s="20" t="s">
        <v>11</v>
      </c>
      <c r="C325" s="20" t="s">
        <v>597</v>
      </c>
      <c r="D325" s="20" t="s">
        <v>667</v>
      </c>
      <c r="E325" s="20" t="s">
        <v>668</v>
      </c>
      <c r="F325" s="20">
        <v>33.37825307</v>
      </c>
      <c r="G325" s="20">
        <v>44.387402469999998</v>
      </c>
      <c r="H325" s="22">
        <v>27</v>
      </c>
      <c r="I325" s="22">
        <v>162</v>
      </c>
      <c r="J325" s="21">
        <v>15</v>
      </c>
      <c r="K325" s="21"/>
      <c r="L325" s="21"/>
      <c r="M325" s="21"/>
      <c r="N325" s="21"/>
      <c r="O325" s="21">
        <v>1</v>
      </c>
      <c r="P325" s="21"/>
      <c r="Q325" s="21"/>
      <c r="R325" s="21"/>
      <c r="S325" s="21"/>
      <c r="T325" s="21"/>
      <c r="U325" s="21"/>
      <c r="V325" s="21">
        <v>11</v>
      </c>
      <c r="W325" s="21"/>
      <c r="X325" s="21"/>
      <c r="Y325" s="21"/>
      <c r="Z325" s="21"/>
      <c r="AA325" s="21"/>
      <c r="AB325" s="21"/>
      <c r="AC325" s="21">
        <v>10</v>
      </c>
      <c r="AD325" s="21"/>
      <c r="AE325" s="21"/>
      <c r="AF325" s="21"/>
      <c r="AG325" s="21"/>
      <c r="AH325" s="21">
        <v>17</v>
      </c>
      <c r="AI325" s="21"/>
      <c r="AJ325" s="21"/>
      <c r="AK325" s="21"/>
      <c r="AL325" s="21"/>
      <c r="AM325" s="21">
        <v>3</v>
      </c>
      <c r="AN325" s="21"/>
      <c r="AO325" s="21">
        <v>8</v>
      </c>
      <c r="AP325" s="21">
        <v>5</v>
      </c>
      <c r="AQ325" s="21">
        <v>11</v>
      </c>
      <c r="AR325" s="21"/>
      <c r="AS325" s="21"/>
      <c r="AT325" s="12" t="str">
        <f>HYPERLINK("http://www.openstreetmap.org/?mlat=33.3783&amp;mlon=44.3874&amp;zoom=12#map=12/33.3783/44.3874","Maplink1")</f>
        <v>Maplink1</v>
      </c>
      <c r="AU325" s="12" t="str">
        <f>HYPERLINK("https://www.google.iq/maps/search/+33.3783,44.3874/@33.3783,44.3874,14z?hl=en","Maplink2")</f>
        <v>Maplink2</v>
      </c>
      <c r="AV325" s="12" t="str">
        <f>HYPERLINK("http://www.bing.com/maps/?lvl=14&amp;sty=h&amp;cp=33.3783~44.3874&amp;sp=point.33.3783_44.3874","Maplink3")</f>
        <v>Maplink3</v>
      </c>
    </row>
    <row r="326" spans="1:48" ht="15" customHeight="1" x14ac:dyDescent="0.25">
      <c r="A326" s="19">
        <v>24000</v>
      </c>
      <c r="B326" s="20" t="s">
        <v>11</v>
      </c>
      <c r="C326" s="20" t="s">
        <v>597</v>
      </c>
      <c r="D326" s="20" t="s">
        <v>669</v>
      </c>
      <c r="E326" s="20" t="s">
        <v>670</v>
      </c>
      <c r="F326" s="20">
        <v>33.379255450000002</v>
      </c>
      <c r="G326" s="20">
        <v>44.398994559999998</v>
      </c>
      <c r="H326" s="22">
        <v>9</v>
      </c>
      <c r="I326" s="22">
        <v>54</v>
      </c>
      <c r="J326" s="21">
        <v>2</v>
      </c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>
        <v>7</v>
      </c>
      <c r="W326" s="21"/>
      <c r="X326" s="21"/>
      <c r="Y326" s="21"/>
      <c r="Z326" s="21"/>
      <c r="AA326" s="21"/>
      <c r="AB326" s="21"/>
      <c r="AC326" s="21">
        <v>2</v>
      </c>
      <c r="AD326" s="21"/>
      <c r="AE326" s="21"/>
      <c r="AF326" s="21"/>
      <c r="AG326" s="21"/>
      <c r="AH326" s="21">
        <v>7</v>
      </c>
      <c r="AI326" s="21"/>
      <c r="AJ326" s="21"/>
      <c r="AK326" s="21"/>
      <c r="AL326" s="21"/>
      <c r="AM326" s="21"/>
      <c r="AN326" s="21"/>
      <c r="AO326" s="21">
        <v>4</v>
      </c>
      <c r="AP326" s="21">
        <v>2</v>
      </c>
      <c r="AQ326" s="21"/>
      <c r="AR326" s="21">
        <v>3</v>
      </c>
      <c r="AS326" s="21"/>
      <c r="AT326" s="12" t="str">
        <f>HYPERLINK("http://www.openstreetmap.org/?mlat=33.3793&amp;mlon=44.399&amp;zoom=12#map=12/33.3793/44.399","Maplink1")</f>
        <v>Maplink1</v>
      </c>
      <c r="AU326" s="12" t="str">
        <f>HYPERLINK("https://www.google.iq/maps/search/+33.3793,44.399/@33.3793,44.399,14z?hl=en","Maplink2")</f>
        <v>Maplink2</v>
      </c>
      <c r="AV326" s="12" t="str">
        <f>HYPERLINK("http://www.bing.com/maps/?lvl=14&amp;sty=h&amp;cp=33.3793~44.399&amp;sp=point.33.3793_44.399","Maplink3")</f>
        <v>Maplink3</v>
      </c>
    </row>
    <row r="327" spans="1:48" ht="15" customHeight="1" x14ac:dyDescent="0.25">
      <c r="A327" s="19">
        <v>25454</v>
      </c>
      <c r="B327" s="20" t="s">
        <v>11</v>
      </c>
      <c r="C327" s="20" t="s">
        <v>597</v>
      </c>
      <c r="D327" s="20" t="s">
        <v>671</v>
      </c>
      <c r="E327" s="20" t="s">
        <v>672</v>
      </c>
      <c r="F327" s="20">
        <v>33.382561539999998</v>
      </c>
      <c r="G327" s="20">
        <v>44.388265650000001</v>
      </c>
      <c r="H327" s="22">
        <v>8</v>
      </c>
      <c r="I327" s="22">
        <v>48</v>
      </c>
      <c r="J327" s="21">
        <v>4</v>
      </c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>
        <v>4</v>
      </c>
      <c r="W327" s="21"/>
      <c r="X327" s="21"/>
      <c r="Y327" s="21"/>
      <c r="Z327" s="21"/>
      <c r="AA327" s="21"/>
      <c r="AB327" s="21"/>
      <c r="AC327" s="21">
        <v>3</v>
      </c>
      <c r="AD327" s="21"/>
      <c r="AE327" s="21"/>
      <c r="AF327" s="21"/>
      <c r="AG327" s="21"/>
      <c r="AH327" s="21">
        <v>5</v>
      </c>
      <c r="AI327" s="21"/>
      <c r="AJ327" s="21"/>
      <c r="AK327" s="21"/>
      <c r="AL327" s="21">
        <v>2</v>
      </c>
      <c r="AM327" s="21">
        <v>2</v>
      </c>
      <c r="AN327" s="21">
        <v>4</v>
      </c>
      <c r="AO327" s="21"/>
      <c r="AP327" s="21"/>
      <c r="AQ327" s="21"/>
      <c r="AR327" s="21"/>
      <c r="AS327" s="21"/>
      <c r="AT327" s="12" t="str">
        <f>HYPERLINK("http://www.openstreetmap.org/?mlat=33.3826&amp;mlon=44.3883&amp;zoom=12#map=12/33.3826/44.3883","Maplink1")</f>
        <v>Maplink1</v>
      </c>
      <c r="AU327" s="12" t="str">
        <f>HYPERLINK("https://www.google.iq/maps/search/+33.3826,44.3883/@33.3826,44.3883,14z?hl=en","Maplink2")</f>
        <v>Maplink2</v>
      </c>
      <c r="AV327" s="12" t="str">
        <f>HYPERLINK("http://www.bing.com/maps/?lvl=14&amp;sty=h&amp;cp=33.3826~44.3883&amp;sp=point.33.3826_44.3883","Maplink3")</f>
        <v>Maplink3</v>
      </c>
    </row>
    <row r="328" spans="1:48" ht="15" customHeight="1" x14ac:dyDescent="0.25">
      <c r="A328" s="19">
        <v>25455</v>
      </c>
      <c r="B328" s="20" t="s">
        <v>11</v>
      </c>
      <c r="C328" s="20" t="s">
        <v>597</v>
      </c>
      <c r="D328" s="20" t="s">
        <v>673</v>
      </c>
      <c r="E328" s="20" t="s">
        <v>674</v>
      </c>
      <c r="F328" s="20">
        <v>33.390575810000001</v>
      </c>
      <c r="G328" s="20">
        <v>44.387283580000002</v>
      </c>
      <c r="H328" s="22">
        <v>3</v>
      </c>
      <c r="I328" s="22">
        <v>18</v>
      </c>
      <c r="J328" s="21">
        <v>1</v>
      </c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>
        <v>2</v>
      </c>
      <c r="Y328" s="21"/>
      <c r="Z328" s="21"/>
      <c r="AA328" s="21"/>
      <c r="AB328" s="21"/>
      <c r="AC328" s="21"/>
      <c r="AD328" s="21"/>
      <c r="AE328" s="21"/>
      <c r="AF328" s="21"/>
      <c r="AG328" s="21"/>
      <c r="AH328" s="21">
        <v>3</v>
      </c>
      <c r="AI328" s="21"/>
      <c r="AJ328" s="21"/>
      <c r="AK328" s="21"/>
      <c r="AL328" s="21"/>
      <c r="AM328" s="21"/>
      <c r="AN328" s="21"/>
      <c r="AO328" s="21">
        <v>2</v>
      </c>
      <c r="AP328" s="21">
        <v>1</v>
      </c>
      <c r="AQ328" s="21"/>
      <c r="AR328" s="21"/>
      <c r="AS328" s="21"/>
      <c r="AT328" s="12" t="str">
        <f>HYPERLINK("http://www.openstreetmap.org/?mlat=33.3906&amp;mlon=44.3873&amp;zoom=12#map=12/33.3906/44.3873","Maplink1")</f>
        <v>Maplink1</v>
      </c>
      <c r="AU328" s="12" t="str">
        <f>HYPERLINK("https://www.google.iq/maps/search/+33.3906,44.3873/@33.3906,44.3873,14z?hl=en","Maplink2")</f>
        <v>Maplink2</v>
      </c>
      <c r="AV328" s="12" t="str">
        <f>HYPERLINK("http://www.bing.com/maps/?lvl=14&amp;sty=h&amp;cp=33.3906~44.3873&amp;sp=point.33.3906_44.3873","Maplink3")</f>
        <v>Maplink3</v>
      </c>
    </row>
    <row r="329" spans="1:48" ht="15" customHeight="1" x14ac:dyDescent="0.25">
      <c r="A329" s="19">
        <v>25456</v>
      </c>
      <c r="B329" s="20" t="s">
        <v>11</v>
      </c>
      <c r="C329" s="20" t="s">
        <v>597</v>
      </c>
      <c r="D329" s="20" t="s">
        <v>675</v>
      </c>
      <c r="E329" s="20" t="s">
        <v>676</v>
      </c>
      <c r="F329" s="20">
        <v>33.383613850000003</v>
      </c>
      <c r="G329" s="20">
        <v>44.383217670000001</v>
      </c>
      <c r="H329" s="22">
        <v>6</v>
      </c>
      <c r="I329" s="22">
        <v>36</v>
      </c>
      <c r="J329" s="21">
        <v>3</v>
      </c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>
        <v>3</v>
      </c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>
        <v>6</v>
      </c>
      <c r="AI329" s="21"/>
      <c r="AJ329" s="21"/>
      <c r="AK329" s="21"/>
      <c r="AL329" s="21"/>
      <c r="AM329" s="21"/>
      <c r="AN329" s="21">
        <v>3</v>
      </c>
      <c r="AO329" s="21">
        <v>3</v>
      </c>
      <c r="AP329" s="21"/>
      <c r="AQ329" s="21"/>
      <c r="AR329" s="21"/>
      <c r="AS329" s="21"/>
      <c r="AT329" s="12" t="str">
        <f>HYPERLINK("http://www.openstreetmap.org/?mlat=33.3836&amp;mlon=44.3832&amp;zoom=12#map=12/33.3836/44.3832","Maplink1")</f>
        <v>Maplink1</v>
      </c>
      <c r="AU329" s="12" t="str">
        <f>HYPERLINK("https://www.google.iq/maps/search/+33.3836,44.3832/@33.3836,44.3832,14z?hl=en","Maplink2")</f>
        <v>Maplink2</v>
      </c>
      <c r="AV329" s="12" t="str">
        <f>HYPERLINK("http://www.bing.com/maps/?lvl=14&amp;sty=h&amp;cp=33.3836~44.3832&amp;sp=point.33.3836_44.3832","Maplink3")</f>
        <v>Maplink3</v>
      </c>
    </row>
    <row r="330" spans="1:48" ht="15" customHeight="1" x14ac:dyDescent="0.25">
      <c r="A330" s="19">
        <v>23729</v>
      </c>
      <c r="B330" s="20" t="s">
        <v>11</v>
      </c>
      <c r="C330" s="20" t="s">
        <v>597</v>
      </c>
      <c r="D330" s="20" t="s">
        <v>677</v>
      </c>
      <c r="E330" s="20" t="s">
        <v>678</v>
      </c>
      <c r="F330" s="20">
        <v>33.390631130000003</v>
      </c>
      <c r="G330" s="20">
        <v>44.385995170000001</v>
      </c>
      <c r="H330" s="22">
        <v>25</v>
      </c>
      <c r="I330" s="22">
        <v>150</v>
      </c>
      <c r="J330" s="21">
        <v>4</v>
      </c>
      <c r="K330" s="21"/>
      <c r="L330" s="21"/>
      <c r="M330" s="21"/>
      <c r="N330" s="21"/>
      <c r="O330" s="21">
        <v>4</v>
      </c>
      <c r="P330" s="21"/>
      <c r="Q330" s="21"/>
      <c r="R330" s="21"/>
      <c r="S330" s="21"/>
      <c r="T330" s="21"/>
      <c r="U330" s="21"/>
      <c r="V330" s="21">
        <v>17</v>
      </c>
      <c r="W330" s="21"/>
      <c r="X330" s="21"/>
      <c r="Y330" s="21"/>
      <c r="Z330" s="21"/>
      <c r="AA330" s="21"/>
      <c r="AB330" s="21"/>
      <c r="AC330" s="21">
        <v>8</v>
      </c>
      <c r="AD330" s="21"/>
      <c r="AE330" s="21"/>
      <c r="AF330" s="21"/>
      <c r="AG330" s="21"/>
      <c r="AH330" s="21">
        <v>17</v>
      </c>
      <c r="AI330" s="21"/>
      <c r="AJ330" s="21"/>
      <c r="AK330" s="21"/>
      <c r="AL330" s="21"/>
      <c r="AM330" s="21">
        <v>17</v>
      </c>
      <c r="AN330" s="21"/>
      <c r="AO330" s="21">
        <v>8</v>
      </c>
      <c r="AP330" s="21"/>
      <c r="AQ330" s="21"/>
      <c r="AR330" s="21"/>
      <c r="AS330" s="21"/>
      <c r="AT330" s="12" t="str">
        <f>HYPERLINK("http://www.openstreetmap.org/?mlat=33.3906&amp;mlon=44.386&amp;zoom=12#map=12/33.3906/44.386","Maplink1")</f>
        <v>Maplink1</v>
      </c>
      <c r="AU330" s="12" t="str">
        <f>HYPERLINK("https://www.google.iq/maps/search/+33.3906,44.386/@33.3906,44.386,14z?hl=en","Maplink2")</f>
        <v>Maplink2</v>
      </c>
      <c r="AV330" s="12" t="str">
        <f>HYPERLINK("http://www.bing.com/maps/?lvl=14&amp;sty=h&amp;cp=33.3906~44.386&amp;sp=point.33.3906_44.386","Maplink3")</f>
        <v>Maplink3</v>
      </c>
    </row>
    <row r="331" spans="1:48" ht="15" customHeight="1" x14ac:dyDescent="0.25">
      <c r="A331" s="19">
        <v>7548</v>
      </c>
      <c r="B331" s="20" t="s">
        <v>11</v>
      </c>
      <c r="C331" s="20" t="s">
        <v>597</v>
      </c>
      <c r="D331" s="20" t="s">
        <v>679</v>
      </c>
      <c r="E331" s="20" t="s">
        <v>680</v>
      </c>
      <c r="F331" s="20">
        <v>33.550312509999998</v>
      </c>
      <c r="G331" s="20">
        <v>44.37315993</v>
      </c>
      <c r="H331" s="22">
        <v>2</v>
      </c>
      <c r="I331" s="22">
        <v>12</v>
      </c>
      <c r="J331" s="21"/>
      <c r="K331" s="21"/>
      <c r="L331" s="21"/>
      <c r="M331" s="21"/>
      <c r="N331" s="21"/>
      <c r="O331" s="21">
        <v>1</v>
      </c>
      <c r="P331" s="21"/>
      <c r="Q331" s="21"/>
      <c r="R331" s="21"/>
      <c r="S331" s="21"/>
      <c r="T331" s="21"/>
      <c r="U331" s="21"/>
      <c r="V331" s="21">
        <v>1</v>
      </c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>
        <v>2</v>
      </c>
      <c r="AI331" s="21"/>
      <c r="AJ331" s="21"/>
      <c r="AK331" s="21"/>
      <c r="AL331" s="21"/>
      <c r="AM331" s="21">
        <v>1</v>
      </c>
      <c r="AN331" s="21"/>
      <c r="AO331" s="21"/>
      <c r="AP331" s="21"/>
      <c r="AQ331" s="21"/>
      <c r="AR331" s="21">
        <v>1</v>
      </c>
      <c r="AS331" s="21"/>
      <c r="AT331" s="12" t="str">
        <f>HYPERLINK("http://www.openstreetmap.org/?mlat=33.5503&amp;mlon=44.3732&amp;zoom=12#map=12/33.5503/44.3732","Maplink1")</f>
        <v>Maplink1</v>
      </c>
      <c r="AU331" s="12" t="str">
        <f>HYPERLINK("https://www.google.iq/maps/search/+33.5503,44.3732/@33.5503,44.3732,14z?hl=en","Maplink2")</f>
        <v>Maplink2</v>
      </c>
      <c r="AV331" s="12" t="str">
        <f>HYPERLINK("http://www.bing.com/maps/?lvl=14&amp;sty=h&amp;cp=33.5503~44.3732&amp;sp=point.33.5503_44.3732","Maplink3")</f>
        <v>Maplink3</v>
      </c>
    </row>
    <row r="332" spans="1:48" ht="15" customHeight="1" x14ac:dyDescent="0.25">
      <c r="A332" s="19">
        <v>23005</v>
      </c>
      <c r="B332" s="20" t="s">
        <v>11</v>
      </c>
      <c r="C332" s="20" t="s">
        <v>597</v>
      </c>
      <c r="D332" s="20" t="s">
        <v>6065</v>
      </c>
      <c r="E332" s="20" t="s">
        <v>6066</v>
      </c>
      <c r="F332" s="20">
        <v>33.419740310000002</v>
      </c>
      <c r="G332" s="20">
        <v>44.415911170000001</v>
      </c>
      <c r="H332" s="22">
        <v>2</v>
      </c>
      <c r="I332" s="22">
        <v>12</v>
      </c>
      <c r="J332" s="21">
        <v>1</v>
      </c>
      <c r="K332" s="21"/>
      <c r="L332" s="21"/>
      <c r="M332" s="21"/>
      <c r="N332" s="21"/>
      <c r="O332" s="21">
        <v>1</v>
      </c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>
        <v>2</v>
      </c>
      <c r="AI332" s="21"/>
      <c r="AJ332" s="21"/>
      <c r="AK332" s="21"/>
      <c r="AL332" s="21"/>
      <c r="AM332" s="21"/>
      <c r="AN332" s="21">
        <v>1</v>
      </c>
      <c r="AO332" s="21"/>
      <c r="AP332" s="21"/>
      <c r="AQ332" s="21">
        <v>1</v>
      </c>
      <c r="AR332" s="21"/>
      <c r="AS332" s="21"/>
      <c r="AT332" s="12" t="str">
        <f>HYPERLINK("http://www.openstreetmap.org/?mlat=33.4197&amp;mlon=44.4159&amp;zoom=12#map=12/33.4197/44.4159","Maplink1")</f>
        <v>Maplink1</v>
      </c>
      <c r="AU332" s="12" t="str">
        <f>HYPERLINK("https://www.google.iq/maps/search/+33.4197,44.4159/@33.4197,44.4159,14z?hl=en","Maplink2")</f>
        <v>Maplink2</v>
      </c>
      <c r="AV332" s="12" t="str">
        <f>HYPERLINK("http://www.bing.com/maps/?lvl=14&amp;sty=h&amp;cp=33.4197~44.4159&amp;sp=point.33.4197_44.4159","Maplink3")</f>
        <v>Maplink3</v>
      </c>
    </row>
    <row r="333" spans="1:48" ht="15" customHeight="1" x14ac:dyDescent="0.25">
      <c r="A333" s="19">
        <v>23736</v>
      </c>
      <c r="B333" s="20" t="s">
        <v>11</v>
      </c>
      <c r="C333" s="20" t="s">
        <v>597</v>
      </c>
      <c r="D333" s="20" t="s">
        <v>682</v>
      </c>
      <c r="E333" s="20" t="s">
        <v>683</v>
      </c>
      <c r="F333" s="20">
        <v>33.412658970000003</v>
      </c>
      <c r="G333" s="20">
        <v>44.415863160000001</v>
      </c>
      <c r="H333" s="22">
        <v>4</v>
      </c>
      <c r="I333" s="22">
        <v>24</v>
      </c>
      <c r="J333" s="21">
        <v>1</v>
      </c>
      <c r="K333" s="21"/>
      <c r="L333" s="21"/>
      <c r="M333" s="21"/>
      <c r="N333" s="21"/>
      <c r="O333" s="21">
        <v>1</v>
      </c>
      <c r="P333" s="21"/>
      <c r="Q333" s="21"/>
      <c r="R333" s="21"/>
      <c r="S333" s="21"/>
      <c r="T333" s="21"/>
      <c r="U333" s="21"/>
      <c r="V333" s="21">
        <v>1</v>
      </c>
      <c r="W333" s="21"/>
      <c r="X333" s="21">
        <v>1</v>
      </c>
      <c r="Y333" s="21"/>
      <c r="Z333" s="21"/>
      <c r="AA333" s="21"/>
      <c r="AB333" s="21"/>
      <c r="AC333" s="21"/>
      <c r="AD333" s="21"/>
      <c r="AE333" s="21"/>
      <c r="AF333" s="21"/>
      <c r="AG333" s="21"/>
      <c r="AH333" s="21">
        <v>4</v>
      </c>
      <c r="AI333" s="21"/>
      <c r="AJ333" s="21"/>
      <c r="AK333" s="21"/>
      <c r="AL333" s="21">
        <v>1</v>
      </c>
      <c r="AM333" s="21">
        <v>2</v>
      </c>
      <c r="AN333" s="21"/>
      <c r="AO333" s="21">
        <v>1</v>
      </c>
      <c r="AP333" s="21"/>
      <c r="AQ333" s="21"/>
      <c r="AR333" s="21"/>
      <c r="AS333" s="21"/>
      <c r="AT333" s="12" t="str">
        <f>HYPERLINK("http://www.openstreetmap.org/?mlat=33.4127&amp;mlon=44.4159&amp;zoom=12#map=12/33.4127/44.4159","Maplink1")</f>
        <v>Maplink1</v>
      </c>
      <c r="AU333" s="12" t="str">
        <f>HYPERLINK("https://www.google.iq/maps/search/+33.4127,44.4159/@33.4127,44.4159,14z?hl=en","Maplink2")</f>
        <v>Maplink2</v>
      </c>
      <c r="AV333" s="12" t="str">
        <f>HYPERLINK("http://www.bing.com/maps/?lvl=14&amp;sty=h&amp;cp=33.4127~44.4159&amp;sp=point.33.4127_44.4159","Maplink3")</f>
        <v>Maplink3</v>
      </c>
    </row>
    <row r="334" spans="1:48" ht="15" customHeight="1" x14ac:dyDescent="0.25">
      <c r="A334" s="19">
        <v>24440</v>
      </c>
      <c r="B334" s="20" t="s">
        <v>11</v>
      </c>
      <c r="C334" s="20" t="s">
        <v>597</v>
      </c>
      <c r="D334" s="20" t="s">
        <v>684</v>
      </c>
      <c r="E334" s="20" t="s">
        <v>685</v>
      </c>
      <c r="F334" s="20">
        <v>33.418468999600002</v>
      </c>
      <c r="G334" s="20">
        <v>44.402599133499997</v>
      </c>
      <c r="H334" s="22">
        <v>19</v>
      </c>
      <c r="I334" s="22">
        <v>114</v>
      </c>
      <c r="J334" s="21">
        <v>3</v>
      </c>
      <c r="K334" s="21"/>
      <c r="L334" s="21"/>
      <c r="M334" s="21"/>
      <c r="N334" s="21"/>
      <c r="O334" s="21">
        <v>4</v>
      </c>
      <c r="P334" s="21"/>
      <c r="Q334" s="21"/>
      <c r="R334" s="21">
        <v>1</v>
      </c>
      <c r="S334" s="21"/>
      <c r="T334" s="21"/>
      <c r="U334" s="21"/>
      <c r="V334" s="21">
        <v>7</v>
      </c>
      <c r="W334" s="21"/>
      <c r="X334" s="21">
        <v>4</v>
      </c>
      <c r="Y334" s="21"/>
      <c r="Z334" s="21"/>
      <c r="AA334" s="21"/>
      <c r="AB334" s="21"/>
      <c r="AC334" s="21">
        <v>3</v>
      </c>
      <c r="AD334" s="21"/>
      <c r="AE334" s="21"/>
      <c r="AF334" s="21"/>
      <c r="AG334" s="21"/>
      <c r="AH334" s="21">
        <v>16</v>
      </c>
      <c r="AI334" s="21"/>
      <c r="AJ334" s="21"/>
      <c r="AK334" s="21"/>
      <c r="AL334" s="21"/>
      <c r="AM334" s="21">
        <v>2</v>
      </c>
      <c r="AN334" s="21">
        <v>2</v>
      </c>
      <c r="AO334" s="21">
        <v>10</v>
      </c>
      <c r="AP334" s="21">
        <v>3</v>
      </c>
      <c r="AQ334" s="21"/>
      <c r="AR334" s="21">
        <v>2</v>
      </c>
      <c r="AS334" s="21"/>
      <c r="AT334" s="12" t="str">
        <f>HYPERLINK("http://www.openstreetmap.org/?mlat=33.4185&amp;mlon=44.4026&amp;zoom=12#map=12/33.4185/44.4026","Maplink1")</f>
        <v>Maplink1</v>
      </c>
      <c r="AU334" s="12" t="str">
        <f>HYPERLINK("https://www.google.iq/maps/search/+33.4185,44.4026/@33.4185,44.4026,14z?hl=en","Maplink2")</f>
        <v>Maplink2</v>
      </c>
      <c r="AV334" s="12" t="str">
        <f>HYPERLINK("http://www.bing.com/maps/?lvl=14&amp;sty=h&amp;cp=33.4185~44.4026&amp;sp=point.33.4185_44.4026","Maplink3")</f>
        <v>Maplink3</v>
      </c>
    </row>
    <row r="335" spans="1:48" ht="15" customHeight="1" x14ac:dyDescent="0.25">
      <c r="A335" s="19">
        <v>24441</v>
      </c>
      <c r="B335" s="20" t="s">
        <v>11</v>
      </c>
      <c r="C335" s="20" t="s">
        <v>597</v>
      </c>
      <c r="D335" s="20" t="s">
        <v>686</v>
      </c>
      <c r="E335" s="20" t="s">
        <v>687</v>
      </c>
      <c r="F335" s="20">
        <v>33.409859869999998</v>
      </c>
      <c r="G335" s="20">
        <v>44.388317829999998</v>
      </c>
      <c r="H335" s="22">
        <v>15</v>
      </c>
      <c r="I335" s="22">
        <v>90</v>
      </c>
      <c r="J335" s="21">
        <v>3</v>
      </c>
      <c r="K335" s="21"/>
      <c r="L335" s="21"/>
      <c r="M335" s="21"/>
      <c r="N335" s="21"/>
      <c r="O335" s="21">
        <v>1</v>
      </c>
      <c r="P335" s="21"/>
      <c r="Q335" s="21"/>
      <c r="R335" s="21"/>
      <c r="S335" s="21"/>
      <c r="T335" s="21"/>
      <c r="U335" s="21"/>
      <c r="V335" s="21">
        <v>11</v>
      </c>
      <c r="W335" s="21"/>
      <c r="X335" s="21"/>
      <c r="Y335" s="21"/>
      <c r="Z335" s="21"/>
      <c r="AA335" s="21"/>
      <c r="AB335" s="21"/>
      <c r="AC335" s="21">
        <v>2</v>
      </c>
      <c r="AD335" s="21"/>
      <c r="AE335" s="21"/>
      <c r="AF335" s="21"/>
      <c r="AG335" s="21"/>
      <c r="AH335" s="21">
        <v>13</v>
      </c>
      <c r="AI335" s="21"/>
      <c r="AJ335" s="21"/>
      <c r="AK335" s="21"/>
      <c r="AL335" s="21">
        <v>3</v>
      </c>
      <c r="AM335" s="21">
        <v>1</v>
      </c>
      <c r="AN335" s="21"/>
      <c r="AO335" s="21">
        <v>11</v>
      </c>
      <c r="AP335" s="21"/>
      <c r="AQ335" s="21"/>
      <c r="AR335" s="21"/>
      <c r="AS335" s="21"/>
      <c r="AT335" s="12" t="str">
        <f>HYPERLINK("http://www.openstreetmap.org/?mlat=33.4099&amp;mlon=44.3883&amp;zoom=12#map=12/33.4099/44.3883","Maplink1")</f>
        <v>Maplink1</v>
      </c>
      <c r="AU335" s="12" t="str">
        <f>HYPERLINK("https://www.google.iq/maps/search/+33.4099,44.3883/@33.4099,44.3883,14z?hl=en","Maplink2")</f>
        <v>Maplink2</v>
      </c>
      <c r="AV335" s="12" t="str">
        <f>HYPERLINK("http://www.bing.com/maps/?lvl=14&amp;sty=h&amp;cp=33.4099~44.3883&amp;sp=point.33.4099_44.3883","Maplink3")</f>
        <v>Maplink3</v>
      </c>
    </row>
    <row r="336" spans="1:48" ht="15" customHeight="1" x14ac:dyDescent="0.25">
      <c r="A336" s="19">
        <v>23978</v>
      </c>
      <c r="B336" s="20" t="s">
        <v>11</v>
      </c>
      <c r="C336" s="20" t="s">
        <v>597</v>
      </c>
      <c r="D336" s="20" t="s">
        <v>688</v>
      </c>
      <c r="E336" s="20" t="s">
        <v>689</v>
      </c>
      <c r="F336" s="20">
        <v>33.418086180000003</v>
      </c>
      <c r="G336" s="20">
        <v>44.399105089999999</v>
      </c>
      <c r="H336" s="22">
        <v>19</v>
      </c>
      <c r="I336" s="22">
        <v>114</v>
      </c>
      <c r="J336" s="21">
        <v>5</v>
      </c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>
        <v>12</v>
      </c>
      <c r="W336" s="21"/>
      <c r="X336" s="21">
        <v>2</v>
      </c>
      <c r="Y336" s="21"/>
      <c r="Z336" s="21"/>
      <c r="AA336" s="21"/>
      <c r="AB336" s="21"/>
      <c r="AC336" s="21">
        <v>6</v>
      </c>
      <c r="AD336" s="21"/>
      <c r="AE336" s="21"/>
      <c r="AF336" s="21"/>
      <c r="AG336" s="21"/>
      <c r="AH336" s="21">
        <v>13</v>
      </c>
      <c r="AI336" s="21"/>
      <c r="AJ336" s="21"/>
      <c r="AK336" s="21"/>
      <c r="AL336" s="21">
        <v>5</v>
      </c>
      <c r="AM336" s="21">
        <v>12</v>
      </c>
      <c r="AN336" s="21"/>
      <c r="AO336" s="21">
        <v>2</v>
      </c>
      <c r="AP336" s="21"/>
      <c r="AQ336" s="21"/>
      <c r="AR336" s="21"/>
      <c r="AS336" s="21"/>
      <c r="AT336" s="12" t="str">
        <f>HYPERLINK("http://www.openstreetmap.org/?mlat=33.4181&amp;mlon=44.3991&amp;zoom=12#map=12/33.4181/44.3991","Maplink1")</f>
        <v>Maplink1</v>
      </c>
      <c r="AU336" s="12" t="str">
        <f>HYPERLINK("https://www.google.iq/maps/search/+33.4181,44.3991/@33.4181,44.3991,14z?hl=en","Maplink2")</f>
        <v>Maplink2</v>
      </c>
      <c r="AV336" s="12" t="str">
        <f>HYPERLINK("http://www.bing.com/maps/?lvl=14&amp;sty=h&amp;cp=33.4181~44.3991&amp;sp=point.33.4181_44.3991","Maplink3")</f>
        <v>Maplink3</v>
      </c>
    </row>
    <row r="337" spans="1:48" ht="15" customHeight="1" x14ac:dyDescent="0.25">
      <c r="A337" s="19">
        <v>24443</v>
      </c>
      <c r="B337" s="20" t="s">
        <v>11</v>
      </c>
      <c r="C337" s="20" t="s">
        <v>597</v>
      </c>
      <c r="D337" s="20" t="s">
        <v>690</v>
      </c>
      <c r="E337" s="20" t="s">
        <v>691</v>
      </c>
      <c r="F337" s="20">
        <v>33.426702710000001</v>
      </c>
      <c r="G337" s="20">
        <v>44.421579719999997</v>
      </c>
      <c r="H337" s="22">
        <v>5</v>
      </c>
      <c r="I337" s="22">
        <v>30</v>
      </c>
      <c r="J337" s="21"/>
      <c r="K337" s="21"/>
      <c r="L337" s="21"/>
      <c r="M337" s="21"/>
      <c r="N337" s="21"/>
      <c r="O337" s="21">
        <v>1</v>
      </c>
      <c r="P337" s="21"/>
      <c r="Q337" s="21"/>
      <c r="R337" s="21"/>
      <c r="S337" s="21"/>
      <c r="T337" s="21"/>
      <c r="U337" s="21"/>
      <c r="V337" s="21">
        <v>3</v>
      </c>
      <c r="W337" s="21"/>
      <c r="X337" s="21">
        <v>1</v>
      </c>
      <c r="Y337" s="21"/>
      <c r="Z337" s="21"/>
      <c r="AA337" s="21"/>
      <c r="AB337" s="21"/>
      <c r="AC337" s="21"/>
      <c r="AD337" s="21"/>
      <c r="AE337" s="21"/>
      <c r="AF337" s="21"/>
      <c r="AG337" s="21"/>
      <c r="AH337" s="21">
        <v>5</v>
      </c>
      <c r="AI337" s="21"/>
      <c r="AJ337" s="21"/>
      <c r="AK337" s="21"/>
      <c r="AL337" s="21"/>
      <c r="AM337" s="21"/>
      <c r="AN337" s="21">
        <v>4</v>
      </c>
      <c r="AO337" s="21">
        <v>1</v>
      </c>
      <c r="AP337" s="21"/>
      <c r="AQ337" s="21"/>
      <c r="AR337" s="21"/>
      <c r="AS337" s="21"/>
      <c r="AT337" s="12" t="str">
        <f>HYPERLINK("http://www.openstreetmap.org/?mlat=33.4267&amp;mlon=44.4216&amp;zoom=12#map=12/33.4267/44.4216","Maplink1")</f>
        <v>Maplink1</v>
      </c>
      <c r="AU337" s="12" t="str">
        <f>HYPERLINK("https://www.google.iq/maps/search/+33.4267,44.4216/@33.4267,44.4216,14z?hl=en","Maplink2")</f>
        <v>Maplink2</v>
      </c>
      <c r="AV337" s="12" t="str">
        <f>HYPERLINK("http://www.bing.com/maps/?lvl=14&amp;sty=h&amp;cp=33.4267~44.4216&amp;sp=point.33.4267_44.4216","Maplink3")</f>
        <v>Maplink3</v>
      </c>
    </row>
    <row r="338" spans="1:48" ht="15" customHeight="1" x14ac:dyDescent="0.25">
      <c r="A338" s="19">
        <v>21629</v>
      </c>
      <c r="B338" s="20" t="s">
        <v>11</v>
      </c>
      <c r="C338" s="20" t="s">
        <v>597</v>
      </c>
      <c r="D338" s="20" t="s">
        <v>692</v>
      </c>
      <c r="E338" s="20" t="s">
        <v>693</v>
      </c>
      <c r="F338" s="20">
        <v>33.424536719999999</v>
      </c>
      <c r="G338" s="20">
        <v>44.386552870000003</v>
      </c>
      <c r="H338" s="22">
        <v>3</v>
      </c>
      <c r="I338" s="22">
        <v>18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>
        <v>1</v>
      </c>
      <c r="W338" s="21"/>
      <c r="X338" s="21">
        <v>2</v>
      </c>
      <c r="Y338" s="21"/>
      <c r="Z338" s="21"/>
      <c r="AA338" s="21"/>
      <c r="AB338" s="21"/>
      <c r="AC338" s="21"/>
      <c r="AD338" s="21"/>
      <c r="AE338" s="21"/>
      <c r="AF338" s="21"/>
      <c r="AG338" s="21"/>
      <c r="AH338" s="21">
        <v>3</v>
      </c>
      <c r="AI338" s="21"/>
      <c r="AJ338" s="21"/>
      <c r="AK338" s="21"/>
      <c r="AL338" s="21"/>
      <c r="AM338" s="21"/>
      <c r="AN338" s="21">
        <v>3</v>
      </c>
      <c r="AO338" s="21"/>
      <c r="AP338" s="21"/>
      <c r="AQ338" s="21"/>
      <c r="AR338" s="21"/>
      <c r="AS338" s="21"/>
      <c r="AT338" s="12" t="str">
        <f>HYPERLINK("http://www.openstreetmap.org/?mlat=33.4245&amp;mlon=44.3866&amp;zoom=12#map=12/33.4245/44.3866","Maplink1")</f>
        <v>Maplink1</v>
      </c>
      <c r="AU338" s="12" t="str">
        <f>HYPERLINK("https://www.google.iq/maps/search/+33.4245,44.3866/@33.4245,44.3866,14z?hl=en","Maplink2")</f>
        <v>Maplink2</v>
      </c>
      <c r="AV338" s="12" t="str">
        <f>HYPERLINK("http://www.bing.com/maps/?lvl=14&amp;sty=h&amp;cp=33.4245~44.3866&amp;sp=point.33.4245_44.3866","Maplink3")</f>
        <v>Maplink3</v>
      </c>
    </row>
    <row r="339" spans="1:48" ht="15" customHeight="1" x14ac:dyDescent="0.25">
      <c r="A339" s="19">
        <v>24450</v>
      </c>
      <c r="B339" s="20" t="s">
        <v>11</v>
      </c>
      <c r="C339" s="20" t="s">
        <v>597</v>
      </c>
      <c r="D339" s="20" t="s">
        <v>694</v>
      </c>
      <c r="E339" s="20" t="s">
        <v>695</v>
      </c>
      <c r="F339" s="20">
        <v>33.424781529999997</v>
      </c>
      <c r="G339" s="20">
        <v>44.397713029999998</v>
      </c>
      <c r="H339" s="22">
        <v>14</v>
      </c>
      <c r="I339" s="22">
        <v>84</v>
      </c>
      <c r="J339" s="21"/>
      <c r="K339" s="21"/>
      <c r="L339" s="21"/>
      <c r="M339" s="21"/>
      <c r="N339" s="21"/>
      <c r="O339" s="21">
        <v>5</v>
      </c>
      <c r="P339" s="21"/>
      <c r="Q339" s="21"/>
      <c r="R339" s="21"/>
      <c r="S339" s="21"/>
      <c r="T339" s="21"/>
      <c r="U339" s="21"/>
      <c r="V339" s="21">
        <v>5</v>
      </c>
      <c r="W339" s="21"/>
      <c r="X339" s="21">
        <v>4</v>
      </c>
      <c r="Y339" s="21"/>
      <c r="Z339" s="21"/>
      <c r="AA339" s="21"/>
      <c r="AB339" s="21"/>
      <c r="AC339" s="21">
        <v>2</v>
      </c>
      <c r="AD339" s="21"/>
      <c r="AE339" s="21"/>
      <c r="AF339" s="21"/>
      <c r="AG339" s="21"/>
      <c r="AH339" s="21">
        <v>12</v>
      </c>
      <c r="AI339" s="21"/>
      <c r="AJ339" s="21"/>
      <c r="AK339" s="21"/>
      <c r="AL339" s="21"/>
      <c r="AM339" s="21">
        <v>5</v>
      </c>
      <c r="AN339" s="21">
        <v>5</v>
      </c>
      <c r="AO339" s="21">
        <v>4</v>
      </c>
      <c r="AP339" s="21"/>
      <c r="AQ339" s="21"/>
      <c r="AR339" s="21"/>
      <c r="AS339" s="21"/>
      <c r="AT339" s="12" t="str">
        <f>HYPERLINK("http://www.openstreetmap.org/?mlat=33.4248&amp;mlon=44.3977&amp;zoom=12#map=12/33.4248/44.3977","Maplink1")</f>
        <v>Maplink1</v>
      </c>
      <c r="AU339" s="12" t="str">
        <f>HYPERLINK("https://www.google.iq/maps/search/+33.4248,44.3977/@33.4248,44.3977,14z?hl=en","Maplink2")</f>
        <v>Maplink2</v>
      </c>
      <c r="AV339" s="12" t="str">
        <f>HYPERLINK("http://www.bing.com/maps/?lvl=14&amp;sty=h&amp;cp=33.4248~44.3977&amp;sp=point.33.4248_44.3977","Maplink3")</f>
        <v>Maplink3</v>
      </c>
    </row>
    <row r="340" spans="1:48" ht="15" customHeight="1" x14ac:dyDescent="0.25">
      <c r="A340" s="19">
        <v>24002</v>
      </c>
      <c r="B340" s="20" t="s">
        <v>11</v>
      </c>
      <c r="C340" s="20" t="s">
        <v>597</v>
      </c>
      <c r="D340" s="20" t="s">
        <v>696</v>
      </c>
      <c r="E340" s="20" t="s">
        <v>697</v>
      </c>
      <c r="F340" s="20">
        <v>33.371555919999999</v>
      </c>
      <c r="G340" s="20">
        <v>44.369307710000001</v>
      </c>
      <c r="H340" s="22">
        <v>56</v>
      </c>
      <c r="I340" s="22">
        <v>336</v>
      </c>
      <c r="J340" s="21">
        <v>30</v>
      </c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>
        <v>26</v>
      </c>
      <c r="W340" s="21"/>
      <c r="X340" s="21"/>
      <c r="Y340" s="21"/>
      <c r="Z340" s="21"/>
      <c r="AA340" s="21"/>
      <c r="AB340" s="21"/>
      <c r="AC340" s="21">
        <v>20</v>
      </c>
      <c r="AD340" s="21"/>
      <c r="AE340" s="21"/>
      <c r="AF340" s="21"/>
      <c r="AG340" s="21"/>
      <c r="AH340" s="21">
        <v>36</v>
      </c>
      <c r="AI340" s="21"/>
      <c r="AJ340" s="21"/>
      <c r="AK340" s="21"/>
      <c r="AL340" s="21">
        <v>10</v>
      </c>
      <c r="AM340" s="21">
        <v>24</v>
      </c>
      <c r="AN340" s="21">
        <v>4</v>
      </c>
      <c r="AO340" s="21"/>
      <c r="AP340" s="21"/>
      <c r="AQ340" s="21"/>
      <c r="AR340" s="21">
        <v>8</v>
      </c>
      <c r="AS340" s="21">
        <v>10</v>
      </c>
      <c r="AT340" s="12" t="str">
        <f>HYPERLINK("http://www.openstreetmap.org/?mlat=33.3716&amp;mlon=44.3693&amp;zoom=12#map=12/33.3716/44.3693","Maplink1")</f>
        <v>Maplink1</v>
      </c>
      <c r="AU340" s="12" t="str">
        <f>HYPERLINK("https://www.google.iq/maps/search/+33.3716,44.3693/@33.3716,44.3693,14z?hl=en","Maplink2")</f>
        <v>Maplink2</v>
      </c>
      <c r="AV340" s="12" t="str">
        <f>HYPERLINK("http://www.bing.com/maps/?lvl=14&amp;sty=h&amp;cp=33.3716~44.3693&amp;sp=point.33.3716_44.3693","Maplink3")</f>
        <v>Maplink3</v>
      </c>
    </row>
    <row r="341" spans="1:48" ht="15" customHeight="1" x14ac:dyDescent="0.25">
      <c r="A341" s="19">
        <v>23987</v>
      </c>
      <c r="B341" s="20" t="s">
        <v>11</v>
      </c>
      <c r="C341" s="20" t="s">
        <v>597</v>
      </c>
      <c r="D341" s="20" t="s">
        <v>698</v>
      </c>
      <c r="E341" s="20" t="s">
        <v>699</v>
      </c>
      <c r="F341" s="20">
        <v>33.378524710000001</v>
      </c>
      <c r="G341" s="20">
        <v>44.368814700000001</v>
      </c>
      <c r="H341" s="22">
        <v>51</v>
      </c>
      <c r="I341" s="22">
        <v>306</v>
      </c>
      <c r="J341" s="21">
        <v>40</v>
      </c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>
        <v>11</v>
      </c>
      <c r="W341" s="21"/>
      <c r="X341" s="21"/>
      <c r="Y341" s="21"/>
      <c r="Z341" s="21"/>
      <c r="AA341" s="21"/>
      <c r="AB341" s="21"/>
      <c r="AC341" s="21">
        <v>20</v>
      </c>
      <c r="AD341" s="21"/>
      <c r="AE341" s="21"/>
      <c r="AF341" s="21"/>
      <c r="AG341" s="21"/>
      <c r="AH341" s="21">
        <v>31</v>
      </c>
      <c r="AI341" s="21"/>
      <c r="AJ341" s="21"/>
      <c r="AK341" s="21"/>
      <c r="AL341" s="21"/>
      <c r="AM341" s="21">
        <v>12</v>
      </c>
      <c r="AN341" s="21">
        <v>4</v>
      </c>
      <c r="AO341" s="21">
        <v>17</v>
      </c>
      <c r="AP341" s="21">
        <v>3</v>
      </c>
      <c r="AQ341" s="21"/>
      <c r="AR341" s="21">
        <v>15</v>
      </c>
      <c r="AS341" s="21"/>
      <c r="AT341" s="12" t="str">
        <f>HYPERLINK("http://www.openstreetmap.org/?mlat=33.3785&amp;mlon=44.3688&amp;zoom=12#map=12/33.3785/44.3688","Maplink1")</f>
        <v>Maplink1</v>
      </c>
      <c r="AU341" s="12" t="str">
        <f>HYPERLINK("https://www.google.iq/maps/search/+33.3785,44.3688/@33.3785,44.3688,14z?hl=en","Maplink2")</f>
        <v>Maplink2</v>
      </c>
      <c r="AV341" s="12" t="str">
        <f>HYPERLINK("http://www.bing.com/maps/?lvl=14&amp;sty=h&amp;cp=33.3785~44.3688&amp;sp=point.33.3785_44.3688","Maplink3")</f>
        <v>Maplink3</v>
      </c>
    </row>
    <row r="342" spans="1:48" ht="15" customHeight="1" x14ac:dyDescent="0.25">
      <c r="A342" s="19">
        <v>24003</v>
      </c>
      <c r="B342" s="20" t="s">
        <v>11</v>
      </c>
      <c r="C342" s="20" t="s">
        <v>597</v>
      </c>
      <c r="D342" s="20" t="s">
        <v>700</v>
      </c>
      <c r="E342" s="20" t="s">
        <v>701</v>
      </c>
      <c r="F342" s="20">
        <v>33.381101030000004</v>
      </c>
      <c r="G342" s="20">
        <v>44.373951949999999</v>
      </c>
      <c r="H342" s="22">
        <v>49</v>
      </c>
      <c r="I342" s="22">
        <v>294</v>
      </c>
      <c r="J342" s="21">
        <v>40</v>
      </c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>
        <v>9</v>
      </c>
      <c r="W342" s="21"/>
      <c r="X342" s="21"/>
      <c r="Y342" s="21"/>
      <c r="Z342" s="21"/>
      <c r="AA342" s="21"/>
      <c r="AB342" s="21"/>
      <c r="AC342" s="21">
        <v>25</v>
      </c>
      <c r="AD342" s="21"/>
      <c r="AE342" s="21"/>
      <c r="AF342" s="21"/>
      <c r="AG342" s="21"/>
      <c r="AH342" s="21">
        <v>24</v>
      </c>
      <c r="AI342" s="21"/>
      <c r="AJ342" s="21"/>
      <c r="AK342" s="21"/>
      <c r="AL342" s="21">
        <v>4</v>
      </c>
      <c r="AM342" s="21">
        <v>14</v>
      </c>
      <c r="AN342" s="21"/>
      <c r="AO342" s="21">
        <v>17</v>
      </c>
      <c r="AP342" s="21">
        <v>4</v>
      </c>
      <c r="AQ342" s="21"/>
      <c r="AR342" s="21">
        <v>10</v>
      </c>
      <c r="AS342" s="21"/>
      <c r="AT342" s="12" t="str">
        <f>HYPERLINK("http://www.openstreetmap.org/?mlat=33.3811&amp;mlon=44.374&amp;zoom=12#map=12/33.3811/44.374","Maplink1")</f>
        <v>Maplink1</v>
      </c>
      <c r="AU342" s="12" t="str">
        <f>HYPERLINK("https://www.google.iq/maps/search/+33.3811,44.374/@33.3811,44.374,14z?hl=en","Maplink2")</f>
        <v>Maplink2</v>
      </c>
      <c r="AV342" s="12" t="str">
        <f>HYPERLINK("http://www.bing.com/maps/?lvl=14&amp;sty=h&amp;cp=33.3811~44.374&amp;sp=point.33.3811_44.374","Maplink3")</f>
        <v>Maplink3</v>
      </c>
    </row>
    <row r="343" spans="1:48" ht="15" customHeight="1" x14ac:dyDescent="0.25">
      <c r="A343" s="19">
        <v>25219</v>
      </c>
      <c r="B343" s="20" t="s">
        <v>11</v>
      </c>
      <c r="C343" s="20" t="s">
        <v>597</v>
      </c>
      <c r="D343" s="20" t="s">
        <v>702</v>
      </c>
      <c r="E343" s="20" t="s">
        <v>703</v>
      </c>
      <c r="F343" s="20">
        <v>33.538023189999997</v>
      </c>
      <c r="G343" s="20">
        <v>44.324667509999998</v>
      </c>
      <c r="H343" s="22">
        <v>3</v>
      </c>
      <c r="I343" s="22">
        <v>18</v>
      </c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>
        <v>3</v>
      </c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>
        <v>3</v>
      </c>
      <c r="AI343" s="21"/>
      <c r="AJ343" s="21"/>
      <c r="AK343" s="21"/>
      <c r="AL343" s="21"/>
      <c r="AM343" s="21"/>
      <c r="AN343" s="21"/>
      <c r="AO343" s="21">
        <v>3</v>
      </c>
      <c r="AP343" s="21"/>
      <c r="AQ343" s="21"/>
      <c r="AR343" s="21"/>
      <c r="AS343" s="21"/>
      <c r="AT343" s="12" t="str">
        <f>HYPERLINK("http://www.openstreetmap.org/?mlat=33.538&amp;mlon=44.3247&amp;zoom=12#map=12/33.538/44.3247","Maplink1")</f>
        <v>Maplink1</v>
      </c>
      <c r="AU343" s="12" t="str">
        <f>HYPERLINK("https://www.google.iq/maps/search/+33.538,44.3247/@33.538,44.3247,14z?hl=en","Maplink2")</f>
        <v>Maplink2</v>
      </c>
      <c r="AV343" s="12" t="str">
        <f>HYPERLINK("http://www.bing.com/maps/?lvl=14&amp;sty=h&amp;cp=33.538~44.3247&amp;sp=point.33.538_44.3247","Maplink3")</f>
        <v>Maplink3</v>
      </c>
    </row>
    <row r="344" spans="1:48" ht="15" customHeight="1" x14ac:dyDescent="0.25">
      <c r="A344" s="19">
        <v>25619</v>
      </c>
      <c r="B344" s="20" t="s">
        <v>11</v>
      </c>
      <c r="C344" s="20" t="s">
        <v>597</v>
      </c>
      <c r="D344" s="20" t="s">
        <v>704</v>
      </c>
      <c r="E344" s="20" t="s">
        <v>705</v>
      </c>
      <c r="F344" s="20">
        <v>33.359462149999999</v>
      </c>
      <c r="G344" s="20">
        <v>44.387588000000001</v>
      </c>
      <c r="H344" s="22">
        <v>6</v>
      </c>
      <c r="I344" s="22">
        <v>36</v>
      </c>
      <c r="J344" s="21">
        <v>2</v>
      </c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>
        <v>4</v>
      </c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>
        <v>6</v>
      </c>
      <c r="AI344" s="21"/>
      <c r="AJ344" s="21"/>
      <c r="AK344" s="21"/>
      <c r="AL344" s="21"/>
      <c r="AM344" s="21">
        <v>4</v>
      </c>
      <c r="AN344" s="21"/>
      <c r="AO344" s="21"/>
      <c r="AP344" s="21"/>
      <c r="AQ344" s="21"/>
      <c r="AR344" s="21">
        <v>2</v>
      </c>
      <c r="AS344" s="21"/>
      <c r="AT344" s="12" t="str">
        <f>HYPERLINK("http://www.openstreetmap.org/?mlat=33.3595&amp;mlon=44.3876&amp;zoom=12#map=12/33.3595/44.3876","Maplink1")</f>
        <v>Maplink1</v>
      </c>
      <c r="AU344" s="12" t="str">
        <f>HYPERLINK("https://www.google.iq/maps/search/+33.3595,44.3876/@33.3595,44.3876,14z?hl=en","Maplink2")</f>
        <v>Maplink2</v>
      </c>
      <c r="AV344" s="12" t="str">
        <f>HYPERLINK("http://www.bing.com/maps/?lvl=14&amp;sty=h&amp;cp=33.3595~44.3876&amp;sp=point.33.3595_44.3876","Maplink3")</f>
        <v>Maplink3</v>
      </c>
    </row>
    <row r="345" spans="1:48" ht="15" customHeight="1" x14ac:dyDescent="0.25">
      <c r="A345" s="19">
        <v>25216</v>
      </c>
      <c r="B345" s="20" t="s">
        <v>11</v>
      </c>
      <c r="C345" s="20" t="s">
        <v>597</v>
      </c>
      <c r="D345" s="20" t="s">
        <v>706</v>
      </c>
      <c r="E345" s="20" t="s">
        <v>707</v>
      </c>
      <c r="F345" s="20">
        <v>33.560160000000003</v>
      </c>
      <c r="G345" s="20">
        <v>44.355350000000001</v>
      </c>
      <c r="H345" s="22">
        <v>2</v>
      </c>
      <c r="I345" s="22">
        <v>12</v>
      </c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>
        <v>2</v>
      </c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>
        <v>2</v>
      </c>
      <c r="AI345" s="21"/>
      <c r="AJ345" s="21"/>
      <c r="AK345" s="21"/>
      <c r="AL345" s="21"/>
      <c r="AM345" s="21"/>
      <c r="AN345" s="21"/>
      <c r="AO345" s="21">
        <v>2</v>
      </c>
      <c r="AP345" s="21"/>
      <c r="AQ345" s="21"/>
      <c r="AR345" s="21"/>
      <c r="AS345" s="21"/>
      <c r="AT345" s="12" t="str">
        <f>HYPERLINK("http://www.openstreetmap.org/?mlat=33.5602&amp;mlon=44.3554&amp;zoom=12#map=12/33.5602/44.3554","Maplink1")</f>
        <v>Maplink1</v>
      </c>
      <c r="AU345" s="12" t="str">
        <f>HYPERLINK("https://www.google.iq/maps/search/+33.5602,44.3554/@33.5602,44.3554,14z?hl=en","Maplink2")</f>
        <v>Maplink2</v>
      </c>
      <c r="AV345" s="12" t="str">
        <f>HYPERLINK("http://www.bing.com/maps/?lvl=14&amp;sty=h&amp;cp=33.5602~44.3554&amp;sp=point.33.5602_44.3554","Maplink3")</f>
        <v>Maplink3</v>
      </c>
    </row>
    <row r="346" spans="1:48" ht="15" customHeight="1" x14ac:dyDescent="0.25">
      <c r="A346" s="19">
        <v>25394</v>
      </c>
      <c r="B346" s="20" t="s">
        <v>11</v>
      </c>
      <c r="C346" s="20" t="s">
        <v>597</v>
      </c>
      <c r="D346" s="20" t="s">
        <v>708</v>
      </c>
      <c r="E346" s="20" t="s">
        <v>709</v>
      </c>
      <c r="F346" s="20">
        <v>33.466756699999998</v>
      </c>
      <c r="G346" s="20">
        <v>44.388156010000003</v>
      </c>
      <c r="H346" s="22">
        <v>18</v>
      </c>
      <c r="I346" s="22">
        <v>108</v>
      </c>
      <c r="J346" s="21">
        <v>1</v>
      </c>
      <c r="K346" s="21"/>
      <c r="L346" s="21"/>
      <c r="M346" s="21"/>
      <c r="N346" s="21"/>
      <c r="O346" s="21"/>
      <c r="P346" s="21"/>
      <c r="Q346" s="21"/>
      <c r="R346" s="21">
        <v>6</v>
      </c>
      <c r="S346" s="21"/>
      <c r="T346" s="21"/>
      <c r="U346" s="21"/>
      <c r="V346" s="21">
        <v>2</v>
      </c>
      <c r="W346" s="21"/>
      <c r="X346" s="21">
        <v>9</v>
      </c>
      <c r="Y346" s="21"/>
      <c r="Z346" s="21"/>
      <c r="AA346" s="21"/>
      <c r="AB346" s="21"/>
      <c r="AC346" s="21">
        <v>8</v>
      </c>
      <c r="AD346" s="21"/>
      <c r="AE346" s="21"/>
      <c r="AF346" s="21"/>
      <c r="AG346" s="21"/>
      <c r="AH346" s="21">
        <v>10</v>
      </c>
      <c r="AI346" s="21"/>
      <c r="AJ346" s="21"/>
      <c r="AK346" s="21"/>
      <c r="AL346" s="21">
        <v>1</v>
      </c>
      <c r="AM346" s="21">
        <v>11</v>
      </c>
      <c r="AN346" s="21"/>
      <c r="AO346" s="21"/>
      <c r="AP346" s="21"/>
      <c r="AQ346" s="21">
        <v>6</v>
      </c>
      <c r="AR346" s="21"/>
      <c r="AS346" s="21"/>
      <c r="AT346" s="12" t="str">
        <f>HYPERLINK("http://www.openstreetmap.org/?mlat=33.4668&amp;mlon=44.3882&amp;zoom=12#map=12/33.4668/44.3882","Maplink1")</f>
        <v>Maplink1</v>
      </c>
      <c r="AU346" s="12" t="str">
        <f>HYPERLINK("https://www.google.iq/maps/search/+33.4668,44.3882/@33.4668,44.3882,14z?hl=en","Maplink2")</f>
        <v>Maplink2</v>
      </c>
      <c r="AV346" s="12" t="str">
        <f>HYPERLINK("http://www.bing.com/maps/?lvl=14&amp;sty=h&amp;cp=33.4668~44.3882&amp;sp=point.33.4668_44.3882","Maplink3")</f>
        <v>Maplink3</v>
      </c>
    </row>
    <row r="347" spans="1:48" ht="15" customHeight="1" x14ac:dyDescent="0.25">
      <c r="A347" s="19">
        <v>25397</v>
      </c>
      <c r="B347" s="20" t="s">
        <v>11</v>
      </c>
      <c r="C347" s="20" t="s">
        <v>597</v>
      </c>
      <c r="D347" s="20" t="s">
        <v>710</v>
      </c>
      <c r="E347" s="20" t="s">
        <v>711</v>
      </c>
      <c r="F347" s="20">
        <v>33.445537862499997</v>
      </c>
      <c r="G347" s="20">
        <v>44.3822951123</v>
      </c>
      <c r="H347" s="22">
        <v>18</v>
      </c>
      <c r="I347" s="22">
        <v>108</v>
      </c>
      <c r="J347" s="21">
        <v>5</v>
      </c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>
        <v>5</v>
      </c>
      <c r="W347" s="21"/>
      <c r="X347" s="21">
        <v>8</v>
      </c>
      <c r="Y347" s="21"/>
      <c r="Z347" s="21"/>
      <c r="AA347" s="21"/>
      <c r="AB347" s="21"/>
      <c r="AC347" s="21">
        <v>8</v>
      </c>
      <c r="AD347" s="21"/>
      <c r="AE347" s="21"/>
      <c r="AF347" s="21"/>
      <c r="AG347" s="21"/>
      <c r="AH347" s="21">
        <v>10</v>
      </c>
      <c r="AI347" s="21"/>
      <c r="AJ347" s="21"/>
      <c r="AK347" s="21"/>
      <c r="AL347" s="21"/>
      <c r="AM347" s="21"/>
      <c r="AN347" s="21">
        <v>13</v>
      </c>
      <c r="AO347" s="21">
        <v>5</v>
      </c>
      <c r="AP347" s="21"/>
      <c r="AQ347" s="21"/>
      <c r="AR347" s="21"/>
      <c r="AS347" s="21"/>
      <c r="AT347" s="12" t="str">
        <f>HYPERLINK("http://www.openstreetmap.org/?mlat=33.4455&amp;mlon=44.3823&amp;zoom=12#map=12/33.4455/44.3823","Maplink1")</f>
        <v>Maplink1</v>
      </c>
      <c r="AU347" s="12" t="str">
        <f>HYPERLINK("https://www.google.iq/maps/search/+33.4455,44.3823/@33.4455,44.3823,14z?hl=en","Maplink2")</f>
        <v>Maplink2</v>
      </c>
      <c r="AV347" s="12" t="str">
        <f>HYPERLINK("http://www.bing.com/maps/?lvl=14&amp;sty=h&amp;cp=33.4455~44.3823&amp;sp=point.33.4455_44.3823","Maplink3")</f>
        <v>Maplink3</v>
      </c>
    </row>
    <row r="348" spans="1:48" ht="15" customHeight="1" x14ac:dyDescent="0.25">
      <c r="A348" s="19">
        <v>25396</v>
      </c>
      <c r="B348" s="20" t="s">
        <v>11</v>
      </c>
      <c r="C348" s="20" t="s">
        <v>597</v>
      </c>
      <c r="D348" s="20" t="s">
        <v>712</v>
      </c>
      <c r="E348" s="20" t="s">
        <v>713</v>
      </c>
      <c r="F348" s="20">
        <v>33.439494000000003</v>
      </c>
      <c r="G348" s="20">
        <v>44.438617999999998</v>
      </c>
      <c r="H348" s="22">
        <v>9</v>
      </c>
      <c r="I348" s="22">
        <v>54</v>
      </c>
      <c r="J348" s="21"/>
      <c r="K348" s="21"/>
      <c r="L348" s="21"/>
      <c r="M348" s="21"/>
      <c r="N348" s="21"/>
      <c r="O348" s="21">
        <v>2</v>
      </c>
      <c r="P348" s="21"/>
      <c r="Q348" s="21"/>
      <c r="R348" s="21"/>
      <c r="S348" s="21"/>
      <c r="T348" s="21"/>
      <c r="U348" s="21"/>
      <c r="V348" s="21"/>
      <c r="W348" s="21"/>
      <c r="X348" s="21">
        <v>7</v>
      </c>
      <c r="Y348" s="21"/>
      <c r="Z348" s="21"/>
      <c r="AA348" s="21"/>
      <c r="AB348" s="21"/>
      <c r="AC348" s="21">
        <v>9</v>
      </c>
      <c r="AD348" s="21"/>
      <c r="AE348" s="21"/>
      <c r="AF348" s="21"/>
      <c r="AG348" s="21"/>
      <c r="AH348" s="21"/>
      <c r="AI348" s="21"/>
      <c r="AJ348" s="21"/>
      <c r="AK348" s="21"/>
      <c r="AL348" s="21"/>
      <c r="AM348" s="21">
        <v>2</v>
      </c>
      <c r="AN348" s="21"/>
      <c r="AO348" s="21">
        <v>7</v>
      </c>
      <c r="AP348" s="21"/>
      <c r="AQ348" s="21"/>
      <c r="AR348" s="21"/>
      <c r="AS348" s="21"/>
      <c r="AT348" s="12" t="str">
        <f>HYPERLINK("http://www.openstreetmap.org/?mlat=33.4395&amp;mlon=44.4386&amp;zoom=12#map=12/33.4395/44.4386","Maplink1")</f>
        <v>Maplink1</v>
      </c>
      <c r="AU348" s="12" t="str">
        <f>HYPERLINK("https://www.google.iq/maps/search/+33.4395,44.4386/@33.4395,44.4386,14z?hl=en","Maplink2")</f>
        <v>Maplink2</v>
      </c>
      <c r="AV348" s="12" t="str">
        <f>HYPERLINK("http://www.bing.com/maps/?lvl=14&amp;sty=h&amp;cp=33.4395~44.4386&amp;sp=point.33.4395_44.4386","Maplink3")</f>
        <v>Maplink3</v>
      </c>
    </row>
    <row r="349" spans="1:48" ht="15" customHeight="1" x14ac:dyDescent="0.25">
      <c r="A349" s="19">
        <v>25398</v>
      </c>
      <c r="B349" s="20" t="s">
        <v>11</v>
      </c>
      <c r="C349" s="20" t="s">
        <v>597</v>
      </c>
      <c r="D349" s="20" t="s">
        <v>714</v>
      </c>
      <c r="E349" s="20" t="s">
        <v>715</v>
      </c>
      <c r="F349" s="20">
        <v>33.455837469999999</v>
      </c>
      <c r="G349" s="20">
        <v>44.374245780000003</v>
      </c>
      <c r="H349" s="22">
        <v>17</v>
      </c>
      <c r="I349" s="22">
        <v>102</v>
      </c>
      <c r="J349" s="21">
        <v>3</v>
      </c>
      <c r="K349" s="21"/>
      <c r="L349" s="21"/>
      <c r="M349" s="21"/>
      <c r="N349" s="21"/>
      <c r="O349" s="21">
        <v>10</v>
      </c>
      <c r="P349" s="21"/>
      <c r="Q349" s="21"/>
      <c r="R349" s="21"/>
      <c r="S349" s="21"/>
      <c r="T349" s="21"/>
      <c r="U349" s="21"/>
      <c r="V349" s="21"/>
      <c r="W349" s="21"/>
      <c r="X349" s="21">
        <v>4</v>
      </c>
      <c r="Y349" s="21"/>
      <c r="Z349" s="21"/>
      <c r="AA349" s="21"/>
      <c r="AB349" s="21"/>
      <c r="AC349" s="21">
        <v>7</v>
      </c>
      <c r="AD349" s="21"/>
      <c r="AE349" s="21"/>
      <c r="AF349" s="21"/>
      <c r="AG349" s="21"/>
      <c r="AH349" s="21">
        <v>10</v>
      </c>
      <c r="AI349" s="21"/>
      <c r="AJ349" s="21"/>
      <c r="AK349" s="21"/>
      <c r="AL349" s="21"/>
      <c r="AM349" s="21"/>
      <c r="AN349" s="21"/>
      <c r="AO349" s="21">
        <v>4</v>
      </c>
      <c r="AP349" s="21">
        <v>13</v>
      </c>
      <c r="AQ349" s="21"/>
      <c r="AR349" s="21"/>
      <c r="AS349" s="21"/>
      <c r="AT349" s="12" t="str">
        <f>HYPERLINK("http://www.openstreetmap.org/?mlat=33.4558&amp;mlon=44.3742&amp;zoom=12#map=12/33.4558/44.3742","Maplink1")</f>
        <v>Maplink1</v>
      </c>
      <c r="AU349" s="12" t="str">
        <f>HYPERLINK("https://www.google.iq/maps/search/+33.4558,44.3742/@33.4558,44.3742,14z?hl=en","Maplink2")</f>
        <v>Maplink2</v>
      </c>
      <c r="AV349" s="12" t="str">
        <f>HYPERLINK("http://www.bing.com/maps/?lvl=14&amp;sty=h&amp;cp=33.4558~44.3742&amp;sp=point.33.4558_44.3742","Maplink3")</f>
        <v>Maplink3</v>
      </c>
    </row>
    <row r="350" spans="1:48" ht="15" customHeight="1" x14ac:dyDescent="0.25">
      <c r="A350" s="19">
        <v>24988</v>
      </c>
      <c r="B350" s="20" t="s">
        <v>11</v>
      </c>
      <c r="C350" s="20" t="s">
        <v>597</v>
      </c>
      <c r="D350" s="20" t="s">
        <v>716</v>
      </c>
      <c r="E350" s="20" t="s">
        <v>717</v>
      </c>
      <c r="F350" s="20">
        <v>33.45354245</v>
      </c>
      <c r="G350" s="20">
        <v>44.345307179999999</v>
      </c>
      <c r="H350" s="22">
        <v>14</v>
      </c>
      <c r="I350" s="22">
        <v>84</v>
      </c>
      <c r="J350" s="21">
        <v>4</v>
      </c>
      <c r="K350" s="21"/>
      <c r="L350" s="21"/>
      <c r="M350" s="21"/>
      <c r="N350" s="21"/>
      <c r="O350" s="21">
        <v>4</v>
      </c>
      <c r="P350" s="21"/>
      <c r="Q350" s="21"/>
      <c r="R350" s="21"/>
      <c r="S350" s="21"/>
      <c r="T350" s="21"/>
      <c r="U350" s="21"/>
      <c r="V350" s="21">
        <v>6</v>
      </c>
      <c r="W350" s="21"/>
      <c r="X350" s="21"/>
      <c r="Y350" s="21"/>
      <c r="Z350" s="21"/>
      <c r="AA350" s="21"/>
      <c r="AB350" s="21"/>
      <c r="AC350" s="21">
        <v>4</v>
      </c>
      <c r="AD350" s="21"/>
      <c r="AE350" s="21"/>
      <c r="AF350" s="21"/>
      <c r="AG350" s="21"/>
      <c r="AH350" s="21">
        <v>10</v>
      </c>
      <c r="AI350" s="21"/>
      <c r="AJ350" s="21"/>
      <c r="AK350" s="21"/>
      <c r="AL350" s="21"/>
      <c r="AM350" s="21"/>
      <c r="AN350" s="21">
        <v>12</v>
      </c>
      <c r="AO350" s="21">
        <v>2</v>
      </c>
      <c r="AP350" s="21"/>
      <c r="AQ350" s="21"/>
      <c r="AR350" s="21"/>
      <c r="AS350" s="21"/>
      <c r="AT350" s="12" t="str">
        <f>HYPERLINK("http://www.openstreetmap.org/?mlat=33.4535&amp;mlon=44.3453&amp;zoom=12#map=12/33.4535/44.3453","Maplink1")</f>
        <v>Maplink1</v>
      </c>
      <c r="AU350" s="12" t="str">
        <f>HYPERLINK("https://www.google.iq/maps/search/+33.4535,44.3453/@33.4535,44.3453,14z?hl=en","Maplink2")</f>
        <v>Maplink2</v>
      </c>
      <c r="AV350" s="12" t="str">
        <f>HYPERLINK("http://www.bing.com/maps/?lvl=14&amp;sty=h&amp;cp=33.4535~44.3453&amp;sp=point.33.4535_44.3453","Maplink3")</f>
        <v>Maplink3</v>
      </c>
    </row>
    <row r="351" spans="1:48" ht="15" customHeight="1" x14ac:dyDescent="0.25">
      <c r="A351" s="19">
        <v>24176</v>
      </c>
      <c r="B351" s="20" t="s">
        <v>11</v>
      </c>
      <c r="C351" s="20" t="s">
        <v>597</v>
      </c>
      <c r="D351" s="20" t="s">
        <v>718</v>
      </c>
      <c r="E351" s="20" t="s">
        <v>719</v>
      </c>
      <c r="F351" s="20">
        <v>33.391742469999997</v>
      </c>
      <c r="G351" s="20">
        <v>44.358191660000003</v>
      </c>
      <c r="H351" s="22">
        <v>69</v>
      </c>
      <c r="I351" s="22">
        <v>414</v>
      </c>
      <c r="J351" s="21">
        <v>45</v>
      </c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>
        <v>16</v>
      </c>
      <c r="W351" s="21"/>
      <c r="X351" s="21">
        <v>8</v>
      </c>
      <c r="Y351" s="21"/>
      <c r="Z351" s="21"/>
      <c r="AA351" s="21"/>
      <c r="AB351" s="21"/>
      <c r="AC351" s="21">
        <v>23</v>
      </c>
      <c r="AD351" s="21"/>
      <c r="AE351" s="21"/>
      <c r="AF351" s="21"/>
      <c r="AG351" s="21"/>
      <c r="AH351" s="21">
        <v>46</v>
      </c>
      <c r="AI351" s="21"/>
      <c r="AJ351" s="21"/>
      <c r="AK351" s="21"/>
      <c r="AL351" s="21">
        <v>34</v>
      </c>
      <c r="AM351" s="21">
        <v>16</v>
      </c>
      <c r="AN351" s="21"/>
      <c r="AO351" s="21">
        <v>8</v>
      </c>
      <c r="AP351" s="21">
        <v>6</v>
      </c>
      <c r="AQ351" s="21"/>
      <c r="AR351" s="21">
        <v>5</v>
      </c>
      <c r="AS351" s="21"/>
      <c r="AT351" s="12" t="str">
        <f>HYPERLINK("http://www.openstreetmap.org/?mlat=33.3917&amp;mlon=44.3582&amp;zoom=12#map=12/33.3917/44.3582","Maplink1")</f>
        <v>Maplink1</v>
      </c>
      <c r="AU351" s="12" t="str">
        <f>HYPERLINK("https://www.google.iq/maps/search/+33.3917,44.3582/@33.3917,44.3582,14z?hl=en","Maplink2")</f>
        <v>Maplink2</v>
      </c>
      <c r="AV351" s="12" t="str">
        <f>HYPERLINK("http://www.bing.com/maps/?lvl=14&amp;sty=h&amp;cp=33.3917~44.3582&amp;sp=point.33.3917_44.3582","Maplink3")</f>
        <v>Maplink3</v>
      </c>
    </row>
    <row r="352" spans="1:48" ht="15" customHeight="1" x14ac:dyDescent="0.25">
      <c r="A352" s="19">
        <v>27255</v>
      </c>
      <c r="B352" s="20" t="s">
        <v>11</v>
      </c>
      <c r="C352" s="20" t="s">
        <v>597</v>
      </c>
      <c r="D352" s="20" t="s">
        <v>720</v>
      </c>
      <c r="E352" s="20" t="s">
        <v>721</v>
      </c>
      <c r="F352" s="20">
        <v>33.400347170000003</v>
      </c>
      <c r="G352" s="20">
        <v>44.350829670000003</v>
      </c>
      <c r="H352" s="22">
        <v>31</v>
      </c>
      <c r="I352" s="22">
        <v>186</v>
      </c>
      <c r="J352" s="21">
        <v>12</v>
      </c>
      <c r="K352" s="21"/>
      <c r="L352" s="21"/>
      <c r="M352" s="21"/>
      <c r="N352" s="21"/>
      <c r="O352" s="21">
        <v>4</v>
      </c>
      <c r="P352" s="21"/>
      <c r="Q352" s="21"/>
      <c r="R352" s="21"/>
      <c r="S352" s="21"/>
      <c r="T352" s="21"/>
      <c r="U352" s="21"/>
      <c r="V352" s="21">
        <v>9</v>
      </c>
      <c r="W352" s="21"/>
      <c r="X352" s="21">
        <v>6</v>
      </c>
      <c r="Y352" s="21"/>
      <c r="Z352" s="21"/>
      <c r="AA352" s="21"/>
      <c r="AB352" s="21"/>
      <c r="AC352" s="21">
        <v>18</v>
      </c>
      <c r="AD352" s="21"/>
      <c r="AE352" s="21"/>
      <c r="AF352" s="21"/>
      <c r="AG352" s="21"/>
      <c r="AH352" s="21">
        <v>13</v>
      </c>
      <c r="AI352" s="21"/>
      <c r="AJ352" s="21"/>
      <c r="AK352" s="21"/>
      <c r="AL352" s="21"/>
      <c r="AM352" s="21"/>
      <c r="AN352" s="21">
        <v>4</v>
      </c>
      <c r="AO352" s="21">
        <v>12</v>
      </c>
      <c r="AP352" s="21">
        <v>6</v>
      </c>
      <c r="AQ352" s="21"/>
      <c r="AR352" s="21">
        <v>9</v>
      </c>
      <c r="AS352" s="21"/>
      <c r="AT352" s="12" t="str">
        <f>HYPERLINK("http://www.openstreetmap.org/?mlat=33.4003&amp;mlon=44.3508&amp;zoom=12#map=12/33.4003/44.3508","Maplink1")</f>
        <v>Maplink1</v>
      </c>
      <c r="AU352" s="12" t="str">
        <f>HYPERLINK("https://www.google.iq/maps/search/+33.4003,44.3508/@33.4003,44.3508,14z?hl=en","Maplink2")</f>
        <v>Maplink2</v>
      </c>
      <c r="AV352" s="12" t="str">
        <f>HYPERLINK("http://www.bing.com/maps/?lvl=14&amp;sty=h&amp;cp=33.4003~44.3508&amp;sp=point.33.4003_44.3508","Maplink3")</f>
        <v>Maplink3</v>
      </c>
    </row>
    <row r="353" spans="1:48" ht="15" customHeight="1" x14ac:dyDescent="0.25">
      <c r="A353" s="19">
        <v>27256</v>
      </c>
      <c r="B353" s="20" t="s">
        <v>11</v>
      </c>
      <c r="C353" s="20" t="s">
        <v>597</v>
      </c>
      <c r="D353" s="20" t="s">
        <v>722</v>
      </c>
      <c r="E353" s="20" t="s">
        <v>723</v>
      </c>
      <c r="F353" s="20">
        <v>33.403281317599998</v>
      </c>
      <c r="G353" s="20">
        <v>44.342351082999997</v>
      </c>
      <c r="H353" s="22">
        <v>67</v>
      </c>
      <c r="I353" s="22">
        <v>402</v>
      </c>
      <c r="J353" s="21">
        <v>25</v>
      </c>
      <c r="K353" s="21"/>
      <c r="L353" s="21"/>
      <c r="M353" s="21"/>
      <c r="N353" s="21"/>
      <c r="O353" s="21">
        <v>11</v>
      </c>
      <c r="P353" s="21"/>
      <c r="Q353" s="21"/>
      <c r="R353" s="21">
        <v>2</v>
      </c>
      <c r="S353" s="21"/>
      <c r="T353" s="21"/>
      <c r="U353" s="21"/>
      <c r="V353" s="21">
        <v>19</v>
      </c>
      <c r="W353" s="21"/>
      <c r="X353" s="21">
        <v>10</v>
      </c>
      <c r="Y353" s="21"/>
      <c r="Z353" s="21"/>
      <c r="AA353" s="21"/>
      <c r="AB353" s="21"/>
      <c r="AC353" s="21">
        <v>20</v>
      </c>
      <c r="AD353" s="21"/>
      <c r="AE353" s="21"/>
      <c r="AF353" s="21"/>
      <c r="AG353" s="21"/>
      <c r="AH353" s="21">
        <v>47</v>
      </c>
      <c r="AI353" s="21"/>
      <c r="AJ353" s="21"/>
      <c r="AK353" s="21"/>
      <c r="AL353" s="21">
        <v>23</v>
      </c>
      <c r="AM353" s="21"/>
      <c r="AN353" s="21">
        <v>24</v>
      </c>
      <c r="AO353" s="21">
        <v>10</v>
      </c>
      <c r="AP353" s="21">
        <v>8</v>
      </c>
      <c r="AQ353" s="21"/>
      <c r="AR353" s="21">
        <v>2</v>
      </c>
      <c r="AS353" s="21"/>
      <c r="AT353" s="12" t="str">
        <f>HYPERLINK("http://www.openstreetmap.org/?mlat=33.4033&amp;mlon=44.3424&amp;zoom=12#map=12/33.4033/44.3424","Maplink1")</f>
        <v>Maplink1</v>
      </c>
      <c r="AU353" s="12" t="str">
        <f>HYPERLINK("https://www.google.iq/maps/search/+33.4033,44.3424/@33.4033,44.3424,14z?hl=en","Maplink2")</f>
        <v>Maplink2</v>
      </c>
      <c r="AV353" s="12" t="str">
        <f>HYPERLINK("http://www.bing.com/maps/?lvl=14&amp;sty=h&amp;cp=33.4033~44.3424&amp;sp=point.33.4033_44.3424","Maplink3")</f>
        <v>Maplink3</v>
      </c>
    </row>
    <row r="354" spans="1:48" ht="15" customHeight="1" x14ac:dyDescent="0.25">
      <c r="A354" s="19">
        <v>22777</v>
      </c>
      <c r="B354" s="20" t="s">
        <v>11</v>
      </c>
      <c r="C354" s="20" t="s">
        <v>597</v>
      </c>
      <c r="D354" s="20" t="s">
        <v>724</v>
      </c>
      <c r="E354" s="20" t="s">
        <v>725</v>
      </c>
      <c r="F354" s="20">
        <v>33.4057257005</v>
      </c>
      <c r="G354" s="20">
        <v>44.360295267799998</v>
      </c>
      <c r="H354" s="22">
        <v>75</v>
      </c>
      <c r="I354" s="22">
        <v>450</v>
      </c>
      <c r="J354" s="21">
        <v>50</v>
      </c>
      <c r="K354" s="21"/>
      <c r="L354" s="21"/>
      <c r="M354" s="21"/>
      <c r="N354" s="21"/>
      <c r="O354" s="21">
        <v>4</v>
      </c>
      <c r="P354" s="21"/>
      <c r="Q354" s="21"/>
      <c r="R354" s="21"/>
      <c r="S354" s="21"/>
      <c r="T354" s="21"/>
      <c r="U354" s="21"/>
      <c r="V354" s="21">
        <v>21</v>
      </c>
      <c r="W354" s="21"/>
      <c r="X354" s="21"/>
      <c r="Y354" s="21"/>
      <c r="Z354" s="21"/>
      <c r="AA354" s="21"/>
      <c r="AB354" s="21"/>
      <c r="AC354" s="21">
        <v>30</v>
      </c>
      <c r="AD354" s="21"/>
      <c r="AE354" s="21"/>
      <c r="AF354" s="21"/>
      <c r="AG354" s="21"/>
      <c r="AH354" s="21">
        <v>45</v>
      </c>
      <c r="AI354" s="21"/>
      <c r="AJ354" s="21"/>
      <c r="AK354" s="21"/>
      <c r="AL354" s="21">
        <v>31</v>
      </c>
      <c r="AM354" s="21">
        <v>16</v>
      </c>
      <c r="AN354" s="21">
        <v>21</v>
      </c>
      <c r="AO354" s="21">
        <v>1</v>
      </c>
      <c r="AP354" s="21"/>
      <c r="AQ354" s="21"/>
      <c r="AR354" s="21"/>
      <c r="AS354" s="21">
        <v>6</v>
      </c>
      <c r="AT354" s="12" t="str">
        <f>HYPERLINK("http://www.openstreetmap.org/?mlat=33.4057&amp;mlon=44.3603&amp;zoom=12#map=12/33.4057/44.3603","Maplink1")</f>
        <v>Maplink1</v>
      </c>
      <c r="AU354" s="12" t="str">
        <f>HYPERLINK("https://www.google.iq/maps/search/+33.4057,44.3603/@33.4057,44.3603,14z?hl=en","Maplink2")</f>
        <v>Maplink2</v>
      </c>
      <c r="AV354" s="12" t="str">
        <f>HYPERLINK("http://www.bing.com/maps/?lvl=14&amp;sty=h&amp;cp=33.4057~44.3603&amp;sp=point.33.4057_44.3603","Maplink3")</f>
        <v>Maplink3</v>
      </c>
    </row>
    <row r="355" spans="1:48" ht="15" customHeight="1" x14ac:dyDescent="0.25">
      <c r="A355" s="19">
        <v>22874</v>
      </c>
      <c r="B355" s="20" t="s">
        <v>11</v>
      </c>
      <c r="C355" s="20" t="s">
        <v>597</v>
      </c>
      <c r="D355" s="20" t="s">
        <v>726</v>
      </c>
      <c r="E355" s="20" t="s">
        <v>727</v>
      </c>
      <c r="F355" s="20">
        <v>33.4088782153</v>
      </c>
      <c r="G355" s="20">
        <v>44.3540014537</v>
      </c>
      <c r="H355" s="22">
        <v>56</v>
      </c>
      <c r="I355" s="22">
        <v>336</v>
      </c>
      <c r="J355" s="21">
        <v>32</v>
      </c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>
        <v>24</v>
      </c>
      <c r="W355" s="21"/>
      <c r="X355" s="21"/>
      <c r="Y355" s="21"/>
      <c r="Z355" s="21"/>
      <c r="AA355" s="21"/>
      <c r="AB355" s="21"/>
      <c r="AC355" s="21">
        <v>23</v>
      </c>
      <c r="AD355" s="21"/>
      <c r="AE355" s="21"/>
      <c r="AF355" s="21"/>
      <c r="AG355" s="21"/>
      <c r="AH355" s="21">
        <v>33</v>
      </c>
      <c r="AI355" s="21"/>
      <c r="AJ355" s="21"/>
      <c r="AK355" s="21"/>
      <c r="AL355" s="21">
        <v>31</v>
      </c>
      <c r="AM355" s="21"/>
      <c r="AN355" s="21">
        <v>15</v>
      </c>
      <c r="AO355" s="21"/>
      <c r="AP355" s="21">
        <v>5</v>
      </c>
      <c r="AQ355" s="21"/>
      <c r="AR355" s="21">
        <v>5</v>
      </c>
      <c r="AS355" s="21"/>
      <c r="AT355" s="12" t="str">
        <f>HYPERLINK("http://www.openstreetmap.org/?mlat=33.4089&amp;mlon=44.354&amp;zoom=12#map=12/33.4089/44.354","Maplink1")</f>
        <v>Maplink1</v>
      </c>
      <c r="AU355" s="12" t="str">
        <f>HYPERLINK("https://www.google.iq/maps/search/+33.4089,44.354/@33.4089,44.354,14z?hl=en","Maplink2")</f>
        <v>Maplink2</v>
      </c>
      <c r="AV355" s="12" t="str">
        <f>HYPERLINK("http://www.bing.com/maps/?lvl=14&amp;sty=h&amp;cp=33.4089~44.354&amp;sp=point.33.4089_44.354","Maplink3")</f>
        <v>Maplink3</v>
      </c>
    </row>
    <row r="356" spans="1:48" ht="15" customHeight="1" x14ac:dyDescent="0.25">
      <c r="A356" s="19">
        <v>27325</v>
      </c>
      <c r="B356" s="20" t="s">
        <v>11</v>
      </c>
      <c r="C356" s="20" t="s">
        <v>597</v>
      </c>
      <c r="D356" s="20" t="s">
        <v>728</v>
      </c>
      <c r="E356" s="20" t="s">
        <v>729</v>
      </c>
      <c r="F356" s="20">
        <v>33.397937820000003</v>
      </c>
      <c r="G356" s="20">
        <v>44.415286170000002</v>
      </c>
      <c r="H356" s="22">
        <v>30</v>
      </c>
      <c r="I356" s="22">
        <v>180</v>
      </c>
      <c r="J356" s="21">
        <v>9</v>
      </c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>
        <v>15</v>
      </c>
      <c r="W356" s="21"/>
      <c r="X356" s="21">
        <v>6</v>
      </c>
      <c r="Y356" s="21"/>
      <c r="Z356" s="21"/>
      <c r="AA356" s="21"/>
      <c r="AB356" s="21"/>
      <c r="AC356" s="21">
        <v>10</v>
      </c>
      <c r="AD356" s="21"/>
      <c r="AE356" s="21"/>
      <c r="AF356" s="21"/>
      <c r="AG356" s="21"/>
      <c r="AH356" s="21">
        <v>20</v>
      </c>
      <c r="AI356" s="21"/>
      <c r="AJ356" s="21"/>
      <c r="AK356" s="21"/>
      <c r="AL356" s="21">
        <v>10</v>
      </c>
      <c r="AM356" s="21">
        <v>2</v>
      </c>
      <c r="AN356" s="21">
        <v>8</v>
      </c>
      <c r="AO356" s="21">
        <v>5</v>
      </c>
      <c r="AP356" s="21">
        <v>3</v>
      </c>
      <c r="AQ356" s="21">
        <v>2</v>
      </c>
      <c r="AR356" s="21"/>
      <c r="AS356" s="21"/>
      <c r="AT356" s="12" t="str">
        <f>HYPERLINK("http://www.openstreetmap.org/?mlat=33.3979&amp;mlon=44.4153&amp;zoom=12#map=12/33.3979/44.4153","Maplink1")</f>
        <v>Maplink1</v>
      </c>
      <c r="AU356" s="12" t="str">
        <f>HYPERLINK("https://www.google.iq/maps/search/+33.3979,44.4153/@33.3979,44.4153,14z?hl=en","Maplink2")</f>
        <v>Maplink2</v>
      </c>
      <c r="AV356" s="12" t="str">
        <f>HYPERLINK("http://www.bing.com/maps/?lvl=14&amp;sty=h&amp;cp=33.3979~44.4153&amp;sp=point.33.3979_44.4153","Maplink3")</f>
        <v>Maplink3</v>
      </c>
    </row>
    <row r="357" spans="1:48" ht="15" customHeight="1" x14ac:dyDescent="0.25">
      <c r="A357" s="19">
        <v>24029</v>
      </c>
      <c r="B357" s="20" t="s">
        <v>11</v>
      </c>
      <c r="C357" s="20" t="s">
        <v>597</v>
      </c>
      <c r="D357" s="20" t="s">
        <v>730</v>
      </c>
      <c r="E357" s="20" t="s">
        <v>731</v>
      </c>
      <c r="F357" s="20">
        <v>33.409197759999998</v>
      </c>
      <c r="G357" s="20">
        <v>44.42332682</v>
      </c>
      <c r="H357" s="22">
        <v>8</v>
      </c>
      <c r="I357" s="22">
        <v>48</v>
      </c>
      <c r="J357" s="21">
        <v>2</v>
      </c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>
        <v>5</v>
      </c>
      <c r="W357" s="21"/>
      <c r="X357" s="21">
        <v>1</v>
      </c>
      <c r="Y357" s="21"/>
      <c r="Z357" s="21"/>
      <c r="AA357" s="21"/>
      <c r="AB357" s="21"/>
      <c r="AC357" s="21">
        <v>2</v>
      </c>
      <c r="AD357" s="21"/>
      <c r="AE357" s="21"/>
      <c r="AF357" s="21"/>
      <c r="AG357" s="21"/>
      <c r="AH357" s="21">
        <v>6</v>
      </c>
      <c r="AI357" s="21"/>
      <c r="AJ357" s="21"/>
      <c r="AK357" s="21"/>
      <c r="AL357" s="21">
        <v>2</v>
      </c>
      <c r="AM357" s="21">
        <v>2</v>
      </c>
      <c r="AN357" s="21"/>
      <c r="AO357" s="21">
        <v>2</v>
      </c>
      <c r="AP357" s="21"/>
      <c r="AQ357" s="21"/>
      <c r="AR357" s="21">
        <v>2</v>
      </c>
      <c r="AS357" s="21"/>
      <c r="AT357" s="12" t="str">
        <f>HYPERLINK("http://www.openstreetmap.org/?mlat=33.4092&amp;mlon=44.4233&amp;zoom=12#map=12/33.4092/44.4233","Maplink1")</f>
        <v>Maplink1</v>
      </c>
      <c r="AU357" s="12" t="str">
        <f>HYPERLINK("https://www.google.iq/maps/search/+33.4092,44.4233/@33.4092,44.4233,14z?hl=en","Maplink2")</f>
        <v>Maplink2</v>
      </c>
      <c r="AV357" s="12" t="str">
        <f>HYPERLINK("http://www.bing.com/maps/?lvl=14&amp;sty=h&amp;cp=33.4092~44.4233&amp;sp=point.33.4092_44.4233","Maplink3")</f>
        <v>Maplink3</v>
      </c>
    </row>
    <row r="358" spans="1:48" ht="15" customHeight="1" x14ac:dyDescent="0.25">
      <c r="A358" s="19">
        <v>7688</v>
      </c>
      <c r="B358" s="20" t="s">
        <v>11</v>
      </c>
      <c r="C358" s="20" t="s">
        <v>597</v>
      </c>
      <c r="D358" s="20" t="s">
        <v>732</v>
      </c>
      <c r="E358" s="20" t="s">
        <v>733</v>
      </c>
      <c r="F358" s="20">
        <v>33.5063925316</v>
      </c>
      <c r="G358" s="20">
        <v>44.381399760100003</v>
      </c>
      <c r="H358" s="22">
        <v>2</v>
      </c>
      <c r="I358" s="22">
        <v>12</v>
      </c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>
        <v>2</v>
      </c>
      <c r="W358" s="21"/>
      <c r="X358" s="21"/>
      <c r="Y358" s="21"/>
      <c r="Z358" s="21"/>
      <c r="AA358" s="21"/>
      <c r="AB358" s="21"/>
      <c r="AC358" s="21">
        <v>2</v>
      </c>
      <c r="AD358" s="21"/>
      <c r="AE358" s="21"/>
      <c r="AF358" s="21"/>
      <c r="AG358" s="21"/>
      <c r="AH358" s="21"/>
      <c r="AI358" s="21"/>
      <c r="AJ358" s="21"/>
      <c r="AK358" s="21"/>
      <c r="AL358" s="21"/>
      <c r="AM358" s="21">
        <v>2</v>
      </c>
      <c r="AN358" s="21"/>
      <c r="AO358" s="21"/>
      <c r="AP358" s="21"/>
      <c r="AQ358" s="21"/>
      <c r="AR358" s="21"/>
      <c r="AS358" s="21"/>
      <c r="AT358" s="12" t="str">
        <f>HYPERLINK("http://www.openstreetmap.org/?mlat=33.5064&amp;mlon=44.3814&amp;zoom=12#map=12/33.5064/44.3814","Maplink1")</f>
        <v>Maplink1</v>
      </c>
      <c r="AU358" s="12" t="str">
        <f>HYPERLINK("https://www.google.iq/maps/search/+33.5064,44.3814/@33.5064,44.3814,14z?hl=en","Maplink2")</f>
        <v>Maplink2</v>
      </c>
      <c r="AV358" s="12" t="str">
        <f>HYPERLINK("http://www.bing.com/maps/?lvl=14&amp;sty=h&amp;cp=33.5064~44.3814&amp;sp=point.33.5064_44.3814","Maplink3")</f>
        <v>Maplink3</v>
      </c>
    </row>
    <row r="359" spans="1:48" ht="15" customHeight="1" x14ac:dyDescent="0.25">
      <c r="A359" s="19">
        <v>7646</v>
      </c>
      <c r="B359" s="20" t="s">
        <v>11</v>
      </c>
      <c r="C359" s="20" t="s">
        <v>597</v>
      </c>
      <c r="D359" s="20" t="s">
        <v>734</v>
      </c>
      <c r="E359" s="20" t="s">
        <v>735</v>
      </c>
      <c r="F359" s="20">
        <v>33.4354238962</v>
      </c>
      <c r="G359" s="20">
        <v>44.442110798500003</v>
      </c>
      <c r="H359" s="22">
        <v>25</v>
      </c>
      <c r="I359" s="22">
        <v>150</v>
      </c>
      <c r="J359" s="21">
        <v>3</v>
      </c>
      <c r="K359" s="21"/>
      <c r="L359" s="21"/>
      <c r="M359" s="21"/>
      <c r="N359" s="21"/>
      <c r="O359" s="21">
        <v>4</v>
      </c>
      <c r="P359" s="21"/>
      <c r="Q359" s="21"/>
      <c r="R359" s="21">
        <v>2</v>
      </c>
      <c r="S359" s="21"/>
      <c r="T359" s="21"/>
      <c r="U359" s="21"/>
      <c r="V359" s="21">
        <v>12</v>
      </c>
      <c r="W359" s="21"/>
      <c r="X359" s="21">
        <v>4</v>
      </c>
      <c r="Y359" s="21"/>
      <c r="Z359" s="21"/>
      <c r="AA359" s="21"/>
      <c r="AB359" s="21"/>
      <c r="AC359" s="21">
        <v>6</v>
      </c>
      <c r="AD359" s="21"/>
      <c r="AE359" s="21"/>
      <c r="AF359" s="21"/>
      <c r="AG359" s="21"/>
      <c r="AH359" s="21">
        <v>19</v>
      </c>
      <c r="AI359" s="21"/>
      <c r="AJ359" s="21"/>
      <c r="AK359" s="21"/>
      <c r="AL359" s="21">
        <v>3</v>
      </c>
      <c r="AM359" s="21">
        <v>12</v>
      </c>
      <c r="AN359" s="21">
        <v>4</v>
      </c>
      <c r="AO359" s="21">
        <v>6</v>
      </c>
      <c r="AP359" s="21"/>
      <c r="AQ359" s="21"/>
      <c r="AR359" s="21"/>
      <c r="AS359" s="21"/>
      <c r="AT359" s="12" t="str">
        <f>HYPERLINK("http://www.openstreetmap.org/?mlat=33.4354&amp;mlon=44.4421&amp;zoom=12#map=12/33.4354/44.4421","Maplink1")</f>
        <v>Maplink1</v>
      </c>
      <c r="AU359" s="12" t="str">
        <f>HYPERLINK("https://www.google.iq/maps/search/+33.4354,44.4421/@33.4354,44.4421,14z?hl=en","Maplink2")</f>
        <v>Maplink2</v>
      </c>
      <c r="AV359" s="12" t="str">
        <f>HYPERLINK("http://www.bing.com/maps/?lvl=14&amp;sty=h&amp;cp=33.4354~44.4421&amp;sp=point.33.4354_44.4421","Maplink3")</f>
        <v>Maplink3</v>
      </c>
    </row>
    <row r="360" spans="1:48" ht="15" customHeight="1" x14ac:dyDescent="0.25">
      <c r="A360" s="19">
        <v>24439</v>
      </c>
      <c r="B360" s="20" t="s">
        <v>11</v>
      </c>
      <c r="C360" s="20" t="s">
        <v>597</v>
      </c>
      <c r="D360" s="20" t="s">
        <v>736</v>
      </c>
      <c r="E360" s="20" t="s">
        <v>737</v>
      </c>
      <c r="F360" s="20">
        <v>33.3950425365</v>
      </c>
      <c r="G360" s="20">
        <v>44.394343170900001</v>
      </c>
      <c r="H360" s="22">
        <v>16</v>
      </c>
      <c r="I360" s="22">
        <v>96</v>
      </c>
      <c r="J360" s="21">
        <v>2</v>
      </c>
      <c r="K360" s="21"/>
      <c r="L360" s="21"/>
      <c r="M360" s="21"/>
      <c r="N360" s="21"/>
      <c r="O360" s="21">
        <v>1</v>
      </c>
      <c r="P360" s="21"/>
      <c r="Q360" s="21"/>
      <c r="R360" s="21"/>
      <c r="S360" s="21"/>
      <c r="T360" s="21"/>
      <c r="U360" s="21"/>
      <c r="V360" s="21">
        <v>8</v>
      </c>
      <c r="W360" s="21"/>
      <c r="X360" s="21">
        <v>5</v>
      </c>
      <c r="Y360" s="21"/>
      <c r="Z360" s="21"/>
      <c r="AA360" s="21"/>
      <c r="AB360" s="21"/>
      <c r="AC360" s="21">
        <v>3</v>
      </c>
      <c r="AD360" s="21"/>
      <c r="AE360" s="21"/>
      <c r="AF360" s="21"/>
      <c r="AG360" s="21"/>
      <c r="AH360" s="21">
        <v>13</v>
      </c>
      <c r="AI360" s="21"/>
      <c r="AJ360" s="21"/>
      <c r="AK360" s="21"/>
      <c r="AL360" s="21"/>
      <c r="AM360" s="21">
        <v>6</v>
      </c>
      <c r="AN360" s="21">
        <v>4</v>
      </c>
      <c r="AO360" s="21">
        <v>4</v>
      </c>
      <c r="AP360" s="21">
        <v>2</v>
      </c>
      <c r="AQ360" s="21"/>
      <c r="AR360" s="21"/>
      <c r="AS360" s="21"/>
      <c r="AT360" s="12" t="str">
        <f>HYPERLINK("http://www.openstreetmap.org/?mlat=33.395&amp;mlon=44.3943&amp;zoom=12#map=12/33.395/44.3943","Maplink1")</f>
        <v>Maplink1</v>
      </c>
      <c r="AU360" s="12" t="str">
        <f>HYPERLINK("https://www.google.iq/maps/search/+33.395,44.3943/@33.395,44.3943,14z?hl=en","Maplink2")</f>
        <v>Maplink2</v>
      </c>
      <c r="AV360" s="12" t="str">
        <f>HYPERLINK("http://www.bing.com/maps/?lvl=14&amp;sty=h&amp;cp=33.395~44.3943&amp;sp=point.33.395_44.3943","Maplink3")</f>
        <v>Maplink3</v>
      </c>
    </row>
    <row r="361" spans="1:48" ht="15" customHeight="1" x14ac:dyDescent="0.25">
      <c r="A361" s="19">
        <v>24001</v>
      </c>
      <c r="B361" s="20" t="s">
        <v>11</v>
      </c>
      <c r="C361" s="20" t="s">
        <v>597</v>
      </c>
      <c r="D361" s="20" t="s">
        <v>738</v>
      </c>
      <c r="E361" s="20" t="s">
        <v>739</v>
      </c>
      <c r="F361" s="20">
        <v>33.393538501599998</v>
      </c>
      <c r="G361" s="20">
        <v>44.381439080299998</v>
      </c>
      <c r="H361" s="22">
        <v>23</v>
      </c>
      <c r="I361" s="22">
        <v>138</v>
      </c>
      <c r="J361" s="21">
        <v>10</v>
      </c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>
        <v>5</v>
      </c>
      <c r="W361" s="21"/>
      <c r="X361" s="21">
        <v>8</v>
      </c>
      <c r="Y361" s="21"/>
      <c r="Z361" s="21"/>
      <c r="AA361" s="21"/>
      <c r="AB361" s="21"/>
      <c r="AC361" s="21">
        <v>8</v>
      </c>
      <c r="AD361" s="21"/>
      <c r="AE361" s="21"/>
      <c r="AF361" s="21"/>
      <c r="AG361" s="21"/>
      <c r="AH361" s="21">
        <v>15</v>
      </c>
      <c r="AI361" s="21"/>
      <c r="AJ361" s="21"/>
      <c r="AK361" s="21"/>
      <c r="AL361" s="21">
        <v>8</v>
      </c>
      <c r="AM361" s="21">
        <v>5</v>
      </c>
      <c r="AN361" s="21"/>
      <c r="AO361" s="21">
        <v>8</v>
      </c>
      <c r="AP361" s="21">
        <v>2</v>
      </c>
      <c r="AQ361" s="21"/>
      <c r="AR361" s="21"/>
      <c r="AS361" s="21"/>
      <c r="AT361" s="12" t="str">
        <f>HYPERLINK("http://www.openstreetmap.org/?mlat=33.3935&amp;mlon=44.3814&amp;zoom=12#map=12/33.3935/44.3814","Maplink1")</f>
        <v>Maplink1</v>
      </c>
      <c r="AU361" s="12" t="str">
        <f>HYPERLINK("https://www.google.iq/maps/search/+33.3935,44.3814/@33.3935,44.3814,14z?hl=en","Maplink2")</f>
        <v>Maplink2</v>
      </c>
      <c r="AV361" s="12" t="str">
        <f>HYPERLINK("http://www.bing.com/maps/?lvl=14&amp;sty=h&amp;cp=33.3935~44.3814&amp;sp=point.33.3935_44.3814","Maplink3")</f>
        <v>Maplink3</v>
      </c>
    </row>
    <row r="362" spans="1:48" ht="15" customHeight="1" x14ac:dyDescent="0.25">
      <c r="A362" s="19">
        <v>27254</v>
      </c>
      <c r="B362" s="20" t="s">
        <v>11</v>
      </c>
      <c r="C362" s="20" t="s">
        <v>597</v>
      </c>
      <c r="D362" s="20" t="s">
        <v>740</v>
      </c>
      <c r="E362" s="20" t="s">
        <v>741</v>
      </c>
      <c r="F362" s="20">
        <v>33.3953385557</v>
      </c>
      <c r="G362" s="20">
        <v>44.3779900332</v>
      </c>
      <c r="H362" s="22">
        <v>15</v>
      </c>
      <c r="I362" s="22">
        <v>90</v>
      </c>
      <c r="J362" s="21">
        <v>6</v>
      </c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>
        <v>9</v>
      </c>
      <c r="W362" s="21"/>
      <c r="X362" s="21"/>
      <c r="Y362" s="21"/>
      <c r="Z362" s="21"/>
      <c r="AA362" s="21"/>
      <c r="AB362" s="21"/>
      <c r="AC362" s="21">
        <v>5</v>
      </c>
      <c r="AD362" s="21"/>
      <c r="AE362" s="21"/>
      <c r="AF362" s="21"/>
      <c r="AG362" s="21"/>
      <c r="AH362" s="21">
        <v>10</v>
      </c>
      <c r="AI362" s="21"/>
      <c r="AJ362" s="21"/>
      <c r="AK362" s="21"/>
      <c r="AL362" s="21"/>
      <c r="AM362" s="21"/>
      <c r="AN362" s="21"/>
      <c r="AO362" s="21">
        <v>9</v>
      </c>
      <c r="AP362" s="21">
        <v>6</v>
      </c>
      <c r="AQ362" s="21"/>
      <c r="AR362" s="21"/>
      <c r="AS362" s="21"/>
      <c r="AT362" s="12" t="str">
        <f>HYPERLINK("http://www.openstreetmap.org/?mlat=33.3953&amp;mlon=44.378&amp;zoom=12#map=12/33.3953/44.378","Maplink1")</f>
        <v>Maplink1</v>
      </c>
      <c r="AU362" s="12" t="str">
        <f>HYPERLINK("https://www.google.iq/maps/search/+33.3953,44.378/@33.3953,44.378,14z?hl=en","Maplink2")</f>
        <v>Maplink2</v>
      </c>
      <c r="AV362" s="12" t="str">
        <f>HYPERLINK("http://www.bing.com/maps/?lvl=14&amp;sty=h&amp;cp=33.3953~44.378&amp;sp=point.33.3953_44.378","Maplink3")</f>
        <v>Maplink3</v>
      </c>
    </row>
    <row r="363" spans="1:48" ht="15" customHeight="1" x14ac:dyDescent="0.25">
      <c r="A363" s="19">
        <v>22538</v>
      </c>
      <c r="B363" s="20" t="s">
        <v>11</v>
      </c>
      <c r="C363" s="20" t="s">
        <v>597</v>
      </c>
      <c r="D363" s="20" t="s">
        <v>742</v>
      </c>
      <c r="E363" s="20" t="s">
        <v>743</v>
      </c>
      <c r="F363" s="20">
        <v>33.408381030699999</v>
      </c>
      <c r="G363" s="20">
        <v>44.367423740699998</v>
      </c>
      <c r="H363" s="22">
        <v>32</v>
      </c>
      <c r="I363" s="22">
        <v>192</v>
      </c>
      <c r="J363" s="21">
        <v>11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>
        <v>12</v>
      </c>
      <c r="W363" s="21"/>
      <c r="X363" s="21">
        <v>9</v>
      </c>
      <c r="Y363" s="21"/>
      <c r="Z363" s="21"/>
      <c r="AA363" s="21"/>
      <c r="AB363" s="21"/>
      <c r="AC363" s="21">
        <v>9</v>
      </c>
      <c r="AD363" s="21"/>
      <c r="AE363" s="21"/>
      <c r="AF363" s="21"/>
      <c r="AG363" s="21"/>
      <c r="AH363" s="21">
        <v>23</v>
      </c>
      <c r="AI363" s="21"/>
      <c r="AJ363" s="21"/>
      <c r="AK363" s="21"/>
      <c r="AL363" s="21">
        <v>2</v>
      </c>
      <c r="AM363" s="21">
        <v>12</v>
      </c>
      <c r="AN363" s="21"/>
      <c r="AO363" s="21">
        <v>9</v>
      </c>
      <c r="AP363" s="21">
        <v>2</v>
      </c>
      <c r="AQ363" s="21"/>
      <c r="AR363" s="21">
        <v>7</v>
      </c>
      <c r="AS363" s="21"/>
      <c r="AT363" s="12" t="str">
        <f>HYPERLINK("http://www.openstreetmap.org/?mlat=33.4084&amp;mlon=44.3674&amp;zoom=12#map=12/33.4084/44.3674","Maplink1")</f>
        <v>Maplink1</v>
      </c>
      <c r="AU363" s="12" t="str">
        <f>HYPERLINK("https://www.google.iq/maps/search/+33.4084,44.3674/@33.4084,44.3674,14z?hl=en","Maplink2")</f>
        <v>Maplink2</v>
      </c>
      <c r="AV363" s="12" t="str">
        <f>HYPERLINK("http://www.bing.com/maps/?lvl=14&amp;sty=h&amp;cp=33.4084~44.3674&amp;sp=point.33.4084_44.3674","Maplink3")</f>
        <v>Maplink3</v>
      </c>
    </row>
    <row r="364" spans="1:48" ht="15" customHeight="1" x14ac:dyDescent="0.25">
      <c r="A364" s="19">
        <v>24734</v>
      </c>
      <c r="B364" s="20" t="s">
        <v>11</v>
      </c>
      <c r="C364" s="20" t="s">
        <v>744</v>
      </c>
      <c r="D364" s="20" t="s">
        <v>745</v>
      </c>
      <c r="E364" s="20" t="s">
        <v>746</v>
      </c>
      <c r="F364" s="20">
        <v>33.360931489999999</v>
      </c>
      <c r="G364" s="20">
        <v>44.418060820000001</v>
      </c>
      <c r="H364" s="22">
        <v>15</v>
      </c>
      <c r="I364" s="22">
        <v>90</v>
      </c>
      <c r="J364" s="21">
        <v>3</v>
      </c>
      <c r="K364" s="21"/>
      <c r="L364" s="21"/>
      <c r="M364" s="21"/>
      <c r="N364" s="21"/>
      <c r="O364" s="21">
        <v>2</v>
      </c>
      <c r="P364" s="21"/>
      <c r="Q364" s="21"/>
      <c r="R364" s="21"/>
      <c r="S364" s="21"/>
      <c r="T364" s="21"/>
      <c r="U364" s="21"/>
      <c r="V364" s="21">
        <v>6</v>
      </c>
      <c r="W364" s="21"/>
      <c r="X364" s="21">
        <v>4</v>
      </c>
      <c r="Y364" s="21"/>
      <c r="Z364" s="21"/>
      <c r="AA364" s="21"/>
      <c r="AB364" s="21"/>
      <c r="AC364" s="21">
        <v>6</v>
      </c>
      <c r="AD364" s="21"/>
      <c r="AE364" s="21"/>
      <c r="AF364" s="21"/>
      <c r="AG364" s="21"/>
      <c r="AH364" s="21">
        <v>9</v>
      </c>
      <c r="AI364" s="21"/>
      <c r="AJ364" s="21"/>
      <c r="AK364" s="21"/>
      <c r="AL364" s="21"/>
      <c r="AM364" s="21"/>
      <c r="AN364" s="21">
        <v>3</v>
      </c>
      <c r="AO364" s="21">
        <v>6</v>
      </c>
      <c r="AP364" s="21"/>
      <c r="AQ364" s="21">
        <v>3</v>
      </c>
      <c r="AR364" s="21">
        <v>3</v>
      </c>
      <c r="AS364" s="21"/>
      <c r="AT364" s="12" t="str">
        <f>HYPERLINK("http://www.openstreetmap.org/?mlat=33.3609&amp;mlon=44.4181&amp;zoom=12#map=12/33.3609/44.4181","Maplink1")</f>
        <v>Maplink1</v>
      </c>
      <c r="AU364" s="12" t="str">
        <f>HYPERLINK("https://www.google.iq/maps/search/+33.3609,44.4181/@33.3609,44.4181,14z?hl=en","Maplink2")</f>
        <v>Maplink2</v>
      </c>
      <c r="AV364" s="12" t="str">
        <f>HYPERLINK("http://www.bing.com/maps/?lvl=14&amp;sty=h&amp;cp=33.3609~44.4181&amp;sp=point.33.3609_44.4181","Maplink3")</f>
        <v>Maplink3</v>
      </c>
    </row>
    <row r="365" spans="1:48" ht="15" customHeight="1" x14ac:dyDescent="0.25">
      <c r="A365" s="19">
        <v>24735</v>
      </c>
      <c r="B365" s="20" t="s">
        <v>11</v>
      </c>
      <c r="C365" s="20" t="s">
        <v>744</v>
      </c>
      <c r="D365" s="20" t="s">
        <v>747</v>
      </c>
      <c r="E365" s="20" t="s">
        <v>748</v>
      </c>
      <c r="F365" s="20">
        <v>33.364818329999999</v>
      </c>
      <c r="G365" s="20">
        <v>44.412184670000002</v>
      </c>
      <c r="H365" s="22">
        <v>12</v>
      </c>
      <c r="I365" s="22">
        <v>72</v>
      </c>
      <c r="J365" s="21">
        <v>4</v>
      </c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>
        <v>8</v>
      </c>
      <c r="W365" s="21"/>
      <c r="X365" s="21"/>
      <c r="Y365" s="21"/>
      <c r="Z365" s="21"/>
      <c r="AA365" s="21"/>
      <c r="AB365" s="21"/>
      <c r="AC365" s="21">
        <v>4</v>
      </c>
      <c r="AD365" s="21"/>
      <c r="AE365" s="21"/>
      <c r="AF365" s="21"/>
      <c r="AG365" s="21"/>
      <c r="AH365" s="21">
        <v>8</v>
      </c>
      <c r="AI365" s="21"/>
      <c r="AJ365" s="21"/>
      <c r="AK365" s="21"/>
      <c r="AL365" s="21">
        <v>5</v>
      </c>
      <c r="AM365" s="21">
        <v>7</v>
      </c>
      <c r="AN365" s="21"/>
      <c r="AO365" s="21"/>
      <c r="AP365" s="21"/>
      <c r="AQ365" s="21"/>
      <c r="AR365" s="21"/>
      <c r="AS365" s="21"/>
      <c r="AT365" s="12" t="str">
        <f>HYPERLINK("http://www.openstreetmap.org/?mlat=33.3648&amp;mlon=44.4122&amp;zoom=12#map=12/33.3648/44.4122","Maplink1")</f>
        <v>Maplink1</v>
      </c>
      <c r="AU365" s="12" t="str">
        <f>HYPERLINK("https://www.google.iq/maps/search/+33.3648,44.4122/@33.3648,44.4122,14z?hl=en","Maplink2")</f>
        <v>Maplink2</v>
      </c>
      <c r="AV365" s="12" t="str">
        <f>HYPERLINK("http://www.bing.com/maps/?lvl=14&amp;sty=h&amp;cp=33.3648~44.4122&amp;sp=point.33.3648_44.4122","Maplink3")</f>
        <v>Maplink3</v>
      </c>
    </row>
    <row r="366" spans="1:48" ht="15" customHeight="1" x14ac:dyDescent="0.25">
      <c r="A366" s="19">
        <v>24714</v>
      </c>
      <c r="B366" s="20" t="s">
        <v>11</v>
      </c>
      <c r="C366" s="20" t="s">
        <v>744</v>
      </c>
      <c r="D366" s="20" t="s">
        <v>749</v>
      </c>
      <c r="E366" s="20" t="s">
        <v>750</v>
      </c>
      <c r="F366" s="20">
        <v>33.318036159999998</v>
      </c>
      <c r="G366" s="20">
        <v>44.416172539999998</v>
      </c>
      <c r="H366" s="22">
        <v>6</v>
      </c>
      <c r="I366" s="22">
        <v>36</v>
      </c>
      <c r="J366" s="21">
        <v>3</v>
      </c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>
        <v>3</v>
      </c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>
        <v>6</v>
      </c>
      <c r="AI366" s="21"/>
      <c r="AJ366" s="21"/>
      <c r="AK366" s="21"/>
      <c r="AL366" s="21"/>
      <c r="AM366" s="21">
        <v>3</v>
      </c>
      <c r="AN366" s="21"/>
      <c r="AO366" s="21">
        <v>3</v>
      </c>
      <c r="AP366" s="21"/>
      <c r="AQ366" s="21"/>
      <c r="AR366" s="21"/>
      <c r="AS366" s="21"/>
      <c r="AT366" s="12" t="str">
        <f>HYPERLINK("http://www.openstreetmap.org/?mlat=33.318&amp;mlon=44.4162&amp;zoom=12#map=12/33.318/44.4162","Maplink1")</f>
        <v>Maplink1</v>
      </c>
      <c r="AU366" s="12" t="str">
        <f>HYPERLINK("https://www.google.iq/maps/search/+33.318,44.4162/@33.318,44.4162,14z?hl=en","Maplink2")</f>
        <v>Maplink2</v>
      </c>
      <c r="AV366" s="12" t="str">
        <f>HYPERLINK("http://www.bing.com/maps/?lvl=14&amp;sty=h&amp;cp=33.318~44.4162&amp;sp=point.33.318_44.4162","Maplink3")</f>
        <v>Maplink3</v>
      </c>
    </row>
    <row r="367" spans="1:48" ht="15" customHeight="1" x14ac:dyDescent="0.25">
      <c r="A367" s="19">
        <v>21752</v>
      </c>
      <c r="B367" s="20" t="s">
        <v>11</v>
      </c>
      <c r="C367" s="20" t="s">
        <v>744</v>
      </c>
      <c r="D367" s="20" t="s">
        <v>751</v>
      </c>
      <c r="E367" s="20" t="s">
        <v>752</v>
      </c>
      <c r="F367" s="20">
        <v>33.311371795900001</v>
      </c>
      <c r="G367" s="20">
        <v>44.519376272300001</v>
      </c>
      <c r="H367" s="22">
        <v>8</v>
      </c>
      <c r="I367" s="22">
        <v>48</v>
      </c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>
        <v>5</v>
      </c>
      <c r="W367" s="21"/>
      <c r="X367" s="21">
        <v>3</v>
      </c>
      <c r="Y367" s="21"/>
      <c r="Z367" s="21"/>
      <c r="AA367" s="21"/>
      <c r="AB367" s="21"/>
      <c r="AC367" s="21">
        <v>3</v>
      </c>
      <c r="AD367" s="21"/>
      <c r="AE367" s="21"/>
      <c r="AF367" s="21"/>
      <c r="AG367" s="21"/>
      <c r="AH367" s="21">
        <v>5</v>
      </c>
      <c r="AI367" s="21"/>
      <c r="AJ367" s="21"/>
      <c r="AK367" s="21"/>
      <c r="AL367" s="21"/>
      <c r="AM367" s="21">
        <v>3</v>
      </c>
      <c r="AN367" s="21">
        <v>5</v>
      </c>
      <c r="AO367" s="21"/>
      <c r="AP367" s="21"/>
      <c r="AQ367" s="21"/>
      <c r="AR367" s="21"/>
      <c r="AS367" s="21"/>
      <c r="AT367" s="12" t="str">
        <f>HYPERLINK("http://www.openstreetmap.org/?mlat=33.3114&amp;mlon=44.5194&amp;zoom=12#map=12/33.3114/44.5194","Maplink1")</f>
        <v>Maplink1</v>
      </c>
      <c r="AU367" s="12" t="str">
        <f>HYPERLINK("https://www.google.iq/maps/search/+33.3114,44.5194/@33.3114,44.5194,14z?hl=en","Maplink2")</f>
        <v>Maplink2</v>
      </c>
      <c r="AV367" s="12" t="str">
        <f>HYPERLINK("http://www.bing.com/maps/?lvl=14&amp;sty=h&amp;cp=33.3114~44.5194&amp;sp=point.33.3114_44.5194","Maplink3")</f>
        <v>Maplink3</v>
      </c>
    </row>
    <row r="368" spans="1:48" ht="15" customHeight="1" x14ac:dyDescent="0.25">
      <c r="A368" s="19">
        <v>22054</v>
      </c>
      <c r="B368" s="20" t="s">
        <v>11</v>
      </c>
      <c r="C368" s="20" t="s">
        <v>744</v>
      </c>
      <c r="D368" s="20" t="s">
        <v>753</v>
      </c>
      <c r="E368" s="20" t="s">
        <v>754</v>
      </c>
      <c r="F368" s="20">
        <v>33.306299989999999</v>
      </c>
      <c r="G368" s="20">
        <v>44.518027680000003</v>
      </c>
      <c r="H368" s="22">
        <v>5</v>
      </c>
      <c r="I368" s="22">
        <v>30</v>
      </c>
      <c r="J368" s="21">
        <v>1</v>
      </c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>
        <v>4</v>
      </c>
      <c r="W368" s="21"/>
      <c r="X368" s="21"/>
      <c r="Y368" s="21"/>
      <c r="Z368" s="21"/>
      <c r="AA368" s="21"/>
      <c r="AB368" s="21"/>
      <c r="AC368" s="21">
        <v>2</v>
      </c>
      <c r="AD368" s="21"/>
      <c r="AE368" s="21"/>
      <c r="AF368" s="21"/>
      <c r="AG368" s="21"/>
      <c r="AH368" s="21">
        <v>3</v>
      </c>
      <c r="AI368" s="21"/>
      <c r="AJ368" s="21"/>
      <c r="AK368" s="21"/>
      <c r="AL368" s="21">
        <v>1</v>
      </c>
      <c r="AM368" s="21"/>
      <c r="AN368" s="21">
        <v>4</v>
      </c>
      <c r="AO368" s="21"/>
      <c r="AP368" s="21"/>
      <c r="AQ368" s="21"/>
      <c r="AR368" s="21"/>
      <c r="AS368" s="21"/>
      <c r="AT368" s="12" t="str">
        <f>HYPERLINK("http://www.openstreetmap.org/?mlat=33.3063&amp;mlon=44.518&amp;zoom=12#map=12/33.3063/44.518","Maplink1")</f>
        <v>Maplink1</v>
      </c>
      <c r="AU368" s="12" t="str">
        <f>HYPERLINK("https://www.google.iq/maps/search/+33.3063,44.518/@33.3063,44.518,14z?hl=en","Maplink2")</f>
        <v>Maplink2</v>
      </c>
      <c r="AV368" s="12" t="str">
        <f>HYPERLINK("http://www.bing.com/maps/?lvl=14&amp;sty=h&amp;cp=33.3063~44.518&amp;sp=point.33.3063_44.518","Maplink3")</f>
        <v>Maplink3</v>
      </c>
    </row>
    <row r="369" spans="1:48" ht="15" customHeight="1" x14ac:dyDescent="0.25">
      <c r="A369" s="19">
        <v>21888</v>
      </c>
      <c r="B369" s="20" t="s">
        <v>11</v>
      </c>
      <c r="C369" s="20" t="s">
        <v>744</v>
      </c>
      <c r="D369" s="20" t="s">
        <v>755</v>
      </c>
      <c r="E369" s="20" t="s">
        <v>756</v>
      </c>
      <c r="F369" s="20">
        <v>33.300582319999997</v>
      </c>
      <c r="G369" s="20">
        <v>44.512814599999999</v>
      </c>
      <c r="H369" s="22">
        <v>5</v>
      </c>
      <c r="I369" s="22">
        <v>30</v>
      </c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>
        <v>5</v>
      </c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>
        <v>5</v>
      </c>
      <c r="AI369" s="21"/>
      <c r="AJ369" s="21"/>
      <c r="AK369" s="21"/>
      <c r="AL369" s="21"/>
      <c r="AM369" s="21">
        <v>2</v>
      </c>
      <c r="AN369" s="21">
        <v>3</v>
      </c>
      <c r="AO369" s="21"/>
      <c r="AP369" s="21"/>
      <c r="AQ369" s="21"/>
      <c r="AR369" s="21"/>
      <c r="AS369" s="21"/>
      <c r="AT369" s="12" t="str">
        <f>HYPERLINK("http://www.openstreetmap.org/?mlat=33.3006&amp;mlon=44.5128&amp;zoom=12#map=12/33.3006/44.5128","Maplink1")</f>
        <v>Maplink1</v>
      </c>
      <c r="AU369" s="12" t="str">
        <f>HYPERLINK("https://www.google.iq/maps/search/+33.3006,44.5128/@33.3006,44.5128,14z?hl=en","Maplink2")</f>
        <v>Maplink2</v>
      </c>
      <c r="AV369" s="12" t="str">
        <f>HYPERLINK("http://www.bing.com/maps/?lvl=14&amp;sty=h&amp;cp=33.3006~44.5128&amp;sp=point.33.3006_44.5128","Maplink3")</f>
        <v>Maplink3</v>
      </c>
    </row>
    <row r="370" spans="1:48" ht="15" customHeight="1" x14ac:dyDescent="0.25">
      <c r="A370" s="19">
        <v>22055</v>
      </c>
      <c r="B370" s="20" t="s">
        <v>11</v>
      </c>
      <c r="C370" s="20" t="s">
        <v>744</v>
      </c>
      <c r="D370" s="20" t="s">
        <v>757</v>
      </c>
      <c r="E370" s="20" t="s">
        <v>758</v>
      </c>
      <c r="F370" s="20">
        <v>33.302917270000002</v>
      </c>
      <c r="G370" s="20">
        <v>44.520059310000001</v>
      </c>
      <c r="H370" s="22">
        <v>7</v>
      </c>
      <c r="I370" s="22">
        <v>42</v>
      </c>
      <c r="J370" s="21">
        <v>2</v>
      </c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>
        <v>5</v>
      </c>
      <c r="W370" s="21"/>
      <c r="X370" s="21"/>
      <c r="Y370" s="21"/>
      <c r="Z370" s="21"/>
      <c r="AA370" s="21"/>
      <c r="AB370" s="21"/>
      <c r="AC370" s="21">
        <v>2</v>
      </c>
      <c r="AD370" s="21"/>
      <c r="AE370" s="21"/>
      <c r="AF370" s="21"/>
      <c r="AG370" s="21"/>
      <c r="AH370" s="21">
        <v>5</v>
      </c>
      <c r="AI370" s="21"/>
      <c r="AJ370" s="21"/>
      <c r="AK370" s="21"/>
      <c r="AL370" s="21"/>
      <c r="AM370" s="21"/>
      <c r="AN370" s="21">
        <v>3</v>
      </c>
      <c r="AO370" s="21"/>
      <c r="AP370" s="21">
        <v>2</v>
      </c>
      <c r="AQ370" s="21"/>
      <c r="AR370" s="21">
        <v>2</v>
      </c>
      <c r="AS370" s="21"/>
      <c r="AT370" s="12" t="str">
        <f>HYPERLINK("http://www.openstreetmap.org/?mlat=33.3029&amp;mlon=44.5201&amp;zoom=12#map=12/33.3029/44.5201","Maplink1")</f>
        <v>Maplink1</v>
      </c>
      <c r="AU370" s="12" t="str">
        <f>HYPERLINK("https://www.google.iq/maps/search/+33.3029,44.5201/@33.3029,44.5201,14z?hl=en","Maplink2")</f>
        <v>Maplink2</v>
      </c>
      <c r="AV370" s="12" t="str">
        <f>HYPERLINK("http://www.bing.com/maps/?lvl=14&amp;sty=h&amp;cp=33.3029~44.5201&amp;sp=point.33.3029_44.5201","Maplink3")</f>
        <v>Maplink3</v>
      </c>
    </row>
    <row r="371" spans="1:48" ht="15" customHeight="1" x14ac:dyDescent="0.25">
      <c r="A371" s="19">
        <v>21751</v>
      </c>
      <c r="B371" s="20" t="s">
        <v>11</v>
      </c>
      <c r="C371" s="20" t="s">
        <v>744</v>
      </c>
      <c r="D371" s="20" t="s">
        <v>759</v>
      </c>
      <c r="E371" s="20" t="s">
        <v>760</v>
      </c>
      <c r="F371" s="20">
        <v>33.310135539999997</v>
      </c>
      <c r="G371" s="20">
        <v>44.525572619999998</v>
      </c>
      <c r="H371" s="22">
        <v>13</v>
      </c>
      <c r="I371" s="22">
        <v>78</v>
      </c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>
        <v>13</v>
      </c>
      <c r="W371" s="21"/>
      <c r="X371" s="21"/>
      <c r="Y371" s="21"/>
      <c r="Z371" s="21"/>
      <c r="AA371" s="21"/>
      <c r="AB371" s="21"/>
      <c r="AC371" s="21">
        <v>4</v>
      </c>
      <c r="AD371" s="21"/>
      <c r="AE371" s="21"/>
      <c r="AF371" s="21"/>
      <c r="AG371" s="21">
        <v>6</v>
      </c>
      <c r="AH371" s="21">
        <v>3</v>
      </c>
      <c r="AI371" s="21"/>
      <c r="AJ371" s="21"/>
      <c r="AK371" s="21"/>
      <c r="AL371" s="21"/>
      <c r="AM371" s="21"/>
      <c r="AN371" s="21">
        <v>9</v>
      </c>
      <c r="AO371" s="21">
        <v>4</v>
      </c>
      <c r="AP371" s="21"/>
      <c r="AQ371" s="21"/>
      <c r="AR371" s="21"/>
      <c r="AS371" s="21"/>
      <c r="AT371" s="12" t="str">
        <f>HYPERLINK("http://www.openstreetmap.org/?mlat=33.3101&amp;mlon=44.5256&amp;zoom=12#map=12/33.3101/44.5256","Maplink1")</f>
        <v>Maplink1</v>
      </c>
      <c r="AU371" s="12" t="str">
        <f>HYPERLINK("https://www.google.iq/maps/search/+33.3101,44.5256/@33.3101,44.5256,14z?hl=en","Maplink2")</f>
        <v>Maplink2</v>
      </c>
      <c r="AV371" s="12" t="str">
        <f>HYPERLINK("http://www.bing.com/maps/?lvl=14&amp;sty=h&amp;cp=33.3101~44.5256&amp;sp=point.33.3101_44.5256","Maplink3")</f>
        <v>Maplink3</v>
      </c>
    </row>
    <row r="372" spans="1:48" ht="15" customHeight="1" x14ac:dyDescent="0.25">
      <c r="A372" s="19">
        <v>21889</v>
      </c>
      <c r="B372" s="20" t="s">
        <v>11</v>
      </c>
      <c r="C372" s="20" t="s">
        <v>744</v>
      </c>
      <c r="D372" s="20" t="s">
        <v>761</v>
      </c>
      <c r="E372" s="20" t="s">
        <v>762</v>
      </c>
      <c r="F372" s="20">
        <v>33.293900739999998</v>
      </c>
      <c r="G372" s="20">
        <v>44.522639439999999</v>
      </c>
      <c r="H372" s="22">
        <v>7</v>
      </c>
      <c r="I372" s="22">
        <v>42</v>
      </c>
      <c r="J372" s="21">
        <v>2</v>
      </c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>
        <v>5</v>
      </c>
      <c r="W372" s="21"/>
      <c r="X372" s="21"/>
      <c r="Y372" s="21"/>
      <c r="Z372" s="21"/>
      <c r="AA372" s="21"/>
      <c r="AB372" s="21"/>
      <c r="AC372" s="21">
        <v>2</v>
      </c>
      <c r="AD372" s="21"/>
      <c r="AE372" s="21"/>
      <c r="AF372" s="21"/>
      <c r="AG372" s="21"/>
      <c r="AH372" s="21">
        <v>5</v>
      </c>
      <c r="AI372" s="21"/>
      <c r="AJ372" s="21"/>
      <c r="AK372" s="21"/>
      <c r="AL372" s="21"/>
      <c r="AM372" s="21"/>
      <c r="AN372" s="21">
        <v>5</v>
      </c>
      <c r="AO372" s="21"/>
      <c r="AP372" s="21">
        <v>2</v>
      </c>
      <c r="AQ372" s="21"/>
      <c r="AR372" s="21"/>
      <c r="AS372" s="21"/>
      <c r="AT372" s="12" t="str">
        <f>HYPERLINK("http://www.openstreetmap.org/?mlat=33.2939&amp;mlon=44.5226&amp;zoom=12#map=12/33.2939/44.5226","Maplink1")</f>
        <v>Maplink1</v>
      </c>
      <c r="AU372" s="12" t="str">
        <f>HYPERLINK("https://www.google.iq/maps/search/+33.2939,44.5226/@33.2939,44.5226,14z?hl=en","Maplink2")</f>
        <v>Maplink2</v>
      </c>
      <c r="AV372" s="12" t="str">
        <f>HYPERLINK("http://www.bing.com/maps/?lvl=14&amp;sty=h&amp;cp=33.2939~44.5226&amp;sp=point.33.2939_44.5226","Maplink3")</f>
        <v>Maplink3</v>
      </c>
    </row>
    <row r="373" spans="1:48" ht="15" customHeight="1" x14ac:dyDescent="0.25">
      <c r="A373" s="19">
        <v>24938</v>
      </c>
      <c r="B373" s="20" t="s">
        <v>11</v>
      </c>
      <c r="C373" s="20" t="s">
        <v>744</v>
      </c>
      <c r="D373" s="20" t="s">
        <v>763</v>
      </c>
      <c r="E373" s="20" t="s">
        <v>764</v>
      </c>
      <c r="F373" s="20">
        <v>33.352879010000002</v>
      </c>
      <c r="G373" s="20">
        <v>44.38205542</v>
      </c>
      <c r="H373" s="22">
        <v>3</v>
      </c>
      <c r="I373" s="22">
        <v>18</v>
      </c>
      <c r="J373" s="21">
        <v>2</v>
      </c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>
        <v>1</v>
      </c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>
        <v>3</v>
      </c>
      <c r="AI373" s="21"/>
      <c r="AJ373" s="21"/>
      <c r="AK373" s="21"/>
      <c r="AL373" s="21"/>
      <c r="AM373" s="21"/>
      <c r="AN373" s="21"/>
      <c r="AO373" s="21">
        <v>3</v>
      </c>
      <c r="AP373" s="21"/>
      <c r="AQ373" s="21"/>
      <c r="AR373" s="21"/>
      <c r="AS373" s="21"/>
      <c r="AT373" s="12" t="str">
        <f>HYPERLINK("http://www.openstreetmap.org/?mlat=33.3529&amp;mlon=44.3821&amp;zoom=12#map=12/33.3529/44.3821","Maplink1")</f>
        <v>Maplink1</v>
      </c>
      <c r="AU373" s="12" t="str">
        <f>HYPERLINK("https://www.google.iq/maps/search/+33.3529,44.3821/@33.3529,44.3821,14z?hl=en","Maplink2")</f>
        <v>Maplink2</v>
      </c>
      <c r="AV373" s="12" t="str">
        <f>HYPERLINK("http://www.bing.com/maps/?lvl=14&amp;sty=h&amp;cp=33.3529~44.3821&amp;sp=point.33.3529_44.3821","Maplink3")</f>
        <v>Maplink3</v>
      </c>
    </row>
    <row r="374" spans="1:48" ht="15" customHeight="1" x14ac:dyDescent="0.25">
      <c r="A374" s="19">
        <v>24497</v>
      </c>
      <c r="B374" s="20" t="s">
        <v>11</v>
      </c>
      <c r="C374" s="20" t="s">
        <v>744</v>
      </c>
      <c r="D374" s="20" t="s">
        <v>765</v>
      </c>
      <c r="E374" s="20" t="s">
        <v>766</v>
      </c>
      <c r="F374" s="20">
        <v>33.333759700000002</v>
      </c>
      <c r="G374" s="20">
        <v>44.48108336</v>
      </c>
      <c r="H374" s="22">
        <v>8</v>
      </c>
      <c r="I374" s="22">
        <v>48</v>
      </c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>
        <v>8</v>
      </c>
      <c r="W374" s="21"/>
      <c r="X374" s="21"/>
      <c r="Y374" s="21"/>
      <c r="Z374" s="21"/>
      <c r="AA374" s="21"/>
      <c r="AB374" s="21"/>
      <c r="AC374" s="21">
        <v>2</v>
      </c>
      <c r="AD374" s="21"/>
      <c r="AE374" s="21"/>
      <c r="AF374" s="21"/>
      <c r="AG374" s="21"/>
      <c r="AH374" s="21">
        <v>6</v>
      </c>
      <c r="AI374" s="21"/>
      <c r="AJ374" s="21"/>
      <c r="AK374" s="21"/>
      <c r="AL374" s="21"/>
      <c r="AM374" s="21"/>
      <c r="AN374" s="21">
        <v>8</v>
      </c>
      <c r="AO374" s="21"/>
      <c r="AP374" s="21"/>
      <c r="AQ374" s="21"/>
      <c r="AR374" s="21"/>
      <c r="AS374" s="21"/>
      <c r="AT374" s="12" t="str">
        <f>HYPERLINK("http://www.openstreetmap.org/?mlat=33.3338&amp;mlon=44.4811&amp;zoom=12#map=12/33.3338/44.4811","Maplink1")</f>
        <v>Maplink1</v>
      </c>
      <c r="AU374" s="12" t="str">
        <f>HYPERLINK("https://www.google.iq/maps/search/+33.3338,44.4811/@33.3338,44.4811,14z?hl=en","Maplink2")</f>
        <v>Maplink2</v>
      </c>
      <c r="AV374" s="12" t="str">
        <f>HYPERLINK("http://www.bing.com/maps/?lvl=14&amp;sty=h&amp;cp=33.3338~44.4811&amp;sp=point.33.3338_44.4811","Maplink3")</f>
        <v>Maplink3</v>
      </c>
    </row>
    <row r="375" spans="1:48" ht="15" customHeight="1" x14ac:dyDescent="0.25">
      <c r="A375" s="19">
        <v>24498</v>
      </c>
      <c r="B375" s="20" t="s">
        <v>11</v>
      </c>
      <c r="C375" s="20" t="s">
        <v>744</v>
      </c>
      <c r="D375" s="20" t="s">
        <v>767</v>
      </c>
      <c r="E375" s="20" t="s">
        <v>768</v>
      </c>
      <c r="F375" s="20">
        <v>33.3429042</v>
      </c>
      <c r="G375" s="20">
        <v>44.480008439999999</v>
      </c>
      <c r="H375" s="22">
        <v>9</v>
      </c>
      <c r="I375" s="22">
        <v>54</v>
      </c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>
        <v>9</v>
      </c>
      <c r="W375" s="21"/>
      <c r="X375" s="21"/>
      <c r="Y375" s="21"/>
      <c r="Z375" s="21"/>
      <c r="AA375" s="21"/>
      <c r="AB375" s="21"/>
      <c r="AC375" s="21">
        <v>3</v>
      </c>
      <c r="AD375" s="21"/>
      <c r="AE375" s="21"/>
      <c r="AF375" s="21"/>
      <c r="AG375" s="21"/>
      <c r="AH375" s="21">
        <v>6</v>
      </c>
      <c r="AI375" s="21"/>
      <c r="AJ375" s="21"/>
      <c r="AK375" s="21"/>
      <c r="AL375" s="21"/>
      <c r="AM375" s="21"/>
      <c r="AN375" s="21">
        <v>3</v>
      </c>
      <c r="AO375" s="21">
        <v>5</v>
      </c>
      <c r="AP375" s="21">
        <v>1</v>
      </c>
      <c r="AQ375" s="21"/>
      <c r="AR375" s="21"/>
      <c r="AS375" s="21"/>
      <c r="AT375" s="12" t="str">
        <f>HYPERLINK("http://www.openstreetmap.org/?mlat=33.3429&amp;mlon=44.48&amp;zoom=12#map=12/33.3429/44.48","Maplink1")</f>
        <v>Maplink1</v>
      </c>
      <c r="AU375" s="12" t="str">
        <f>HYPERLINK("https://www.google.iq/maps/search/+33.3429,44.48/@33.3429,44.48,14z?hl=en","Maplink2")</f>
        <v>Maplink2</v>
      </c>
      <c r="AV375" s="12" t="str">
        <f>HYPERLINK("http://www.bing.com/maps/?lvl=14&amp;sty=h&amp;cp=33.3429~44.48&amp;sp=point.33.3429_44.48","Maplink3")</f>
        <v>Maplink3</v>
      </c>
    </row>
    <row r="376" spans="1:48" ht="15" customHeight="1" x14ac:dyDescent="0.25">
      <c r="A376" s="19">
        <v>24500</v>
      </c>
      <c r="B376" s="20" t="s">
        <v>11</v>
      </c>
      <c r="C376" s="20" t="s">
        <v>744</v>
      </c>
      <c r="D376" s="20" t="s">
        <v>769</v>
      </c>
      <c r="E376" s="20" t="s">
        <v>770</v>
      </c>
      <c r="F376" s="20">
        <v>33.348727289999999</v>
      </c>
      <c r="G376" s="20">
        <v>44.466729600000001</v>
      </c>
      <c r="H376" s="22">
        <v>9</v>
      </c>
      <c r="I376" s="22">
        <v>54</v>
      </c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>
        <v>7</v>
      </c>
      <c r="W376" s="21"/>
      <c r="X376" s="21">
        <v>2</v>
      </c>
      <c r="Y376" s="21"/>
      <c r="Z376" s="21"/>
      <c r="AA376" s="21"/>
      <c r="AB376" s="21"/>
      <c r="AC376" s="21">
        <v>2</v>
      </c>
      <c r="AD376" s="21"/>
      <c r="AE376" s="21"/>
      <c r="AF376" s="21"/>
      <c r="AG376" s="21"/>
      <c r="AH376" s="21">
        <v>7</v>
      </c>
      <c r="AI376" s="21"/>
      <c r="AJ376" s="21"/>
      <c r="AK376" s="21"/>
      <c r="AL376" s="21"/>
      <c r="AM376" s="21"/>
      <c r="AN376" s="21">
        <v>5</v>
      </c>
      <c r="AO376" s="21">
        <v>2</v>
      </c>
      <c r="AP376" s="21"/>
      <c r="AQ376" s="21"/>
      <c r="AR376" s="21">
        <v>2</v>
      </c>
      <c r="AS376" s="21"/>
      <c r="AT376" s="12" t="str">
        <f>HYPERLINK("http://www.openstreetmap.org/?mlat=33.3487&amp;mlon=44.4667&amp;zoom=12#map=12/33.3487/44.4667","Maplink1")</f>
        <v>Maplink1</v>
      </c>
      <c r="AU376" s="12" t="str">
        <f>HYPERLINK("https://www.google.iq/maps/search/+33.3487,44.4667/@33.3487,44.4667,14z?hl=en","Maplink2")</f>
        <v>Maplink2</v>
      </c>
      <c r="AV376" s="12" t="str">
        <f>HYPERLINK("http://www.bing.com/maps/?lvl=14&amp;sty=h&amp;cp=33.3487~44.4667&amp;sp=point.33.3487_44.4667","Maplink3")</f>
        <v>Maplink3</v>
      </c>
    </row>
    <row r="377" spans="1:48" ht="15" customHeight="1" x14ac:dyDescent="0.25">
      <c r="A377" s="19">
        <v>24499</v>
      </c>
      <c r="B377" s="20" t="s">
        <v>11</v>
      </c>
      <c r="C377" s="20" t="s">
        <v>744</v>
      </c>
      <c r="D377" s="20" t="s">
        <v>771</v>
      </c>
      <c r="E377" s="20" t="s">
        <v>772</v>
      </c>
      <c r="F377" s="20">
        <v>33.351381629999999</v>
      </c>
      <c r="G377" s="20">
        <v>44.466488609999999</v>
      </c>
      <c r="H377" s="22">
        <v>7</v>
      </c>
      <c r="I377" s="22">
        <v>42</v>
      </c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>
        <v>7</v>
      </c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>
        <v>7</v>
      </c>
      <c r="AI377" s="21"/>
      <c r="AJ377" s="21"/>
      <c r="AK377" s="21"/>
      <c r="AL377" s="21"/>
      <c r="AM377" s="21"/>
      <c r="AN377" s="21">
        <v>7</v>
      </c>
      <c r="AO377" s="21"/>
      <c r="AP377" s="21"/>
      <c r="AQ377" s="21"/>
      <c r="AR377" s="21"/>
      <c r="AS377" s="21"/>
      <c r="AT377" s="12" t="str">
        <f>HYPERLINK("http://www.openstreetmap.org/?mlat=33.3514&amp;mlon=44.4665&amp;zoom=12#map=12/33.3514/44.4665","Maplink1")</f>
        <v>Maplink1</v>
      </c>
      <c r="AU377" s="12" t="str">
        <f>HYPERLINK("https://www.google.iq/maps/search/+33.3514,44.4665/@33.3514,44.4665,14z?hl=en","Maplink2")</f>
        <v>Maplink2</v>
      </c>
      <c r="AV377" s="12" t="str">
        <f>HYPERLINK("http://www.bing.com/maps/?lvl=14&amp;sty=h&amp;cp=33.3514~44.4665&amp;sp=point.33.3514_44.4665","Maplink3")</f>
        <v>Maplink3</v>
      </c>
    </row>
    <row r="378" spans="1:48" ht="15" customHeight="1" x14ac:dyDescent="0.25">
      <c r="A378" s="19">
        <v>23731</v>
      </c>
      <c r="B378" s="20" t="s">
        <v>11</v>
      </c>
      <c r="C378" s="20" t="s">
        <v>744</v>
      </c>
      <c r="D378" s="20" t="s">
        <v>773</v>
      </c>
      <c r="E378" s="20" t="s">
        <v>774</v>
      </c>
      <c r="F378" s="20">
        <v>33.342696920000002</v>
      </c>
      <c r="G378" s="20">
        <v>44.485953899999998</v>
      </c>
      <c r="H378" s="22">
        <v>10</v>
      </c>
      <c r="I378" s="22">
        <v>60</v>
      </c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>
        <v>10</v>
      </c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>
        <v>10</v>
      </c>
      <c r="AI378" s="21"/>
      <c r="AJ378" s="21"/>
      <c r="AK378" s="21"/>
      <c r="AL378" s="21"/>
      <c r="AM378" s="21"/>
      <c r="AN378" s="21">
        <v>10</v>
      </c>
      <c r="AO378" s="21"/>
      <c r="AP378" s="21"/>
      <c r="AQ378" s="21"/>
      <c r="AR378" s="21"/>
      <c r="AS378" s="21"/>
      <c r="AT378" s="12" t="str">
        <f>HYPERLINK("http://www.openstreetmap.org/?mlat=33.3427&amp;mlon=44.486&amp;zoom=12#map=12/33.3427/44.486","Maplink1")</f>
        <v>Maplink1</v>
      </c>
      <c r="AU378" s="12" t="str">
        <f>HYPERLINK("https://www.google.iq/maps/search/+33.3427,44.486/@33.3427,44.486,14z?hl=en","Maplink2")</f>
        <v>Maplink2</v>
      </c>
      <c r="AV378" s="12" t="str">
        <f>HYPERLINK("http://www.bing.com/maps/?lvl=14&amp;sty=h&amp;cp=33.3427~44.486&amp;sp=point.33.3427_44.486","Maplink3")</f>
        <v>Maplink3</v>
      </c>
    </row>
    <row r="379" spans="1:48" ht="15" customHeight="1" x14ac:dyDescent="0.25">
      <c r="A379" s="19">
        <v>24024</v>
      </c>
      <c r="B379" s="20" t="s">
        <v>11</v>
      </c>
      <c r="C379" s="20" t="s">
        <v>744</v>
      </c>
      <c r="D379" s="20" t="s">
        <v>775</v>
      </c>
      <c r="E379" s="20" t="s">
        <v>776</v>
      </c>
      <c r="F379" s="20">
        <v>33.354996290000003</v>
      </c>
      <c r="G379" s="20">
        <v>44.466344169999999</v>
      </c>
      <c r="H379" s="22">
        <v>9</v>
      </c>
      <c r="I379" s="22">
        <v>54</v>
      </c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>
        <v>9</v>
      </c>
      <c r="W379" s="21"/>
      <c r="X379" s="21"/>
      <c r="Y379" s="21"/>
      <c r="Z379" s="21"/>
      <c r="AA379" s="21"/>
      <c r="AB379" s="21"/>
      <c r="AC379" s="21">
        <v>2</v>
      </c>
      <c r="AD379" s="21"/>
      <c r="AE379" s="21"/>
      <c r="AF379" s="21"/>
      <c r="AG379" s="21"/>
      <c r="AH379" s="21">
        <v>7</v>
      </c>
      <c r="AI379" s="21"/>
      <c r="AJ379" s="21"/>
      <c r="AK379" s="21"/>
      <c r="AL379" s="21"/>
      <c r="AM379" s="21"/>
      <c r="AN379" s="21">
        <v>9</v>
      </c>
      <c r="AO379" s="21"/>
      <c r="AP379" s="21"/>
      <c r="AQ379" s="21"/>
      <c r="AR379" s="21"/>
      <c r="AS379" s="21"/>
      <c r="AT379" s="12" t="str">
        <f>HYPERLINK("http://www.openstreetmap.org/?mlat=33.355&amp;mlon=44.4663&amp;zoom=12#map=12/33.355/44.4663","Maplink1")</f>
        <v>Maplink1</v>
      </c>
      <c r="AU379" s="12" t="str">
        <f>HYPERLINK("https://www.google.iq/maps/search/+33.355,44.4663/@33.355,44.4663,14z?hl=en","Maplink2")</f>
        <v>Maplink2</v>
      </c>
      <c r="AV379" s="12" t="str">
        <f>HYPERLINK("http://www.bing.com/maps/?lvl=14&amp;sty=h&amp;cp=33.355~44.4663&amp;sp=point.33.355_44.4663","Maplink3")</f>
        <v>Maplink3</v>
      </c>
    </row>
    <row r="380" spans="1:48" ht="15" customHeight="1" x14ac:dyDescent="0.25">
      <c r="A380" s="19">
        <v>22816</v>
      </c>
      <c r="B380" s="20" t="s">
        <v>11</v>
      </c>
      <c r="C380" s="20" t="s">
        <v>744</v>
      </c>
      <c r="D380" s="20" t="s">
        <v>777</v>
      </c>
      <c r="E380" s="20" t="s">
        <v>778</v>
      </c>
      <c r="F380" s="20">
        <v>33.356918790000002</v>
      </c>
      <c r="G380" s="20">
        <v>44.425820420000001</v>
      </c>
      <c r="H380" s="22">
        <v>21</v>
      </c>
      <c r="I380" s="22">
        <v>126</v>
      </c>
      <c r="J380" s="21">
        <v>5</v>
      </c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>
        <v>11</v>
      </c>
      <c r="W380" s="21"/>
      <c r="X380" s="21">
        <v>5</v>
      </c>
      <c r="Y380" s="21"/>
      <c r="Z380" s="21"/>
      <c r="AA380" s="21"/>
      <c r="AB380" s="21"/>
      <c r="AC380" s="21">
        <v>10</v>
      </c>
      <c r="AD380" s="21"/>
      <c r="AE380" s="21"/>
      <c r="AF380" s="21"/>
      <c r="AG380" s="21"/>
      <c r="AH380" s="21">
        <v>11</v>
      </c>
      <c r="AI380" s="21"/>
      <c r="AJ380" s="21"/>
      <c r="AK380" s="21"/>
      <c r="AL380" s="21"/>
      <c r="AM380" s="21">
        <v>9</v>
      </c>
      <c r="AN380" s="21">
        <v>5</v>
      </c>
      <c r="AO380" s="21">
        <v>4</v>
      </c>
      <c r="AP380" s="21">
        <v>1</v>
      </c>
      <c r="AQ380" s="21">
        <v>2</v>
      </c>
      <c r="AR380" s="21"/>
      <c r="AS380" s="21"/>
      <c r="AT380" s="12" t="str">
        <f>HYPERLINK("http://www.openstreetmap.org/?mlat=33.3569&amp;mlon=44.4258&amp;zoom=12#map=12/33.3569/44.4258","Maplink1")</f>
        <v>Maplink1</v>
      </c>
      <c r="AU380" s="12" t="str">
        <f>HYPERLINK("https://www.google.iq/maps/search/+33.3569,44.4258/@33.3569,44.4258,14z?hl=en","Maplink2")</f>
        <v>Maplink2</v>
      </c>
      <c r="AV380" s="12" t="str">
        <f>HYPERLINK("http://www.bing.com/maps/?lvl=14&amp;sty=h&amp;cp=33.3569~44.4258&amp;sp=point.33.3569_44.4258","Maplink3")</f>
        <v>Maplink3</v>
      </c>
    </row>
    <row r="381" spans="1:48" ht="15" customHeight="1" x14ac:dyDescent="0.25">
      <c r="A381" s="19">
        <v>24931</v>
      </c>
      <c r="B381" s="20" t="s">
        <v>11</v>
      </c>
      <c r="C381" s="20" t="s">
        <v>744</v>
      </c>
      <c r="D381" s="20" t="s">
        <v>779</v>
      </c>
      <c r="E381" s="20" t="s">
        <v>780</v>
      </c>
      <c r="F381" s="20">
        <v>33.348689159999999</v>
      </c>
      <c r="G381" s="20">
        <v>44.434165649999997</v>
      </c>
      <c r="H381" s="22">
        <v>18</v>
      </c>
      <c r="I381" s="22">
        <v>108</v>
      </c>
      <c r="J381" s="21">
        <v>4</v>
      </c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>
        <v>12</v>
      </c>
      <c r="W381" s="21"/>
      <c r="X381" s="21">
        <v>2</v>
      </c>
      <c r="Y381" s="21"/>
      <c r="Z381" s="21"/>
      <c r="AA381" s="21"/>
      <c r="AB381" s="21"/>
      <c r="AC381" s="21">
        <v>7</v>
      </c>
      <c r="AD381" s="21"/>
      <c r="AE381" s="21"/>
      <c r="AF381" s="21"/>
      <c r="AG381" s="21"/>
      <c r="AH381" s="21">
        <v>11</v>
      </c>
      <c r="AI381" s="21"/>
      <c r="AJ381" s="21"/>
      <c r="AK381" s="21"/>
      <c r="AL381" s="21"/>
      <c r="AM381" s="21">
        <v>4</v>
      </c>
      <c r="AN381" s="21">
        <v>3</v>
      </c>
      <c r="AO381" s="21">
        <v>4</v>
      </c>
      <c r="AP381" s="21"/>
      <c r="AQ381" s="21"/>
      <c r="AR381" s="21">
        <v>2</v>
      </c>
      <c r="AS381" s="21">
        <v>5</v>
      </c>
      <c r="AT381" s="12" t="str">
        <f>HYPERLINK("http://www.openstreetmap.org/?mlat=33.3487&amp;mlon=44.4342&amp;zoom=12#map=12/33.3487/44.4342","Maplink1")</f>
        <v>Maplink1</v>
      </c>
      <c r="AU381" s="12" t="str">
        <f>HYPERLINK("https://www.google.iq/maps/search/+33.3487,44.4342/@33.3487,44.4342,14z?hl=en","Maplink2")</f>
        <v>Maplink2</v>
      </c>
      <c r="AV381" s="12" t="str">
        <f>HYPERLINK("http://www.bing.com/maps/?lvl=14&amp;sty=h&amp;cp=33.3487~44.4342&amp;sp=point.33.3487_44.4342","Maplink3")</f>
        <v>Maplink3</v>
      </c>
    </row>
    <row r="382" spans="1:48" ht="15" customHeight="1" x14ac:dyDescent="0.25">
      <c r="A382" s="19">
        <v>21576</v>
      </c>
      <c r="B382" s="20" t="s">
        <v>11</v>
      </c>
      <c r="C382" s="20" t="s">
        <v>744</v>
      </c>
      <c r="D382" s="20" t="s">
        <v>781</v>
      </c>
      <c r="E382" s="20" t="s">
        <v>782</v>
      </c>
      <c r="F382" s="20">
        <v>33.339153459999999</v>
      </c>
      <c r="G382" s="20">
        <v>44.501385929999998</v>
      </c>
      <c r="H382" s="22">
        <v>15</v>
      </c>
      <c r="I382" s="22">
        <v>90</v>
      </c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>
        <v>15</v>
      </c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>
        <v>15</v>
      </c>
      <c r="AI382" s="21"/>
      <c r="AJ382" s="21"/>
      <c r="AK382" s="21"/>
      <c r="AL382" s="21"/>
      <c r="AM382" s="21"/>
      <c r="AN382" s="21">
        <v>10</v>
      </c>
      <c r="AO382" s="21">
        <v>5</v>
      </c>
      <c r="AP382" s="21"/>
      <c r="AQ382" s="21"/>
      <c r="AR382" s="21"/>
      <c r="AS382" s="21"/>
      <c r="AT382" s="12" t="str">
        <f>HYPERLINK("http://www.openstreetmap.org/?mlat=33.3392&amp;mlon=44.5014&amp;zoom=12#map=12/33.3392/44.5014","Maplink1")</f>
        <v>Maplink1</v>
      </c>
      <c r="AU382" s="12" t="str">
        <f>HYPERLINK("https://www.google.iq/maps/search/+33.3392,44.5014/@33.3392,44.5014,14z?hl=en","Maplink2")</f>
        <v>Maplink2</v>
      </c>
      <c r="AV382" s="12" t="str">
        <f>HYPERLINK("http://www.bing.com/maps/?lvl=14&amp;sty=h&amp;cp=33.3392~44.5014&amp;sp=point.33.3392_44.5014","Maplink3")</f>
        <v>Maplink3</v>
      </c>
    </row>
    <row r="383" spans="1:48" ht="15" customHeight="1" x14ac:dyDescent="0.25">
      <c r="A383" s="19">
        <v>23286</v>
      </c>
      <c r="B383" s="20" t="s">
        <v>11</v>
      </c>
      <c r="C383" s="20" t="s">
        <v>744</v>
      </c>
      <c r="D383" s="20" t="s">
        <v>783</v>
      </c>
      <c r="E383" s="20" t="s">
        <v>784</v>
      </c>
      <c r="F383" s="20">
        <v>33.33820403</v>
      </c>
      <c r="G383" s="20">
        <v>44.410480990000003</v>
      </c>
      <c r="H383" s="22">
        <v>21</v>
      </c>
      <c r="I383" s="22">
        <v>126</v>
      </c>
      <c r="J383" s="21">
        <v>10</v>
      </c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>
        <v>8</v>
      </c>
      <c r="W383" s="21"/>
      <c r="X383" s="21">
        <v>3</v>
      </c>
      <c r="Y383" s="21"/>
      <c r="Z383" s="21"/>
      <c r="AA383" s="21"/>
      <c r="AB383" s="21"/>
      <c r="AC383" s="21">
        <v>5</v>
      </c>
      <c r="AD383" s="21"/>
      <c r="AE383" s="21"/>
      <c r="AF383" s="21"/>
      <c r="AG383" s="21"/>
      <c r="AH383" s="21">
        <v>8</v>
      </c>
      <c r="AI383" s="21">
        <v>8</v>
      </c>
      <c r="AJ383" s="21"/>
      <c r="AK383" s="21"/>
      <c r="AL383" s="21"/>
      <c r="AM383" s="21"/>
      <c r="AN383" s="21">
        <v>3</v>
      </c>
      <c r="AO383" s="21">
        <v>5</v>
      </c>
      <c r="AP383" s="21">
        <v>6</v>
      </c>
      <c r="AQ383" s="21"/>
      <c r="AR383" s="21"/>
      <c r="AS383" s="21">
        <v>7</v>
      </c>
      <c r="AT383" s="12" t="str">
        <f>HYPERLINK("http://www.openstreetmap.org/?mlat=33.3382&amp;mlon=44.4105&amp;zoom=12#map=12/33.3382/44.4105","Maplink1")</f>
        <v>Maplink1</v>
      </c>
      <c r="AU383" s="12" t="str">
        <f>HYPERLINK("https://www.google.iq/maps/search/+33.3382,44.4105/@33.3382,44.4105,14z?hl=en","Maplink2")</f>
        <v>Maplink2</v>
      </c>
      <c r="AV383" s="12" t="str">
        <f>HYPERLINK("http://www.bing.com/maps/?lvl=14&amp;sty=h&amp;cp=33.3382~44.4105&amp;sp=point.33.3382_44.4105","Maplink3")</f>
        <v>Maplink3</v>
      </c>
    </row>
    <row r="384" spans="1:48" ht="15" customHeight="1" x14ac:dyDescent="0.25">
      <c r="A384" s="19">
        <v>24017</v>
      </c>
      <c r="B384" s="20" t="s">
        <v>11</v>
      </c>
      <c r="C384" s="20" t="s">
        <v>744</v>
      </c>
      <c r="D384" s="20" t="s">
        <v>5774</v>
      </c>
      <c r="E384" s="20" t="s">
        <v>5775</v>
      </c>
      <c r="F384" s="20">
        <v>33.289156050000003</v>
      </c>
      <c r="G384" s="20">
        <v>44.395885370000002</v>
      </c>
      <c r="H384" s="22">
        <v>3</v>
      </c>
      <c r="I384" s="22">
        <v>18</v>
      </c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>
        <v>3</v>
      </c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>
        <v>3</v>
      </c>
      <c r="AI384" s="21"/>
      <c r="AJ384" s="21"/>
      <c r="AK384" s="21"/>
      <c r="AL384" s="21"/>
      <c r="AM384" s="21"/>
      <c r="AN384" s="21">
        <v>3</v>
      </c>
      <c r="AO384" s="21"/>
      <c r="AP384" s="21"/>
      <c r="AQ384" s="21"/>
      <c r="AR384" s="21"/>
      <c r="AS384" s="21"/>
      <c r="AT384" s="12" t="str">
        <f>HYPERLINK("http://www.openstreetmap.org/?mlat=33.2892&amp;mlon=44.3959&amp;zoom=12#map=12/33.2892/44.3959","Maplink1")</f>
        <v>Maplink1</v>
      </c>
      <c r="AU384" s="12" t="str">
        <f>HYPERLINK("https://www.google.iq/maps/search/+33.2892,44.3959/@33.2892,44.3959,14z?hl=en","Maplink2")</f>
        <v>Maplink2</v>
      </c>
      <c r="AV384" s="12" t="str">
        <f>HYPERLINK("http://www.bing.com/maps/?lvl=14&amp;sty=h&amp;cp=33.2892~44.3959&amp;sp=point.33.2892_44.3959","Maplink3")</f>
        <v>Maplink3</v>
      </c>
    </row>
    <row r="385" spans="1:48" ht="15" customHeight="1" x14ac:dyDescent="0.25">
      <c r="A385" s="19">
        <v>22772</v>
      </c>
      <c r="B385" s="20" t="s">
        <v>11</v>
      </c>
      <c r="C385" s="20" t="s">
        <v>744</v>
      </c>
      <c r="D385" s="20" t="s">
        <v>785</v>
      </c>
      <c r="E385" s="20" t="s">
        <v>786</v>
      </c>
      <c r="F385" s="20">
        <v>33.348692639500001</v>
      </c>
      <c r="G385" s="20">
        <v>44.388280852000001</v>
      </c>
      <c r="H385" s="22">
        <v>8</v>
      </c>
      <c r="I385" s="22">
        <v>48</v>
      </c>
      <c r="J385" s="21"/>
      <c r="K385" s="21"/>
      <c r="L385" s="21"/>
      <c r="M385" s="21"/>
      <c r="N385" s="21"/>
      <c r="O385" s="21">
        <v>2</v>
      </c>
      <c r="P385" s="21"/>
      <c r="Q385" s="21"/>
      <c r="R385" s="21"/>
      <c r="S385" s="21"/>
      <c r="T385" s="21"/>
      <c r="U385" s="21"/>
      <c r="V385" s="21">
        <v>6</v>
      </c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>
        <v>8</v>
      </c>
      <c r="AI385" s="21"/>
      <c r="AJ385" s="21"/>
      <c r="AK385" s="21"/>
      <c r="AL385" s="21"/>
      <c r="AM385" s="21">
        <v>6</v>
      </c>
      <c r="AN385" s="21">
        <v>2</v>
      </c>
      <c r="AO385" s="21"/>
      <c r="AP385" s="21"/>
      <c r="AQ385" s="21"/>
      <c r="AR385" s="21"/>
      <c r="AS385" s="21"/>
      <c r="AT385" s="12" t="str">
        <f>HYPERLINK("http://www.openstreetmap.org/?mlat=33.3487&amp;mlon=44.3883&amp;zoom=12#map=12/33.3487/44.3883","Maplink1")</f>
        <v>Maplink1</v>
      </c>
      <c r="AU385" s="12" t="str">
        <f>HYPERLINK("https://www.google.iq/maps/search/+33.3487,44.3883/@33.3487,44.3883,14z?hl=en","Maplink2")</f>
        <v>Maplink2</v>
      </c>
      <c r="AV385" s="12" t="str">
        <f>HYPERLINK("http://www.bing.com/maps/?lvl=14&amp;sty=h&amp;cp=33.3487~44.3883&amp;sp=point.33.3487_44.3883","Maplink3")</f>
        <v>Maplink3</v>
      </c>
    </row>
    <row r="386" spans="1:48" ht="15" customHeight="1" x14ac:dyDescent="0.25">
      <c r="A386" s="19">
        <v>24942</v>
      </c>
      <c r="B386" s="20" t="s">
        <v>11</v>
      </c>
      <c r="C386" s="20" t="s">
        <v>744</v>
      </c>
      <c r="D386" s="20" t="s">
        <v>787</v>
      </c>
      <c r="E386" s="20" t="s">
        <v>788</v>
      </c>
      <c r="F386" s="20">
        <v>33.345895333599998</v>
      </c>
      <c r="G386" s="20">
        <v>44.393113265899999</v>
      </c>
      <c r="H386" s="22">
        <v>8</v>
      </c>
      <c r="I386" s="22">
        <v>48</v>
      </c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>
        <v>8</v>
      </c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>
        <v>8</v>
      </c>
      <c r="AI386" s="21"/>
      <c r="AJ386" s="21"/>
      <c r="AK386" s="21"/>
      <c r="AL386" s="21"/>
      <c r="AM386" s="21"/>
      <c r="AN386" s="21"/>
      <c r="AO386" s="21">
        <v>3</v>
      </c>
      <c r="AP386" s="21"/>
      <c r="AQ386" s="21"/>
      <c r="AR386" s="21">
        <v>5</v>
      </c>
      <c r="AS386" s="21"/>
      <c r="AT386" s="12" t="str">
        <f>HYPERLINK("http://www.openstreetmap.org/?mlat=33.3459&amp;mlon=44.3931&amp;zoom=12#map=12/33.3459/44.3931","Maplink1")</f>
        <v>Maplink1</v>
      </c>
      <c r="AU386" s="12" t="str">
        <f>HYPERLINK("https://www.google.iq/maps/search/+33.3459,44.3931/@33.3459,44.3931,14z?hl=en","Maplink2")</f>
        <v>Maplink2</v>
      </c>
      <c r="AV386" s="12" t="str">
        <f>HYPERLINK("http://www.bing.com/maps/?lvl=14&amp;sty=h&amp;cp=33.3459~44.3931&amp;sp=point.33.3459_44.3931","Maplink3")</f>
        <v>Maplink3</v>
      </c>
    </row>
    <row r="387" spans="1:48" ht="15" customHeight="1" x14ac:dyDescent="0.25">
      <c r="A387" s="19">
        <v>21744</v>
      </c>
      <c r="B387" s="20" t="s">
        <v>11</v>
      </c>
      <c r="C387" s="20" t="s">
        <v>744</v>
      </c>
      <c r="D387" s="20" t="s">
        <v>789</v>
      </c>
      <c r="E387" s="20" t="s">
        <v>790</v>
      </c>
      <c r="F387" s="20">
        <v>33.346092980000002</v>
      </c>
      <c r="G387" s="20">
        <v>44.392671360000001</v>
      </c>
      <c r="H387" s="22">
        <v>14</v>
      </c>
      <c r="I387" s="22">
        <v>84</v>
      </c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>
        <v>12</v>
      </c>
      <c r="W387" s="21"/>
      <c r="X387" s="21">
        <v>2</v>
      </c>
      <c r="Y387" s="21"/>
      <c r="Z387" s="21"/>
      <c r="AA387" s="21"/>
      <c r="AB387" s="21"/>
      <c r="AC387" s="21"/>
      <c r="AD387" s="21"/>
      <c r="AE387" s="21"/>
      <c r="AF387" s="21"/>
      <c r="AG387" s="21"/>
      <c r="AH387" s="21">
        <v>14</v>
      </c>
      <c r="AI387" s="21"/>
      <c r="AJ387" s="21"/>
      <c r="AK387" s="21"/>
      <c r="AL387" s="21"/>
      <c r="AM387" s="21">
        <v>6</v>
      </c>
      <c r="AN387" s="21">
        <v>2</v>
      </c>
      <c r="AO387" s="21">
        <v>6</v>
      </c>
      <c r="AP387" s="21"/>
      <c r="AQ387" s="21"/>
      <c r="AR387" s="21"/>
      <c r="AS387" s="21"/>
      <c r="AT387" s="12" t="str">
        <f>HYPERLINK("http://www.openstreetmap.org/?mlat=33.3461&amp;mlon=44.3927&amp;zoom=12#map=12/33.3461/44.3927","Maplink1")</f>
        <v>Maplink1</v>
      </c>
      <c r="AU387" s="12" t="str">
        <f>HYPERLINK("https://www.google.iq/maps/search/+33.3461,44.3927/@33.3461,44.3927,14z?hl=en","Maplink2")</f>
        <v>Maplink2</v>
      </c>
      <c r="AV387" s="12" t="str">
        <f>HYPERLINK("http://www.bing.com/maps/?lvl=14&amp;sty=h&amp;cp=33.3461~44.3927&amp;sp=point.33.3461_44.3927","Maplink3")</f>
        <v>Maplink3</v>
      </c>
    </row>
    <row r="388" spans="1:48" ht="15" customHeight="1" x14ac:dyDescent="0.25">
      <c r="A388" s="19">
        <v>21630</v>
      </c>
      <c r="B388" s="20" t="s">
        <v>11</v>
      </c>
      <c r="C388" s="20" t="s">
        <v>744</v>
      </c>
      <c r="D388" s="20" t="s">
        <v>791</v>
      </c>
      <c r="E388" s="20" t="s">
        <v>792</v>
      </c>
      <c r="F388" s="20">
        <v>33.348265290000001</v>
      </c>
      <c r="G388" s="20">
        <v>44.389618419999998</v>
      </c>
      <c r="H388" s="22">
        <v>10</v>
      </c>
      <c r="I388" s="22">
        <v>60</v>
      </c>
      <c r="J388" s="21">
        <v>5</v>
      </c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>
        <v>5</v>
      </c>
      <c r="W388" s="21"/>
      <c r="X388" s="21"/>
      <c r="Y388" s="21"/>
      <c r="Z388" s="21"/>
      <c r="AA388" s="21"/>
      <c r="AB388" s="21"/>
      <c r="AC388" s="21">
        <v>3</v>
      </c>
      <c r="AD388" s="21"/>
      <c r="AE388" s="21"/>
      <c r="AF388" s="21"/>
      <c r="AG388" s="21"/>
      <c r="AH388" s="21">
        <v>7</v>
      </c>
      <c r="AI388" s="21"/>
      <c r="AJ388" s="21"/>
      <c r="AK388" s="21"/>
      <c r="AL388" s="21"/>
      <c r="AM388" s="21"/>
      <c r="AN388" s="21">
        <v>10</v>
      </c>
      <c r="AO388" s="21"/>
      <c r="AP388" s="21"/>
      <c r="AQ388" s="21"/>
      <c r="AR388" s="21"/>
      <c r="AS388" s="21"/>
      <c r="AT388" s="12" t="str">
        <f>HYPERLINK("http://www.openstreetmap.org/?mlat=33.3483&amp;mlon=44.3896&amp;zoom=12#map=12/33.3483/44.3896","Maplink1")</f>
        <v>Maplink1</v>
      </c>
      <c r="AU388" s="12" t="str">
        <f>HYPERLINK("https://www.google.iq/maps/search/+33.3483,44.3896/@33.3483,44.3896,14z?hl=en","Maplink2")</f>
        <v>Maplink2</v>
      </c>
      <c r="AV388" s="12" t="str">
        <f>HYPERLINK("http://www.bing.com/maps/?lvl=14&amp;sty=h&amp;cp=33.3483~44.3896&amp;sp=point.33.3483_44.3896","Maplink3")</f>
        <v>Maplink3</v>
      </c>
    </row>
    <row r="389" spans="1:48" ht="15" customHeight="1" x14ac:dyDescent="0.25">
      <c r="A389" s="19">
        <v>22056</v>
      </c>
      <c r="B389" s="20" t="s">
        <v>11</v>
      </c>
      <c r="C389" s="20" t="s">
        <v>744</v>
      </c>
      <c r="D389" s="20" t="s">
        <v>793</v>
      </c>
      <c r="E389" s="20" t="s">
        <v>794</v>
      </c>
      <c r="F389" s="20">
        <v>33.350047000000004</v>
      </c>
      <c r="G389" s="20">
        <v>44.505930999999997</v>
      </c>
      <c r="H389" s="22">
        <v>9</v>
      </c>
      <c r="I389" s="22">
        <v>54</v>
      </c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>
        <v>9</v>
      </c>
      <c r="W389" s="21"/>
      <c r="X389" s="21"/>
      <c r="Y389" s="21"/>
      <c r="Z389" s="21"/>
      <c r="AA389" s="21"/>
      <c r="AB389" s="21"/>
      <c r="AC389" s="21">
        <v>2</v>
      </c>
      <c r="AD389" s="21"/>
      <c r="AE389" s="21"/>
      <c r="AF389" s="21"/>
      <c r="AG389" s="21"/>
      <c r="AH389" s="21">
        <v>7</v>
      </c>
      <c r="AI389" s="21"/>
      <c r="AJ389" s="21"/>
      <c r="AK389" s="21"/>
      <c r="AL389" s="21"/>
      <c r="AM389" s="21"/>
      <c r="AN389" s="21">
        <v>7</v>
      </c>
      <c r="AO389" s="21">
        <v>2</v>
      </c>
      <c r="AP389" s="21"/>
      <c r="AQ389" s="21"/>
      <c r="AR389" s="21"/>
      <c r="AS389" s="21"/>
      <c r="AT389" s="12" t="str">
        <f>HYPERLINK("http://www.openstreetmap.org/?mlat=33.35&amp;mlon=44.5059&amp;zoom=12#map=12/33.35/44.5059","Maplink1")</f>
        <v>Maplink1</v>
      </c>
      <c r="AU389" s="12" t="str">
        <f>HYPERLINK("https://www.google.iq/maps/search/+33.35,44.5059/@33.35,44.5059,14z?hl=en","Maplink2")</f>
        <v>Maplink2</v>
      </c>
      <c r="AV389" s="12" t="str">
        <f>HYPERLINK("http://www.bing.com/maps/?lvl=14&amp;sty=h&amp;cp=33.35~44.5059&amp;sp=point.33.35_44.5059","Maplink3")</f>
        <v>Maplink3</v>
      </c>
    </row>
    <row r="390" spans="1:48" ht="15" customHeight="1" x14ac:dyDescent="0.25">
      <c r="A390" s="19">
        <v>22145</v>
      </c>
      <c r="B390" s="20" t="s">
        <v>11</v>
      </c>
      <c r="C390" s="20" t="s">
        <v>744</v>
      </c>
      <c r="D390" s="20" t="s">
        <v>795</v>
      </c>
      <c r="E390" s="20" t="s">
        <v>796</v>
      </c>
      <c r="F390" s="20">
        <v>33.35316478</v>
      </c>
      <c r="G390" s="20">
        <v>44.514683949999998</v>
      </c>
      <c r="H390" s="22">
        <v>7</v>
      </c>
      <c r="I390" s="22">
        <v>42</v>
      </c>
      <c r="J390" s="21"/>
      <c r="K390" s="21"/>
      <c r="L390" s="21"/>
      <c r="M390" s="21"/>
      <c r="N390" s="21"/>
      <c r="O390" s="21">
        <v>2</v>
      </c>
      <c r="P390" s="21"/>
      <c r="Q390" s="21"/>
      <c r="R390" s="21"/>
      <c r="S390" s="21"/>
      <c r="T390" s="21"/>
      <c r="U390" s="21"/>
      <c r="V390" s="21">
        <v>5</v>
      </c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>
        <v>7</v>
      </c>
      <c r="AI390" s="21"/>
      <c r="AJ390" s="21"/>
      <c r="AK390" s="21"/>
      <c r="AL390" s="21"/>
      <c r="AM390" s="21"/>
      <c r="AN390" s="21">
        <v>2</v>
      </c>
      <c r="AO390" s="21">
        <v>5</v>
      </c>
      <c r="AP390" s="21"/>
      <c r="AQ390" s="21"/>
      <c r="AR390" s="21"/>
      <c r="AS390" s="21"/>
      <c r="AT390" s="12" t="str">
        <f>HYPERLINK("http://www.openstreetmap.org/?mlat=33.3532&amp;mlon=44.5147&amp;zoom=12#map=12/33.3532/44.5147","Maplink1")</f>
        <v>Maplink1</v>
      </c>
      <c r="AU390" s="12" t="str">
        <f>HYPERLINK("https://www.google.iq/maps/search/+33.3532,44.5147/@33.3532,44.5147,14z?hl=en","Maplink2")</f>
        <v>Maplink2</v>
      </c>
      <c r="AV390" s="12" t="str">
        <f>HYPERLINK("http://www.bing.com/maps/?lvl=14&amp;sty=h&amp;cp=33.3532~44.5147&amp;sp=point.33.3532_44.5147","Maplink3")</f>
        <v>Maplink3</v>
      </c>
    </row>
    <row r="391" spans="1:48" ht="15" customHeight="1" x14ac:dyDescent="0.25">
      <c r="A391" s="19">
        <v>24953</v>
      </c>
      <c r="B391" s="20" t="s">
        <v>11</v>
      </c>
      <c r="C391" s="20" t="s">
        <v>744</v>
      </c>
      <c r="D391" s="20" t="s">
        <v>797</v>
      </c>
      <c r="E391" s="20" t="s">
        <v>798</v>
      </c>
      <c r="F391" s="20">
        <v>33.360867120000002</v>
      </c>
      <c r="G391" s="20">
        <v>44.518764879999999</v>
      </c>
      <c r="H391" s="22">
        <v>10</v>
      </c>
      <c r="I391" s="22">
        <v>60</v>
      </c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>
        <v>10</v>
      </c>
      <c r="W391" s="21"/>
      <c r="X391" s="21"/>
      <c r="Y391" s="21"/>
      <c r="Z391" s="21"/>
      <c r="AA391" s="21"/>
      <c r="AB391" s="21"/>
      <c r="AC391" s="21">
        <v>3</v>
      </c>
      <c r="AD391" s="21"/>
      <c r="AE391" s="21"/>
      <c r="AF391" s="21"/>
      <c r="AG391" s="21"/>
      <c r="AH391" s="21">
        <v>7</v>
      </c>
      <c r="AI391" s="21"/>
      <c r="AJ391" s="21"/>
      <c r="AK391" s="21"/>
      <c r="AL391" s="21"/>
      <c r="AM391" s="21"/>
      <c r="AN391" s="21"/>
      <c r="AO391" s="21">
        <v>10</v>
      </c>
      <c r="AP391" s="21"/>
      <c r="AQ391" s="21"/>
      <c r="AR391" s="21"/>
      <c r="AS391" s="21"/>
      <c r="AT391" s="12" t="str">
        <f>HYPERLINK("http://www.openstreetmap.org/?mlat=33.3609&amp;mlon=44.5188&amp;zoom=12#map=12/33.3609/44.5188","Maplink1")</f>
        <v>Maplink1</v>
      </c>
      <c r="AU391" s="12" t="str">
        <f>HYPERLINK("https://www.google.iq/maps/search/+33.3609,44.5188/@33.3609,44.5188,14z?hl=en","Maplink2")</f>
        <v>Maplink2</v>
      </c>
      <c r="AV391" s="12" t="str">
        <f>HYPERLINK("http://www.bing.com/maps/?lvl=14&amp;sty=h&amp;cp=33.3609~44.5188&amp;sp=point.33.3609_44.5188","Maplink3")</f>
        <v>Maplink3</v>
      </c>
    </row>
    <row r="392" spans="1:48" ht="15" customHeight="1" x14ac:dyDescent="0.25">
      <c r="A392" s="19">
        <v>22146</v>
      </c>
      <c r="B392" s="20" t="s">
        <v>11</v>
      </c>
      <c r="C392" s="20" t="s">
        <v>744</v>
      </c>
      <c r="D392" s="20" t="s">
        <v>799</v>
      </c>
      <c r="E392" s="20" t="s">
        <v>800</v>
      </c>
      <c r="F392" s="20">
        <v>33.353323260000003</v>
      </c>
      <c r="G392" s="20">
        <v>44.530436649999999</v>
      </c>
      <c r="H392" s="22">
        <v>8</v>
      </c>
      <c r="I392" s="22">
        <v>48</v>
      </c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>
        <v>8</v>
      </c>
      <c r="W392" s="21"/>
      <c r="X392" s="21"/>
      <c r="Y392" s="21"/>
      <c r="Z392" s="21"/>
      <c r="AA392" s="21"/>
      <c r="AB392" s="21"/>
      <c r="AC392" s="21">
        <v>4</v>
      </c>
      <c r="AD392" s="21"/>
      <c r="AE392" s="21"/>
      <c r="AF392" s="21"/>
      <c r="AG392" s="21"/>
      <c r="AH392" s="21">
        <v>4</v>
      </c>
      <c r="AI392" s="21"/>
      <c r="AJ392" s="21"/>
      <c r="AK392" s="21"/>
      <c r="AL392" s="21"/>
      <c r="AM392" s="21"/>
      <c r="AN392" s="21"/>
      <c r="AO392" s="21">
        <v>8</v>
      </c>
      <c r="AP392" s="21"/>
      <c r="AQ392" s="21"/>
      <c r="AR392" s="21"/>
      <c r="AS392" s="21"/>
      <c r="AT392" s="12" t="str">
        <f>HYPERLINK("http://www.openstreetmap.org/?mlat=33.3533&amp;mlon=44.5304&amp;zoom=12#map=12/33.3533/44.5304","Maplink1")</f>
        <v>Maplink1</v>
      </c>
      <c r="AU392" s="12" t="str">
        <f>HYPERLINK("https://www.google.iq/maps/search/+33.3533,44.5304/@33.3533,44.5304,14z?hl=en","Maplink2")</f>
        <v>Maplink2</v>
      </c>
      <c r="AV392" s="12" t="str">
        <f>HYPERLINK("http://www.bing.com/maps/?lvl=14&amp;sty=h&amp;cp=33.3533~44.5304&amp;sp=point.33.3533_44.5304","Maplink3")</f>
        <v>Maplink3</v>
      </c>
    </row>
    <row r="393" spans="1:48" ht="15" customHeight="1" x14ac:dyDescent="0.25">
      <c r="A393" s="19">
        <v>24277</v>
      </c>
      <c r="B393" s="20" t="s">
        <v>11</v>
      </c>
      <c r="C393" s="20" t="s">
        <v>744</v>
      </c>
      <c r="D393" s="20" t="s">
        <v>801</v>
      </c>
      <c r="E393" s="20" t="s">
        <v>802</v>
      </c>
      <c r="F393" s="20">
        <v>33.30812968</v>
      </c>
      <c r="G393" s="20">
        <v>44.423456299999998</v>
      </c>
      <c r="H393" s="22">
        <v>9</v>
      </c>
      <c r="I393" s="22">
        <v>54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>
        <v>9</v>
      </c>
      <c r="W393" s="21"/>
      <c r="X393" s="21"/>
      <c r="Y393" s="21"/>
      <c r="Z393" s="21"/>
      <c r="AA393" s="21"/>
      <c r="AB393" s="21"/>
      <c r="AC393" s="21">
        <v>3</v>
      </c>
      <c r="AD393" s="21"/>
      <c r="AE393" s="21"/>
      <c r="AF393" s="21"/>
      <c r="AG393" s="21"/>
      <c r="AH393" s="21">
        <v>6</v>
      </c>
      <c r="AI393" s="21"/>
      <c r="AJ393" s="21"/>
      <c r="AK393" s="21"/>
      <c r="AL393" s="21">
        <v>5</v>
      </c>
      <c r="AM393" s="21">
        <v>2</v>
      </c>
      <c r="AN393" s="21"/>
      <c r="AO393" s="21">
        <v>2</v>
      </c>
      <c r="AP393" s="21"/>
      <c r="AQ393" s="21"/>
      <c r="AR393" s="21"/>
      <c r="AS393" s="21"/>
      <c r="AT393" s="12" t="str">
        <f>HYPERLINK("http://www.openstreetmap.org/?mlat=33.3081&amp;mlon=44.4235&amp;zoom=12#map=12/33.3081/44.4235","Maplink1")</f>
        <v>Maplink1</v>
      </c>
      <c r="AU393" s="12" t="str">
        <f>HYPERLINK("https://www.google.iq/maps/search/+33.3081,44.4235/@33.3081,44.4235,14z?hl=en","Maplink2")</f>
        <v>Maplink2</v>
      </c>
      <c r="AV393" s="12" t="str">
        <f>HYPERLINK("http://www.bing.com/maps/?lvl=14&amp;sty=h&amp;cp=33.3081~44.4235&amp;sp=point.33.3081_44.4235","Maplink3")</f>
        <v>Maplink3</v>
      </c>
    </row>
    <row r="394" spans="1:48" ht="15" customHeight="1" x14ac:dyDescent="0.25">
      <c r="A394" s="19">
        <v>25928</v>
      </c>
      <c r="B394" s="20" t="s">
        <v>11</v>
      </c>
      <c r="C394" s="20" t="s">
        <v>744</v>
      </c>
      <c r="D394" s="20" t="s">
        <v>803</v>
      </c>
      <c r="E394" s="20" t="s">
        <v>804</v>
      </c>
      <c r="F394" s="20">
        <v>33.302964160000002</v>
      </c>
      <c r="G394" s="20">
        <v>44.4338877</v>
      </c>
      <c r="H394" s="22">
        <v>8</v>
      </c>
      <c r="I394" s="22">
        <v>48</v>
      </c>
      <c r="J394" s="21">
        <v>1</v>
      </c>
      <c r="K394" s="21"/>
      <c r="L394" s="21"/>
      <c r="M394" s="21"/>
      <c r="N394" s="21"/>
      <c r="O394" s="21">
        <v>1</v>
      </c>
      <c r="P394" s="21"/>
      <c r="Q394" s="21"/>
      <c r="R394" s="21"/>
      <c r="S394" s="21"/>
      <c r="T394" s="21"/>
      <c r="U394" s="21"/>
      <c r="V394" s="21">
        <v>6</v>
      </c>
      <c r="W394" s="21"/>
      <c r="X394" s="21"/>
      <c r="Y394" s="21"/>
      <c r="Z394" s="21"/>
      <c r="AA394" s="21"/>
      <c r="AB394" s="21"/>
      <c r="AC394" s="21">
        <v>2</v>
      </c>
      <c r="AD394" s="21"/>
      <c r="AE394" s="21"/>
      <c r="AF394" s="21"/>
      <c r="AG394" s="21"/>
      <c r="AH394" s="21">
        <v>6</v>
      </c>
      <c r="AI394" s="21"/>
      <c r="AJ394" s="21"/>
      <c r="AK394" s="21"/>
      <c r="AL394" s="21"/>
      <c r="AM394" s="21">
        <v>5</v>
      </c>
      <c r="AN394" s="21">
        <v>3</v>
      </c>
      <c r="AO394" s="21"/>
      <c r="AP394" s="21"/>
      <c r="AQ394" s="21"/>
      <c r="AR394" s="21"/>
      <c r="AS394" s="21"/>
      <c r="AT394" s="12" t="str">
        <f>HYPERLINK("http://www.openstreetmap.org/?mlat=33.303&amp;mlon=44.4339&amp;zoom=12#map=12/33.303/44.4339","Maplink1")</f>
        <v>Maplink1</v>
      </c>
      <c r="AU394" s="12" t="str">
        <f>HYPERLINK("https://www.google.iq/maps/search/+33.303,44.4339/@33.303,44.4339,14z?hl=en","Maplink2")</f>
        <v>Maplink2</v>
      </c>
      <c r="AV394" s="12" t="str">
        <f>HYPERLINK("http://www.bing.com/maps/?lvl=14&amp;sty=h&amp;cp=33.303~44.4339&amp;sp=point.33.303_44.4339","Maplink3")</f>
        <v>Maplink3</v>
      </c>
    </row>
    <row r="395" spans="1:48" ht="15" customHeight="1" x14ac:dyDescent="0.25">
      <c r="A395" s="19">
        <v>24019</v>
      </c>
      <c r="B395" s="20" t="s">
        <v>11</v>
      </c>
      <c r="C395" s="20" t="s">
        <v>744</v>
      </c>
      <c r="D395" s="20" t="s">
        <v>805</v>
      </c>
      <c r="E395" s="20" t="s">
        <v>806</v>
      </c>
      <c r="F395" s="20">
        <v>33.29933372</v>
      </c>
      <c r="G395" s="20">
        <v>44.421010959999997</v>
      </c>
      <c r="H395" s="22">
        <v>6</v>
      </c>
      <c r="I395" s="22">
        <v>36</v>
      </c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>
        <v>6</v>
      </c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>
        <v>6</v>
      </c>
      <c r="AI395" s="21"/>
      <c r="AJ395" s="21"/>
      <c r="AK395" s="21"/>
      <c r="AL395" s="21"/>
      <c r="AM395" s="21"/>
      <c r="AN395" s="21"/>
      <c r="AO395" s="21">
        <v>6</v>
      </c>
      <c r="AP395" s="21"/>
      <c r="AQ395" s="21"/>
      <c r="AR395" s="21"/>
      <c r="AS395" s="21"/>
      <c r="AT395" s="12" t="str">
        <f>HYPERLINK("http://www.openstreetmap.org/?mlat=33.2993&amp;mlon=44.421&amp;zoom=12#map=12/33.2993/44.421","Maplink1")</f>
        <v>Maplink1</v>
      </c>
      <c r="AU395" s="12" t="str">
        <f>HYPERLINK("https://www.google.iq/maps/search/+33.2993,44.421/@33.2993,44.421,14z?hl=en","Maplink2")</f>
        <v>Maplink2</v>
      </c>
      <c r="AV395" s="12" t="str">
        <f>HYPERLINK("http://www.bing.com/maps/?lvl=14&amp;sty=h&amp;cp=33.2993~44.421&amp;sp=point.33.2993_44.421","Maplink3")</f>
        <v>Maplink3</v>
      </c>
    </row>
    <row r="396" spans="1:48" ht="15" customHeight="1" x14ac:dyDescent="0.25">
      <c r="A396" s="19">
        <v>27248</v>
      </c>
      <c r="B396" s="20" t="s">
        <v>11</v>
      </c>
      <c r="C396" s="20" t="s">
        <v>744</v>
      </c>
      <c r="D396" s="20" t="s">
        <v>807</v>
      </c>
      <c r="E396" s="20" t="s">
        <v>808</v>
      </c>
      <c r="F396" s="20">
        <v>33.295436209999998</v>
      </c>
      <c r="G396" s="20">
        <v>44.410134820000003</v>
      </c>
      <c r="H396" s="22">
        <v>7</v>
      </c>
      <c r="I396" s="22">
        <v>42</v>
      </c>
      <c r="J396" s="21">
        <v>2</v>
      </c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>
        <v>5</v>
      </c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>
        <v>7</v>
      </c>
      <c r="AI396" s="21"/>
      <c r="AJ396" s="21"/>
      <c r="AK396" s="21"/>
      <c r="AL396" s="21"/>
      <c r="AM396" s="21"/>
      <c r="AN396" s="21">
        <v>5</v>
      </c>
      <c r="AO396" s="21"/>
      <c r="AP396" s="21">
        <v>2</v>
      </c>
      <c r="AQ396" s="21"/>
      <c r="AR396" s="21"/>
      <c r="AS396" s="21"/>
      <c r="AT396" s="12" t="str">
        <f>HYPERLINK("http://www.openstreetmap.org/?mlat=33.2954&amp;mlon=44.4101&amp;zoom=12#map=12/33.2954/44.4101","Maplink1")</f>
        <v>Maplink1</v>
      </c>
      <c r="AU396" s="12" t="str">
        <f>HYPERLINK("https://www.google.iq/maps/search/+33.2954,44.4101/@33.2954,44.4101,14z?hl=en","Maplink2")</f>
        <v>Maplink2</v>
      </c>
      <c r="AV396" s="12" t="str">
        <f>HYPERLINK("http://www.bing.com/maps/?lvl=14&amp;sty=h&amp;cp=33.2954~44.4101&amp;sp=point.33.2954_44.4101","Maplink3")</f>
        <v>Maplink3</v>
      </c>
    </row>
    <row r="397" spans="1:48" ht="15" customHeight="1" x14ac:dyDescent="0.25">
      <c r="A397" s="19">
        <v>24475</v>
      </c>
      <c r="B397" s="20" t="s">
        <v>11</v>
      </c>
      <c r="C397" s="20" t="s">
        <v>744</v>
      </c>
      <c r="D397" s="20" t="s">
        <v>809</v>
      </c>
      <c r="E397" s="20" t="s">
        <v>810</v>
      </c>
      <c r="F397" s="20">
        <v>33.393783474599999</v>
      </c>
      <c r="G397" s="20">
        <v>44.5324835634</v>
      </c>
      <c r="H397" s="22">
        <v>5</v>
      </c>
      <c r="I397" s="22">
        <v>30</v>
      </c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>
        <v>5</v>
      </c>
      <c r="W397" s="21"/>
      <c r="X397" s="21"/>
      <c r="Y397" s="21"/>
      <c r="Z397" s="21"/>
      <c r="AA397" s="21"/>
      <c r="AB397" s="21"/>
      <c r="AC397" s="21">
        <v>3</v>
      </c>
      <c r="AD397" s="21"/>
      <c r="AE397" s="21"/>
      <c r="AF397" s="21"/>
      <c r="AG397" s="21"/>
      <c r="AH397" s="21">
        <v>2</v>
      </c>
      <c r="AI397" s="21"/>
      <c r="AJ397" s="21"/>
      <c r="AK397" s="21"/>
      <c r="AL397" s="21"/>
      <c r="AM397" s="21">
        <v>5</v>
      </c>
      <c r="AN397" s="21"/>
      <c r="AO397" s="21"/>
      <c r="AP397" s="21"/>
      <c r="AQ397" s="21"/>
      <c r="AR397" s="21"/>
      <c r="AS397" s="21"/>
      <c r="AT397" s="12" t="str">
        <f>HYPERLINK("http://www.openstreetmap.org/?mlat=33.3938&amp;mlon=44.5325&amp;zoom=12#map=12/33.3938/44.5325","Maplink1")</f>
        <v>Maplink1</v>
      </c>
      <c r="AU397" s="12" t="str">
        <f>HYPERLINK("https://www.google.iq/maps/search/+33.3938,44.5325/@33.3938,44.5325,14z?hl=en","Maplink2")</f>
        <v>Maplink2</v>
      </c>
      <c r="AV397" s="12" t="str">
        <f>HYPERLINK("http://www.bing.com/maps/?lvl=14&amp;sty=h&amp;cp=33.3938~44.5325&amp;sp=point.33.3938_44.5325","Maplink3")</f>
        <v>Maplink3</v>
      </c>
    </row>
    <row r="398" spans="1:48" ht="15" customHeight="1" x14ac:dyDescent="0.25">
      <c r="A398" s="19">
        <v>21692</v>
      </c>
      <c r="B398" s="20" t="s">
        <v>11</v>
      </c>
      <c r="C398" s="20" t="s">
        <v>744</v>
      </c>
      <c r="D398" s="20" t="s">
        <v>811</v>
      </c>
      <c r="E398" s="20" t="s">
        <v>812</v>
      </c>
      <c r="F398" s="20">
        <v>33.390870569999997</v>
      </c>
      <c r="G398" s="20">
        <v>44.520135449999998</v>
      </c>
      <c r="H398" s="22">
        <v>5</v>
      </c>
      <c r="I398" s="22">
        <v>30</v>
      </c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>
        <v>5</v>
      </c>
      <c r="W398" s="21"/>
      <c r="X398" s="21"/>
      <c r="Y398" s="21"/>
      <c r="Z398" s="21"/>
      <c r="AA398" s="21"/>
      <c r="AB398" s="21"/>
      <c r="AC398" s="21">
        <v>2</v>
      </c>
      <c r="AD398" s="21"/>
      <c r="AE398" s="21"/>
      <c r="AF398" s="21"/>
      <c r="AG398" s="21"/>
      <c r="AH398" s="21">
        <v>3</v>
      </c>
      <c r="AI398" s="21"/>
      <c r="AJ398" s="21"/>
      <c r="AK398" s="21"/>
      <c r="AL398" s="21"/>
      <c r="AM398" s="21"/>
      <c r="AN398" s="21">
        <v>1</v>
      </c>
      <c r="AO398" s="21">
        <v>4</v>
      </c>
      <c r="AP398" s="21"/>
      <c r="AQ398" s="21"/>
      <c r="AR398" s="21"/>
      <c r="AS398" s="21"/>
      <c r="AT398" s="12" t="str">
        <f>HYPERLINK("http://www.openstreetmap.org/?mlat=33.3909&amp;mlon=44.5201&amp;zoom=12#map=12/33.3909/44.5201","Maplink1")</f>
        <v>Maplink1</v>
      </c>
      <c r="AU398" s="12" t="str">
        <f>HYPERLINK("https://www.google.iq/maps/search/+33.3909,44.5201/@33.3909,44.5201,14z?hl=en","Maplink2")</f>
        <v>Maplink2</v>
      </c>
      <c r="AV398" s="12" t="str">
        <f>HYPERLINK("http://www.bing.com/maps/?lvl=14&amp;sty=h&amp;cp=33.3909~44.5201&amp;sp=point.33.3909_44.5201","Maplink3")</f>
        <v>Maplink3</v>
      </c>
    </row>
    <row r="399" spans="1:48" ht="15" customHeight="1" x14ac:dyDescent="0.25">
      <c r="A399" s="19">
        <v>21691</v>
      </c>
      <c r="B399" s="20" t="s">
        <v>11</v>
      </c>
      <c r="C399" s="20" t="s">
        <v>744</v>
      </c>
      <c r="D399" s="20" t="s">
        <v>813</v>
      </c>
      <c r="E399" s="20" t="s">
        <v>814</v>
      </c>
      <c r="F399" s="20">
        <v>33.397230489999998</v>
      </c>
      <c r="G399" s="20">
        <v>44.529979789999999</v>
      </c>
      <c r="H399" s="22">
        <v>6</v>
      </c>
      <c r="I399" s="22">
        <v>36</v>
      </c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>
        <v>6</v>
      </c>
      <c r="W399" s="21"/>
      <c r="X399" s="21"/>
      <c r="Y399" s="21"/>
      <c r="Z399" s="21"/>
      <c r="AA399" s="21"/>
      <c r="AB399" s="21"/>
      <c r="AC399" s="21">
        <v>4</v>
      </c>
      <c r="AD399" s="21"/>
      <c r="AE399" s="21"/>
      <c r="AF399" s="21"/>
      <c r="AG399" s="21"/>
      <c r="AH399" s="21">
        <v>2</v>
      </c>
      <c r="AI399" s="21"/>
      <c r="AJ399" s="21"/>
      <c r="AK399" s="21"/>
      <c r="AL399" s="21"/>
      <c r="AM399" s="21"/>
      <c r="AN399" s="21">
        <v>4</v>
      </c>
      <c r="AO399" s="21">
        <v>2</v>
      </c>
      <c r="AP399" s="21"/>
      <c r="AQ399" s="21"/>
      <c r="AR399" s="21"/>
      <c r="AS399" s="21"/>
      <c r="AT399" s="12" t="str">
        <f>HYPERLINK("http://www.openstreetmap.org/?mlat=33.3972&amp;mlon=44.53&amp;zoom=12#map=12/33.3972/44.53","Maplink1")</f>
        <v>Maplink1</v>
      </c>
      <c r="AU399" s="12" t="str">
        <f>HYPERLINK("https://www.google.iq/maps/search/+33.3972,44.53/@33.3972,44.53,14z?hl=en","Maplink2")</f>
        <v>Maplink2</v>
      </c>
      <c r="AV399" s="12" t="str">
        <f>HYPERLINK("http://www.bing.com/maps/?lvl=14&amp;sty=h&amp;cp=33.3972~44.53&amp;sp=point.33.3972_44.53","Maplink3")</f>
        <v>Maplink3</v>
      </c>
    </row>
    <row r="400" spans="1:48" ht="15" customHeight="1" x14ac:dyDescent="0.25">
      <c r="A400" s="19">
        <v>21693</v>
      </c>
      <c r="B400" s="20" t="s">
        <v>11</v>
      </c>
      <c r="C400" s="20" t="s">
        <v>744</v>
      </c>
      <c r="D400" s="20" t="s">
        <v>815</v>
      </c>
      <c r="E400" s="20" t="s">
        <v>816</v>
      </c>
      <c r="F400" s="20">
        <v>33.39506197</v>
      </c>
      <c r="G400" s="20">
        <v>44.52055094</v>
      </c>
      <c r="H400" s="22">
        <v>7</v>
      </c>
      <c r="I400" s="22">
        <v>42</v>
      </c>
      <c r="J400" s="21">
        <v>1</v>
      </c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>
        <v>4</v>
      </c>
      <c r="W400" s="21"/>
      <c r="X400" s="21">
        <v>2</v>
      </c>
      <c r="Y400" s="21"/>
      <c r="Z400" s="21"/>
      <c r="AA400" s="21"/>
      <c r="AB400" s="21"/>
      <c r="AC400" s="21">
        <v>3</v>
      </c>
      <c r="AD400" s="21"/>
      <c r="AE400" s="21"/>
      <c r="AF400" s="21"/>
      <c r="AG400" s="21"/>
      <c r="AH400" s="21">
        <v>4</v>
      </c>
      <c r="AI400" s="21"/>
      <c r="AJ400" s="21"/>
      <c r="AK400" s="21"/>
      <c r="AL400" s="21"/>
      <c r="AM400" s="21">
        <v>4</v>
      </c>
      <c r="AN400" s="21"/>
      <c r="AO400" s="21">
        <v>1</v>
      </c>
      <c r="AP400" s="21">
        <v>2</v>
      </c>
      <c r="AQ400" s="21"/>
      <c r="AR400" s="21"/>
      <c r="AS400" s="21"/>
      <c r="AT400" s="12" t="str">
        <f>HYPERLINK("http://www.openstreetmap.org/?mlat=33.3951&amp;mlon=44.5206&amp;zoom=12#map=12/33.3951/44.5206","Maplink1")</f>
        <v>Maplink1</v>
      </c>
      <c r="AU400" s="12" t="str">
        <f>HYPERLINK("https://www.google.iq/maps/search/+33.3951,44.5206/@33.3951,44.5206,14z?hl=en","Maplink2")</f>
        <v>Maplink2</v>
      </c>
      <c r="AV400" s="12" t="str">
        <f>HYPERLINK("http://www.bing.com/maps/?lvl=14&amp;sty=h&amp;cp=33.3951~44.5206&amp;sp=point.33.3951_44.5206","Maplink3")</f>
        <v>Maplink3</v>
      </c>
    </row>
    <row r="401" spans="1:48" ht="15" customHeight="1" x14ac:dyDescent="0.25">
      <c r="A401" s="19">
        <v>24477</v>
      </c>
      <c r="B401" s="20" t="s">
        <v>11</v>
      </c>
      <c r="C401" s="20" t="s">
        <v>744</v>
      </c>
      <c r="D401" s="20" t="s">
        <v>817</v>
      </c>
      <c r="E401" s="20" t="s">
        <v>818</v>
      </c>
      <c r="F401" s="20">
        <v>33.424506039999997</v>
      </c>
      <c r="G401" s="20">
        <v>44.53001046</v>
      </c>
      <c r="H401" s="22">
        <v>8</v>
      </c>
      <c r="I401" s="22">
        <v>48</v>
      </c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>
        <v>8</v>
      </c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>
        <v>8</v>
      </c>
      <c r="AI401" s="21"/>
      <c r="AJ401" s="21"/>
      <c r="AK401" s="21"/>
      <c r="AL401" s="21"/>
      <c r="AM401" s="21">
        <v>8</v>
      </c>
      <c r="AN401" s="21"/>
      <c r="AO401" s="21"/>
      <c r="AP401" s="21"/>
      <c r="AQ401" s="21"/>
      <c r="AR401" s="21"/>
      <c r="AS401" s="21"/>
      <c r="AT401" s="12" t="str">
        <f>HYPERLINK("http://www.openstreetmap.org/?mlat=33.4245&amp;mlon=44.53&amp;zoom=12#map=12/33.4245/44.53","Maplink1")</f>
        <v>Maplink1</v>
      </c>
      <c r="AU401" s="12" t="str">
        <f>HYPERLINK("https://www.google.iq/maps/search/+33.4245,44.53/@33.4245,44.53,14z?hl=en","Maplink2")</f>
        <v>Maplink2</v>
      </c>
      <c r="AV401" s="12" t="str">
        <f>HYPERLINK("http://www.bing.com/maps/?lvl=14&amp;sty=h&amp;cp=33.4245~44.53&amp;sp=point.33.4245_44.53","Maplink3")</f>
        <v>Maplink3</v>
      </c>
    </row>
    <row r="402" spans="1:48" ht="15" customHeight="1" x14ac:dyDescent="0.25">
      <c r="A402" s="19">
        <v>24474</v>
      </c>
      <c r="B402" s="20" t="s">
        <v>11</v>
      </c>
      <c r="C402" s="20" t="s">
        <v>744</v>
      </c>
      <c r="D402" s="20" t="s">
        <v>819</v>
      </c>
      <c r="E402" s="20" t="s">
        <v>820</v>
      </c>
      <c r="F402" s="20">
        <v>33.382375000000003</v>
      </c>
      <c r="G402" s="20">
        <v>44.532364999999999</v>
      </c>
      <c r="H402" s="22">
        <v>7</v>
      </c>
      <c r="I402" s="22">
        <v>42</v>
      </c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>
        <v>7</v>
      </c>
      <c r="W402" s="21"/>
      <c r="X402" s="21"/>
      <c r="Y402" s="21"/>
      <c r="Z402" s="21"/>
      <c r="AA402" s="21"/>
      <c r="AB402" s="21"/>
      <c r="AC402" s="21">
        <v>7</v>
      </c>
      <c r="AD402" s="21"/>
      <c r="AE402" s="21"/>
      <c r="AF402" s="21"/>
      <c r="AG402" s="21"/>
      <c r="AH402" s="21"/>
      <c r="AI402" s="21"/>
      <c r="AJ402" s="21"/>
      <c r="AK402" s="21"/>
      <c r="AL402" s="21"/>
      <c r="AM402" s="21">
        <v>7</v>
      </c>
      <c r="AN402" s="21"/>
      <c r="AO402" s="21"/>
      <c r="AP402" s="21"/>
      <c r="AQ402" s="21"/>
      <c r="AR402" s="21"/>
      <c r="AS402" s="21"/>
      <c r="AT402" s="12" t="str">
        <f>HYPERLINK("http://www.openstreetmap.org/?mlat=33.3824&amp;mlon=44.5324&amp;zoom=12#map=12/33.3824/44.5324","Maplink1")</f>
        <v>Maplink1</v>
      </c>
      <c r="AU402" s="12" t="str">
        <f>HYPERLINK("https://www.google.iq/maps/search/+33.3824,44.5324/@33.3824,44.5324,14z?hl=en","Maplink2")</f>
        <v>Maplink2</v>
      </c>
      <c r="AV402" s="12" t="str">
        <f>HYPERLINK("http://www.bing.com/maps/?lvl=14&amp;sty=h&amp;cp=33.3824~44.5324&amp;sp=point.33.3824_44.5324","Maplink3")</f>
        <v>Maplink3</v>
      </c>
    </row>
    <row r="403" spans="1:48" ht="15" customHeight="1" x14ac:dyDescent="0.25">
      <c r="A403" s="19">
        <v>21753</v>
      </c>
      <c r="B403" s="20" t="s">
        <v>11</v>
      </c>
      <c r="C403" s="20" t="s">
        <v>744</v>
      </c>
      <c r="D403" s="20" t="s">
        <v>821</v>
      </c>
      <c r="E403" s="20" t="s">
        <v>822</v>
      </c>
      <c r="F403" s="20">
        <v>33.434976570000003</v>
      </c>
      <c r="G403" s="20">
        <v>44.526993009999998</v>
      </c>
      <c r="H403" s="22">
        <v>6</v>
      </c>
      <c r="I403" s="22">
        <v>36</v>
      </c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>
        <v>6</v>
      </c>
      <c r="W403" s="21"/>
      <c r="X403" s="21"/>
      <c r="Y403" s="21"/>
      <c r="Z403" s="21"/>
      <c r="AA403" s="21"/>
      <c r="AB403" s="21"/>
      <c r="AC403" s="21">
        <v>3</v>
      </c>
      <c r="AD403" s="21"/>
      <c r="AE403" s="21"/>
      <c r="AF403" s="21"/>
      <c r="AG403" s="21"/>
      <c r="AH403" s="21">
        <v>3</v>
      </c>
      <c r="AI403" s="21"/>
      <c r="AJ403" s="21"/>
      <c r="AK403" s="21"/>
      <c r="AL403" s="21"/>
      <c r="AM403" s="21">
        <v>4</v>
      </c>
      <c r="AN403" s="21">
        <v>2</v>
      </c>
      <c r="AO403" s="21"/>
      <c r="AP403" s="21"/>
      <c r="AQ403" s="21"/>
      <c r="AR403" s="21"/>
      <c r="AS403" s="21"/>
      <c r="AT403" s="12" t="str">
        <f>HYPERLINK("http://www.openstreetmap.org/?mlat=33.435&amp;mlon=44.527&amp;zoom=12#map=12/33.435/44.527","Maplink1")</f>
        <v>Maplink1</v>
      </c>
      <c r="AU403" s="12" t="str">
        <f>HYPERLINK("https://www.google.iq/maps/search/+33.435,44.527/@33.435,44.527,14z?hl=en","Maplink2")</f>
        <v>Maplink2</v>
      </c>
      <c r="AV403" s="12" t="str">
        <f>HYPERLINK("http://www.bing.com/maps/?lvl=14&amp;sty=h&amp;cp=33.435~44.527&amp;sp=point.33.435_44.527","Maplink3")</f>
        <v>Maplink3</v>
      </c>
    </row>
    <row r="404" spans="1:48" ht="15" customHeight="1" x14ac:dyDescent="0.25">
      <c r="A404" s="19">
        <v>23757</v>
      </c>
      <c r="B404" s="20" t="s">
        <v>11</v>
      </c>
      <c r="C404" s="20" t="s">
        <v>744</v>
      </c>
      <c r="D404" s="20" t="s">
        <v>823</v>
      </c>
      <c r="E404" s="20" t="s">
        <v>824</v>
      </c>
      <c r="F404" s="20">
        <v>33.326712720000003</v>
      </c>
      <c r="G404" s="20">
        <v>44.490224900000001</v>
      </c>
      <c r="H404" s="22">
        <v>13</v>
      </c>
      <c r="I404" s="22">
        <v>78</v>
      </c>
      <c r="J404" s="21">
        <v>2</v>
      </c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>
        <v>11</v>
      </c>
      <c r="W404" s="21"/>
      <c r="X404" s="21"/>
      <c r="Y404" s="21"/>
      <c r="Z404" s="21"/>
      <c r="AA404" s="21"/>
      <c r="AB404" s="21"/>
      <c r="AC404" s="21">
        <v>6</v>
      </c>
      <c r="AD404" s="21"/>
      <c r="AE404" s="21"/>
      <c r="AF404" s="21"/>
      <c r="AG404" s="21"/>
      <c r="AH404" s="21">
        <v>7</v>
      </c>
      <c r="AI404" s="21"/>
      <c r="AJ404" s="21"/>
      <c r="AK404" s="21"/>
      <c r="AL404" s="21">
        <v>2</v>
      </c>
      <c r="AM404" s="21">
        <v>6</v>
      </c>
      <c r="AN404" s="21"/>
      <c r="AO404" s="21">
        <v>4</v>
      </c>
      <c r="AP404" s="21"/>
      <c r="AQ404" s="21"/>
      <c r="AR404" s="21"/>
      <c r="AS404" s="21">
        <v>1</v>
      </c>
      <c r="AT404" s="12" t="str">
        <f>HYPERLINK("http://www.openstreetmap.org/?mlat=33.3267&amp;mlon=44.4902&amp;zoom=12#map=12/33.3267/44.4902","Maplink1")</f>
        <v>Maplink1</v>
      </c>
      <c r="AU404" s="12" t="str">
        <f>HYPERLINK("https://www.google.iq/maps/search/+33.3267,44.4902/@33.3267,44.4902,14z?hl=en","Maplink2")</f>
        <v>Maplink2</v>
      </c>
      <c r="AV404" s="12" t="str">
        <f>HYPERLINK("http://www.bing.com/maps/?lvl=14&amp;sty=h&amp;cp=33.3267~44.4902&amp;sp=point.33.3267_44.4902","Maplink3")</f>
        <v>Maplink3</v>
      </c>
    </row>
    <row r="405" spans="1:48" ht="15" customHeight="1" x14ac:dyDescent="0.25">
      <c r="A405" s="19">
        <v>25401</v>
      </c>
      <c r="B405" s="20" t="s">
        <v>11</v>
      </c>
      <c r="C405" s="20" t="s">
        <v>744</v>
      </c>
      <c r="D405" s="20" t="s">
        <v>825</v>
      </c>
      <c r="E405" s="20" t="s">
        <v>826</v>
      </c>
      <c r="F405" s="20">
        <v>33.322805099199996</v>
      </c>
      <c r="G405" s="20">
        <v>44.498903753599997</v>
      </c>
      <c r="H405" s="22">
        <v>13</v>
      </c>
      <c r="I405" s="22">
        <v>78</v>
      </c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>
        <v>10</v>
      </c>
      <c r="W405" s="21"/>
      <c r="X405" s="21">
        <v>3</v>
      </c>
      <c r="Y405" s="21"/>
      <c r="Z405" s="21"/>
      <c r="AA405" s="21"/>
      <c r="AB405" s="21"/>
      <c r="AC405" s="21">
        <v>7</v>
      </c>
      <c r="AD405" s="21"/>
      <c r="AE405" s="21"/>
      <c r="AF405" s="21"/>
      <c r="AG405" s="21"/>
      <c r="AH405" s="21">
        <v>6</v>
      </c>
      <c r="AI405" s="21"/>
      <c r="AJ405" s="21"/>
      <c r="AK405" s="21"/>
      <c r="AL405" s="21">
        <v>3</v>
      </c>
      <c r="AM405" s="21">
        <v>2</v>
      </c>
      <c r="AN405" s="21">
        <v>4</v>
      </c>
      <c r="AO405" s="21">
        <v>4</v>
      </c>
      <c r="AP405" s="21"/>
      <c r="AQ405" s="21"/>
      <c r="AR405" s="21"/>
      <c r="AS405" s="21"/>
      <c r="AT405" s="12" t="str">
        <f>HYPERLINK("http://www.openstreetmap.org/?mlat=33.3228&amp;mlon=44.4989&amp;zoom=12#map=12/33.3228/44.4989","Maplink1")</f>
        <v>Maplink1</v>
      </c>
      <c r="AU405" s="12" t="str">
        <f>HYPERLINK("https://www.google.iq/maps/search/+33.3228,44.4989/@33.3228,44.4989,14z?hl=en","Maplink2")</f>
        <v>Maplink2</v>
      </c>
      <c r="AV405" s="12" t="str">
        <f>HYPERLINK("http://www.bing.com/maps/?lvl=14&amp;sty=h&amp;cp=33.3228~44.4989&amp;sp=point.33.3228_44.4989","Maplink3")</f>
        <v>Maplink3</v>
      </c>
    </row>
    <row r="406" spans="1:48" ht="15" customHeight="1" x14ac:dyDescent="0.25">
      <c r="A406" s="19">
        <v>24023</v>
      </c>
      <c r="B406" s="20" t="s">
        <v>11</v>
      </c>
      <c r="C406" s="20" t="s">
        <v>744</v>
      </c>
      <c r="D406" s="20" t="s">
        <v>827</v>
      </c>
      <c r="E406" s="20" t="s">
        <v>828</v>
      </c>
      <c r="F406" s="20">
        <v>33.315059842700002</v>
      </c>
      <c r="G406" s="20">
        <v>44.504701490800002</v>
      </c>
      <c r="H406" s="22">
        <v>17</v>
      </c>
      <c r="I406" s="22">
        <v>102</v>
      </c>
      <c r="J406" s="21">
        <v>3</v>
      </c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>
        <v>13</v>
      </c>
      <c r="W406" s="21"/>
      <c r="X406" s="21">
        <v>1</v>
      </c>
      <c r="Y406" s="21"/>
      <c r="Z406" s="21"/>
      <c r="AA406" s="21"/>
      <c r="AB406" s="21"/>
      <c r="AC406" s="21">
        <v>8</v>
      </c>
      <c r="AD406" s="21"/>
      <c r="AE406" s="21"/>
      <c r="AF406" s="21"/>
      <c r="AG406" s="21"/>
      <c r="AH406" s="21">
        <v>9</v>
      </c>
      <c r="AI406" s="21"/>
      <c r="AJ406" s="21"/>
      <c r="AK406" s="21"/>
      <c r="AL406" s="21">
        <v>4</v>
      </c>
      <c r="AM406" s="21"/>
      <c r="AN406" s="21">
        <v>10</v>
      </c>
      <c r="AO406" s="21">
        <v>3</v>
      </c>
      <c r="AP406" s="21"/>
      <c r="AQ406" s="21"/>
      <c r="AR406" s="21"/>
      <c r="AS406" s="21"/>
      <c r="AT406" s="12" t="str">
        <f>HYPERLINK("http://www.openstreetmap.org/?mlat=33.3151&amp;mlon=44.5047&amp;zoom=12#map=12/33.3151/44.5047","Maplink1")</f>
        <v>Maplink1</v>
      </c>
      <c r="AU406" s="12" t="str">
        <f>HYPERLINK("https://www.google.iq/maps/search/+33.3151,44.5047/@33.3151,44.5047,14z?hl=en","Maplink2")</f>
        <v>Maplink2</v>
      </c>
      <c r="AV406" s="12" t="str">
        <f>HYPERLINK("http://www.bing.com/maps/?lvl=14&amp;sty=h&amp;cp=33.3151~44.5047&amp;sp=point.33.3151_44.5047","Maplink3")</f>
        <v>Maplink3</v>
      </c>
    </row>
    <row r="407" spans="1:48" ht="15" customHeight="1" x14ac:dyDescent="0.25">
      <c r="A407" s="19">
        <v>23210</v>
      </c>
      <c r="B407" s="20" t="s">
        <v>11</v>
      </c>
      <c r="C407" s="20" t="s">
        <v>744</v>
      </c>
      <c r="D407" s="20" t="s">
        <v>829</v>
      </c>
      <c r="E407" s="20" t="s">
        <v>830</v>
      </c>
      <c r="F407" s="20">
        <v>33.314136070000004</v>
      </c>
      <c r="G407" s="20">
        <v>44.505109869999998</v>
      </c>
      <c r="H407" s="22">
        <v>12</v>
      </c>
      <c r="I407" s="22">
        <v>72</v>
      </c>
      <c r="J407" s="21">
        <v>3</v>
      </c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>
        <v>9</v>
      </c>
      <c r="W407" s="21"/>
      <c r="X407" s="21"/>
      <c r="Y407" s="21"/>
      <c r="Z407" s="21"/>
      <c r="AA407" s="21"/>
      <c r="AB407" s="21"/>
      <c r="AC407" s="21">
        <v>5</v>
      </c>
      <c r="AD407" s="21"/>
      <c r="AE407" s="21"/>
      <c r="AF407" s="21"/>
      <c r="AG407" s="21"/>
      <c r="AH407" s="21">
        <v>7</v>
      </c>
      <c r="AI407" s="21"/>
      <c r="AJ407" s="21"/>
      <c r="AK407" s="21"/>
      <c r="AL407" s="21"/>
      <c r="AM407" s="21">
        <v>9</v>
      </c>
      <c r="AN407" s="21"/>
      <c r="AO407" s="21"/>
      <c r="AP407" s="21"/>
      <c r="AQ407" s="21"/>
      <c r="AR407" s="21">
        <v>3</v>
      </c>
      <c r="AS407" s="21"/>
      <c r="AT407" s="12" t="str">
        <f>HYPERLINK("http://www.openstreetmap.org/?mlat=33.3141&amp;mlon=44.5051&amp;zoom=12#map=12/33.3141/44.5051","Maplink1")</f>
        <v>Maplink1</v>
      </c>
      <c r="AU407" s="12" t="str">
        <f>HYPERLINK("https://www.google.iq/maps/search/+33.3141,44.5051/@33.3141,44.5051,14z?hl=en","Maplink2")</f>
        <v>Maplink2</v>
      </c>
      <c r="AV407" s="12" t="str">
        <f>HYPERLINK("http://www.bing.com/maps/?lvl=14&amp;sty=h&amp;cp=33.3141~44.5051&amp;sp=point.33.3141_44.5051","Maplink3")</f>
        <v>Maplink3</v>
      </c>
    </row>
    <row r="408" spans="1:48" ht="15" customHeight="1" x14ac:dyDescent="0.25">
      <c r="A408" s="19">
        <v>23323</v>
      </c>
      <c r="B408" s="20" t="s">
        <v>11</v>
      </c>
      <c r="C408" s="20" t="s">
        <v>744</v>
      </c>
      <c r="D408" s="20" t="s">
        <v>831</v>
      </c>
      <c r="E408" s="20" t="s">
        <v>832</v>
      </c>
      <c r="F408" s="20">
        <v>33.32419582</v>
      </c>
      <c r="G408" s="20">
        <v>44.496610799999999</v>
      </c>
      <c r="H408" s="22">
        <v>14</v>
      </c>
      <c r="I408" s="22">
        <v>84</v>
      </c>
      <c r="J408" s="21"/>
      <c r="K408" s="21"/>
      <c r="L408" s="21"/>
      <c r="M408" s="21"/>
      <c r="N408" s="21"/>
      <c r="O408" s="21">
        <v>3</v>
      </c>
      <c r="P408" s="21"/>
      <c r="Q408" s="21"/>
      <c r="R408" s="21"/>
      <c r="S408" s="21"/>
      <c r="T408" s="21"/>
      <c r="U408" s="21"/>
      <c r="V408" s="21">
        <v>9</v>
      </c>
      <c r="W408" s="21"/>
      <c r="X408" s="21">
        <v>2</v>
      </c>
      <c r="Y408" s="21"/>
      <c r="Z408" s="21"/>
      <c r="AA408" s="21"/>
      <c r="AB408" s="21"/>
      <c r="AC408" s="21">
        <v>2</v>
      </c>
      <c r="AD408" s="21"/>
      <c r="AE408" s="21"/>
      <c r="AF408" s="21"/>
      <c r="AG408" s="21"/>
      <c r="AH408" s="21">
        <v>12</v>
      </c>
      <c r="AI408" s="21"/>
      <c r="AJ408" s="21"/>
      <c r="AK408" s="21"/>
      <c r="AL408" s="21"/>
      <c r="AM408" s="21">
        <v>9</v>
      </c>
      <c r="AN408" s="21">
        <v>5</v>
      </c>
      <c r="AO408" s="21"/>
      <c r="AP408" s="21"/>
      <c r="AQ408" s="21"/>
      <c r="AR408" s="21"/>
      <c r="AS408" s="21"/>
      <c r="AT408" s="12" t="str">
        <f>HYPERLINK("http://www.openstreetmap.org/?mlat=33.3242&amp;mlon=44.4966&amp;zoom=12#map=12/33.3242/44.4966","Maplink1")</f>
        <v>Maplink1</v>
      </c>
      <c r="AU408" s="12" t="str">
        <f>HYPERLINK("https://www.google.iq/maps/search/+33.3242,44.4966/@33.3242,44.4966,14z?hl=en","Maplink2")</f>
        <v>Maplink2</v>
      </c>
      <c r="AV408" s="12" t="str">
        <f>HYPERLINK("http://www.bing.com/maps/?lvl=14&amp;sty=h&amp;cp=33.3242~44.4966&amp;sp=point.33.3242_44.4966","Maplink3")</f>
        <v>Maplink3</v>
      </c>
    </row>
    <row r="409" spans="1:48" ht="15" customHeight="1" x14ac:dyDescent="0.25">
      <c r="A409" s="19">
        <v>23752</v>
      </c>
      <c r="B409" s="20" t="s">
        <v>11</v>
      </c>
      <c r="C409" s="20" t="s">
        <v>744</v>
      </c>
      <c r="D409" s="20" t="s">
        <v>833</v>
      </c>
      <c r="E409" s="20" t="s">
        <v>834</v>
      </c>
      <c r="F409" s="20">
        <v>33.319241009999999</v>
      </c>
      <c r="G409" s="20">
        <v>44.457423910000003</v>
      </c>
      <c r="H409" s="22">
        <v>11</v>
      </c>
      <c r="I409" s="22">
        <v>66</v>
      </c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>
        <v>11</v>
      </c>
      <c r="W409" s="21"/>
      <c r="X409" s="21"/>
      <c r="Y409" s="21"/>
      <c r="Z409" s="21"/>
      <c r="AA409" s="21"/>
      <c r="AB409" s="21"/>
      <c r="AC409" s="21">
        <v>6</v>
      </c>
      <c r="AD409" s="21"/>
      <c r="AE409" s="21"/>
      <c r="AF409" s="21"/>
      <c r="AG409" s="21"/>
      <c r="AH409" s="21">
        <v>5</v>
      </c>
      <c r="AI409" s="21"/>
      <c r="AJ409" s="21"/>
      <c r="AK409" s="21"/>
      <c r="AL409" s="21"/>
      <c r="AM409" s="21"/>
      <c r="AN409" s="21">
        <v>3</v>
      </c>
      <c r="AO409" s="21">
        <v>2</v>
      </c>
      <c r="AP409" s="21">
        <v>6</v>
      </c>
      <c r="AQ409" s="21"/>
      <c r="AR409" s="21"/>
      <c r="AS409" s="21"/>
      <c r="AT409" s="12" t="str">
        <f>HYPERLINK("http://www.openstreetmap.org/?mlat=33.3192&amp;mlon=44.4574&amp;zoom=12#map=12/33.3192/44.4574","Maplink1")</f>
        <v>Maplink1</v>
      </c>
      <c r="AU409" s="12" t="str">
        <f>HYPERLINK("https://www.google.iq/maps/search/+33.3192,44.4574/@33.3192,44.4574,14z?hl=en","Maplink2")</f>
        <v>Maplink2</v>
      </c>
      <c r="AV409" s="12" t="str">
        <f>HYPERLINK("http://www.bing.com/maps/?lvl=14&amp;sty=h&amp;cp=33.3192~44.4574&amp;sp=point.33.3192_44.4574","Maplink3")</f>
        <v>Maplink3</v>
      </c>
    </row>
    <row r="410" spans="1:48" ht="15" customHeight="1" x14ac:dyDescent="0.25">
      <c r="A410" s="19">
        <v>24471</v>
      </c>
      <c r="B410" s="20" t="s">
        <v>11</v>
      </c>
      <c r="C410" s="20" t="s">
        <v>744</v>
      </c>
      <c r="D410" s="20" t="s">
        <v>835</v>
      </c>
      <c r="E410" s="20" t="s">
        <v>836</v>
      </c>
      <c r="F410" s="20">
        <v>33.321218559999998</v>
      </c>
      <c r="G410" s="20">
        <v>44.451354680000001</v>
      </c>
      <c r="H410" s="22">
        <v>9</v>
      </c>
      <c r="I410" s="22">
        <v>54</v>
      </c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>
        <v>9</v>
      </c>
      <c r="W410" s="21"/>
      <c r="X410" s="21"/>
      <c r="Y410" s="21"/>
      <c r="Z410" s="21"/>
      <c r="AA410" s="21"/>
      <c r="AB410" s="21"/>
      <c r="AC410" s="21">
        <v>3</v>
      </c>
      <c r="AD410" s="21"/>
      <c r="AE410" s="21"/>
      <c r="AF410" s="21"/>
      <c r="AG410" s="21"/>
      <c r="AH410" s="21">
        <v>6</v>
      </c>
      <c r="AI410" s="21"/>
      <c r="AJ410" s="21"/>
      <c r="AK410" s="21"/>
      <c r="AL410" s="21"/>
      <c r="AM410" s="21"/>
      <c r="AN410" s="21">
        <v>3</v>
      </c>
      <c r="AO410" s="21"/>
      <c r="AP410" s="21"/>
      <c r="AQ410" s="21">
        <v>6</v>
      </c>
      <c r="AR410" s="21"/>
      <c r="AS410" s="21"/>
      <c r="AT410" s="12" t="str">
        <f>HYPERLINK("http://www.openstreetmap.org/?mlat=33.3212&amp;mlon=44.4514&amp;zoom=12#map=12/33.3212/44.4514","Maplink1")</f>
        <v>Maplink1</v>
      </c>
      <c r="AU410" s="12" t="str">
        <f>HYPERLINK("https://www.google.iq/maps/search/+33.3212,44.4514/@33.3212,44.4514,14z?hl=en","Maplink2")</f>
        <v>Maplink2</v>
      </c>
      <c r="AV410" s="12" t="str">
        <f>HYPERLINK("http://www.bing.com/maps/?lvl=14&amp;sty=h&amp;cp=33.3212~44.4514&amp;sp=point.33.3212_44.4514","Maplink3")</f>
        <v>Maplink3</v>
      </c>
    </row>
    <row r="411" spans="1:48" ht="15" customHeight="1" x14ac:dyDescent="0.25">
      <c r="A411" s="19">
        <v>24129</v>
      </c>
      <c r="B411" s="20" t="s">
        <v>11</v>
      </c>
      <c r="C411" s="20" t="s">
        <v>744</v>
      </c>
      <c r="D411" s="20" t="s">
        <v>837</v>
      </c>
      <c r="E411" s="20" t="s">
        <v>838</v>
      </c>
      <c r="F411" s="20">
        <v>33.327369539999999</v>
      </c>
      <c r="G411" s="20">
        <v>44.447775909999997</v>
      </c>
      <c r="H411" s="22">
        <v>12</v>
      </c>
      <c r="I411" s="22">
        <v>72</v>
      </c>
      <c r="J411" s="21">
        <v>2</v>
      </c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>
        <v>10</v>
      </c>
      <c r="W411" s="21"/>
      <c r="X411" s="21"/>
      <c r="Y411" s="21"/>
      <c r="Z411" s="21"/>
      <c r="AA411" s="21"/>
      <c r="AB411" s="21"/>
      <c r="AC411" s="21">
        <v>4</v>
      </c>
      <c r="AD411" s="21"/>
      <c r="AE411" s="21"/>
      <c r="AF411" s="21"/>
      <c r="AG411" s="21"/>
      <c r="AH411" s="21">
        <v>8</v>
      </c>
      <c r="AI411" s="21"/>
      <c r="AJ411" s="21"/>
      <c r="AK411" s="21"/>
      <c r="AL411" s="21"/>
      <c r="AM411" s="21"/>
      <c r="AN411" s="21"/>
      <c r="AO411" s="21">
        <v>5</v>
      </c>
      <c r="AP411" s="21">
        <v>5</v>
      </c>
      <c r="AQ411" s="21"/>
      <c r="AR411" s="21">
        <v>2</v>
      </c>
      <c r="AS411" s="21"/>
      <c r="AT411" s="12" t="str">
        <f>HYPERLINK("http://www.openstreetmap.org/?mlat=33.3274&amp;mlon=44.4478&amp;zoom=12#map=12/33.3274/44.4478","Maplink1")</f>
        <v>Maplink1</v>
      </c>
      <c r="AU411" s="12" t="str">
        <f>HYPERLINK("https://www.google.iq/maps/search/+33.3274,44.4478/@33.3274,44.4478,14z?hl=en","Maplink2")</f>
        <v>Maplink2</v>
      </c>
      <c r="AV411" s="12" t="str">
        <f>HYPERLINK("http://www.bing.com/maps/?lvl=14&amp;sty=h&amp;cp=33.3274~44.4478&amp;sp=point.33.3274_44.4478","Maplink3")</f>
        <v>Maplink3</v>
      </c>
    </row>
    <row r="412" spans="1:48" ht="15" customHeight="1" x14ac:dyDescent="0.25">
      <c r="A412" s="19">
        <v>23980</v>
      </c>
      <c r="B412" s="20" t="s">
        <v>11</v>
      </c>
      <c r="C412" s="20" t="s">
        <v>744</v>
      </c>
      <c r="D412" s="20" t="s">
        <v>839</v>
      </c>
      <c r="E412" s="20" t="s">
        <v>840</v>
      </c>
      <c r="F412" s="20">
        <v>33.321753270000002</v>
      </c>
      <c r="G412" s="20">
        <v>44.467010440000003</v>
      </c>
      <c r="H412" s="22">
        <v>8</v>
      </c>
      <c r="I412" s="22">
        <v>48</v>
      </c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>
        <v>7</v>
      </c>
      <c r="W412" s="21"/>
      <c r="X412" s="21">
        <v>1</v>
      </c>
      <c r="Y412" s="21"/>
      <c r="Z412" s="21"/>
      <c r="AA412" s="21"/>
      <c r="AB412" s="21"/>
      <c r="AC412" s="21">
        <v>1</v>
      </c>
      <c r="AD412" s="21"/>
      <c r="AE412" s="21"/>
      <c r="AF412" s="21"/>
      <c r="AG412" s="21"/>
      <c r="AH412" s="21">
        <v>7</v>
      </c>
      <c r="AI412" s="21"/>
      <c r="AJ412" s="21"/>
      <c r="AK412" s="21"/>
      <c r="AL412" s="21">
        <v>2</v>
      </c>
      <c r="AM412" s="21"/>
      <c r="AN412" s="21">
        <v>4</v>
      </c>
      <c r="AO412" s="21">
        <v>2</v>
      </c>
      <c r="AP412" s="21"/>
      <c r="AQ412" s="21"/>
      <c r="AR412" s="21"/>
      <c r="AS412" s="21"/>
      <c r="AT412" s="12" t="str">
        <f>HYPERLINK("http://www.openstreetmap.org/?mlat=33.3218&amp;mlon=44.467&amp;zoom=12#map=12/33.3218/44.467","Maplink1")</f>
        <v>Maplink1</v>
      </c>
      <c r="AU412" s="12" t="str">
        <f>HYPERLINK("https://www.google.iq/maps/search/+33.3218,44.467/@33.3218,44.467,14z?hl=en","Maplink2")</f>
        <v>Maplink2</v>
      </c>
      <c r="AV412" s="12" t="str">
        <f>HYPERLINK("http://www.bing.com/maps/?lvl=14&amp;sty=h&amp;cp=33.3218~44.467&amp;sp=point.33.3218_44.467","Maplink3")</f>
        <v>Maplink3</v>
      </c>
    </row>
    <row r="413" spans="1:48" ht="15" customHeight="1" x14ac:dyDescent="0.25">
      <c r="A413" s="19">
        <v>24470</v>
      </c>
      <c r="B413" s="20" t="s">
        <v>11</v>
      </c>
      <c r="C413" s="20" t="s">
        <v>744</v>
      </c>
      <c r="D413" s="20" t="s">
        <v>841</v>
      </c>
      <c r="E413" s="20" t="s">
        <v>842</v>
      </c>
      <c r="F413" s="20">
        <v>33.3280922</v>
      </c>
      <c r="G413" s="20">
        <v>44.466228379999997</v>
      </c>
      <c r="H413" s="22">
        <v>5</v>
      </c>
      <c r="I413" s="22">
        <v>30</v>
      </c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>
        <v>5</v>
      </c>
      <c r="W413" s="21"/>
      <c r="X413" s="21"/>
      <c r="Y413" s="21"/>
      <c r="Z413" s="21"/>
      <c r="AA413" s="21"/>
      <c r="AB413" s="21"/>
      <c r="AC413" s="21">
        <v>2</v>
      </c>
      <c r="AD413" s="21"/>
      <c r="AE413" s="21"/>
      <c r="AF413" s="21"/>
      <c r="AG413" s="21"/>
      <c r="AH413" s="21">
        <v>3</v>
      </c>
      <c r="AI413" s="21"/>
      <c r="AJ413" s="21"/>
      <c r="AK413" s="21"/>
      <c r="AL413" s="21"/>
      <c r="AM413" s="21"/>
      <c r="AN413" s="21">
        <v>5</v>
      </c>
      <c r="AO413" s="21"/>
      <c r="AP413" s="21"/>
      <c r="AQ413" s="21"/>
      <c r="AR413" s="21"/>
      <c r="AS413" s="21"/>
      <c r="AT413" s="12" t="str">
        <f>HYPERLINK("http://www.openstreetmap.org/?mlat=33.3281&amp;mlon=44.4662&amp;zoom=12#map=12/33.3281/44.4662","Maplink1")</f>
        <v>Maplink1</v>
      </c>
      <c r="AU413" s="12" t="str">
        <f>HYPERLINK("https://www.google.iq/maps/search/+33.3281,44.4662/@33.3281,44.4662,14z?hl=en","Maplink2")</f>
        <v>Maplink2</v>
      </c>
      <c r="AV413" s="12" t="str">
        <f>HYPERLINK("http://www.bing.com/maps/?lvl=14&amp;sty=h&amp;cp=33.3281~44.4662&amp;sp=point.33.3281_44.4662","Maplink3")</f>
        <v>Maplink3</v>
      </c>
    </row>
    <row r="414" spans="1:48" ht="15" customHeight="1" x14ac:dyDescent="0.25">
      <c r="A414" s="19">
        <v>23330</v>
      </c>
      <c r="B414" s="20" t="s">
        <v>11</v>
      </c>
      <c r="C414" s="20" t="s">
        <v>744</v>
      </c>
      <c r="D414" s="20" t="s">
        <v>843</v>
      </c>
      <c r="E414" s="20" t="s">
        <v>844</v>
      </c>
      <c r="F414" s="20">
        <v>33.318762159999999</v>
      </c>
      <c r="G414" s="20">
        <v>44.423853440000002</v>
      </c>
      <c r="H414" s="22">
        <v>8</v>
      </c>
      <c r="I414" s="22">
        <v>48</v>
      </c>
      <c r="J414" s="21">
        <v>1</v>
      </c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>
        <v>7</v>
      </c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>
        <v>8</v>
      </c>
      <c r="AI414" s="21"/>
      <c r="AJ414" s="21"/>
      <c r="AK414" s="21"/>
      <c r="AL414" s="21"/>
      <c r="AM414" s="21"/>
      <c r="AN414" s="21"/>
      <c r="AO414" s="21">
        <v>5</v>
      </c>
      <c r="AP414" s="21"/>
      <c r="AQ414" s="21"/>
      <c r="AR414" s="21">
        <v>3</v>
      </c>
      <c r="AS414" s="21"/>
      <c r="AT414" s="12" t="str">
        <f>HYPERLINK("http://www.openstreetmap.org/?mlat=33.3188&amp;mlon=44.4239&amp;zoom=12#map=12/33.3188/44.4239","Maplink1")</f>
        <v>Maplink1</v>
      </c>
      <c r="AU414" s="12" t="str">
        <f>HYPERLINK("https://www.google.iq/maps/search/+33.3188,44.4239/@33.3188,44.4239,14z?hl=en","Maplink2")</f>
        <v>Maplink2</v>
      </c>
      <c r="AV414" s="12" t="str">
        <f>HYPERLINK("http://www.bing.com/maps/?lvl=14&amp;sty=h&amp;cp=33.3188~44.4239&amp;sp=point.33.3188_44.4239","Maplink3")</f>
        <v>Maplink3</v>
      </c>
    </row>
    <row r="415" spans="1:48" ht="15" customHeight="1" x14ac:dyDescent="0.25">
      <c r="A415" s="19">
        <v>24749</v>
      </c>
      <c r="B415" s="20" t="s">
        <v>11</v>
      </c>
      <c r="C415" s="20" t="s">
        <v>744</v>
      </c>
      <c r="D415" s="20" t="s">
        <v>845</v>
      </c>
      <c r="E415" s="20" t="s">
        <v>846</v>
      </c>
      <c r="F415" s="20">
        <v>33.346256830000002</v>
      </c>
      <c r="G415" s="20">
        <v>44.430515679999999</v>
      </c>
      <c r="H415" s="22">
        <v>7</v>
      </c>
      <c r="I415" s="22">
        <v>42</v>
      </c>
      <c r="J415" s="21">
        <v>2</v>
      </c>
      <c r="K415" s="21"/>
      <c r="L415" s="21"/>
      <c r="M415" s="21"/>
      <c r="N415" s="21"/>
      <c r="O415" s="21">
        <v>2</v>
      </c>
      <c r="P415" s="21"/>
      <c r="Q415" s="21"/>
      <c r="R415" s="21"/>
      <c r="S415" s="21"/>
      <c r="T415" s="21"/>
      <c r="U415" s="21"/>
      <c r="V415" s="21">
        <v>3</v>
      </c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>
        <v>7</v>
      </c>
      <c r="AI415" s="21"/>
      <c r="AJ415" s="21"/>
      <c r="AK415" s="21"/>
      <c r="AL415" s="21"/>
      <c r="AM415" s="21"/>
      <c r="AN415" s="21">
        <v>3</v>
      </c>
      <c r="AO415" s="21">
        <v>2</v>
      </c>
      <c r="AP415" s="21"/>
      <c r="AQ415" s="21"/>
      <c r="AR415" s="21">
        <v>2</v>
      </c>
      <c r="AS415" s="21"/>
      <c r="AT415" s="12" t="str">
        <f>HYPERLINK("http://www.openstreetmap.org/?mlat=33.3463&amp;mlon=44.4305&amp;zoom=12#map=12/33.3463/44.4305","Maplink1")</f>
        <v>Maplink1</v>
      </c>
      <c r="AU415" s="12" t="str">
        <f>HYPERLINK("https://www.google.iq/maps/search/+33.3463,44.4305/@33.3463,44.4305,14z?hl=en","Maplink2")</f>
        <v>Maplink2</v>
      </c>
      <c r="AV415" s="12" t="str">
        <f>HYPERLINK("http://www.bing.com/maps/?lvl=14&amp;sty=h&amp;cp=33.3463~44.4305&amp;sp=point.33.3463_44.4305","Maplink3")</f>
        <v>Maplink3</v>
      </c>
    </row>
    <row r="416" spans="1:48" ht="15" customHeight="1" x14ac:dyDescent="0.25">
      <c r="A416" s="19">
        <v>24945</v>
      </c>
      <c r="B416" s="20" t="s">
        <v>11</v>
      </c>
      <c r="C416" s="20" t="s">
        <v>744</v>
      </c>
      <c r="D416" s="20" t="s">
        <v>847</v>
      </c>
      <c r="E416" s="20" t="s">
        <v>848</v>
      </c>
      <c r="F416" s="20">
        <v>33.328379570000003</v>
      </c>
      <c r="G416" s="20">
        <v>44.404683609999999</v>
      </c>
      <c r="H416" s="22">
        <v>3</v>
      </c>
      <c r="I416" s="22">
        <v>18</v>
      </c>
      <c r="J416" s="21"/>
      <c r="K416" s="21"/>
      <c r="L416" s="21"/>
      <c r="M416" s="21"/>
      <c r="N416" s="21"/>
      <c r="O416" s="21">
        <v>2</v>
      </c>
      <c r="P416" s="21"/>
      <c r="Q416" s="21"/>
      <c r="R416" s="21"/>
      <c r="S416" s="21"/>
      <c r="T416" s="21"/>
      <c r="U416" s="21"/>
      <c r="V416" s="21"/>
      <c r="W416" s="21"/>
      <c r="X416" s="21">
        <v>1</v>
      </c>
      <c r="Y416" s="21"/>
      <c r="Z416" s="21"/>
      <c r="AA416" s="21"/>
      <c r="AB416" s="21"/>
      <c r="AC416" s="21"/>
      <c r="AD416" s="21"/>
      <c r="AE416" s="21"/>
      <c r="AF416" s="21"/>
      <c r="AG416" s="21"/>
      <c r="AH416" s="21">
        <v>3</v>
      </c>
      <c r="AI416" s="21"/>
      <c r="AJ416" s="21"/>
      <c r="AK416" s="21"/>
      <c r="AL416" s="21"/>
      <c r="AM416" s="21">
        <v>3</v>
      </c>
      <c r="AN416" s="21"/>
      <c r="AO416" s="21"/>
      <c r="AP416" s="21"/>
      <c r="AQ416" s="21"/>
      <c r="AR416" s="21"/>
      <c r="AS416" s="21"/>
      <c r="AT416" s="12" t="str">
        <f>HYPERLINK("http://www.openstreetmap.org/?mlat=33.3284&amp;mlon=44.4047&amp;zoom=12#map=12/33.3284/44.4047","Maplink1")</f>
        <v>Maplink1</v>
      </c>
      <c r="AU416" s="12" t="str">
        <f>HYPERLINK("https://www.google.iq/maps/search/+33.3284,44.4047/@33.3284,44.4047,14z?hl=en","Maplink2")</f>
        <v>Maplink2</v>
      </c>
      <c r="AV416" s="12" t="str">
        <f>HYPERLINK("http://www.bing.com/maps/?lvl=14&amp;sty=h&amp;cp=33.3284~44.4047&amp;sp=point.33.3284_44.4047","Maplink3")</f>
        <v>Maplink3</v>
      </c>
    </row>
    <row r="417" spans="1:48" ht="15" customHeight="1" x14ac:dyDescent="0.25">
      <c r="A417" s="19">
        <v>24947</v>
      </c>
      <c r="B417" s="20" t="s">
        <v>11</v>
      </c>
      <c r="C417" s="20" t="s">
        <v>744</v>
      </c>
      <c r="D417" s="20" t="s">
        <v>849</v>
      </c>
      <c r="E417" s="20" t="s">
        <v>850</v>
      </c>
      <c r="F417" s="20">
        <v>33.352127000000003</v>
      </c>
      <c r="G417" s="20">
        <v>44.381264000000002</v>
      </c>
      <c r="H417" s="22">
        <v>9</v>
      </c>
      <c r="I417" s="22">
        <v>54</v>
      </c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>
        <v>7</v>
      </c>
      <c r="W417" s="21"/>
      <c r="X417" s="21">
        <v>2</v>
      </c>
      <c r="Y417" s="21"/>
      <c r="Z417" s="21"/>
      <c r="AA417" s="21"/>
      <c r="AB417" s="21"/>
      <c r="AC417" s="21">
        <v>5</v>
      </c>
      <c r="AD417" s="21"/>
      <c r="AE417" s="21"/>
      <c r="AF417" s="21"/>
      <c r="AG417" s="21"/>
      <c r="AH417" s="21">
        <v>4</v>
      </c>
      <c r="AI417" s="21"/>
      <c r="AJ417" s="21"/>
      <c r="AK417" s="21"/>
      <c r="AL417" s="21">
        <v>2</v>
      </c>
      <c r="AM417" s="21">
        <v>4</v>
      </c>
      <c r="AN417" s="21"/>
      <c r="AO417" s="21">
        <v>3</v>
      </c>
      <c r="AP417" s="21"/>
      <c r="AQ417" s="21"/>
      <c r="AR417" s="21"/>
      <c r="AS417" s="21"/>
      <c r="AT417" s="12" t="str">
        <f>HYPERLINK("http://www.openstreetmap.org/?mlat=33.3521&amp;mlon=44.3813&amp;zoom=12#map=12/33.3521/44.3813","Maplink1")</f>
        <v>Maplink1</v>
      </c>
      <c r="AU417" s="12" t="str">
        <f>HYPERLINK("https://www.google.iq/maps/search/+33.3521,44.3813/@33.3521,44.3813,14z?hl=en","Maplink2")</f>
        <v>Maplink2</v>
      </c>
      <c r="AV417" s="12" t="str">
        <f>HYPERLINK("http://www.bing.com/maps/?lvl=14&amp;sty=h&amp;cp=33.3521~44.3813&amp;sp=point.33.3521_44.3813","Maplink3")</f>
        <v>Maplink3</v>
      </c>
    </row>
    <row r="418" spans="1:48" ht="15" customHeight="1" x14ac:dyDescent="0.25">
      <c r="A418" s="19">
        <v>23988</v>
      </c>
      <c r="B418" s="20" t="s">
        <v>11</v>
      </c>
      <c r="C418" s="20" t="s">
        <v>744</v>
      </c>
      <c r="D418" s="20" t="s">
        <v>851</v>
      </c>
      <c r="E418" s="20" t="s">
        <v>852</v>
      </c>
      <c r="F418" s="20">
        <v>33.304223145800002</v>
      </c>
      <c r="G418" s="20">
        <v>44.454651845199997</v>
      </c>
      <c r="H418" s="22">
        <v>10</v>
      </c>
      <c r="I418" s="22">
        <v>60</v>
      </c>
      <c r="J418" s="21">
        <v>1</v>
      </c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>
        <v>7</v>
      </c>
      <c r="W418" s="21"/>
      <c r="X418" s="21">
        <v>2</v>
      </c>
      <c r="Y418" s="21"/>
      <c r="Z418" s="21"/>
      <c r="AA418" s="21"/>
      <c r="AB418" s="21"/>
      <c r="AC418" s="21"/>
      <c r="AD418" s="21"/>
      <c r="AE418" s="21"/>
      <c r="AF418" s="21"/>
      <c r="AG418" s="21"/>
      <c r="AH418" s="21">
        <v>10</v>
      </c>
      <c r="AI418" s="21"/>
      <c r="AJ418" s="21"/>
      <c r="AK418" s="21"/>
      <c r="AL418" s="21"/>
      <c r="AM418" s="21">
        <v>4</v>
      </c>
      <c r="AN418" s="21">
        <v>5</v>
      </c>
      <c r="AO418" s="21"/>
      <c r="AP418" s="21">
        <v>1</v>
      </c>
      <c r="AQ418" s="21"/>
      <c r="AR418" s="21"/>
      <c r="AS418" s="21"/>
      <c r="AT418" s="12" t="str">
        <f>HYPERLINK("http://www.openstreetmap.org/?mlat=33.3042&amp;mlon=44.4547&amp;zoom=12#map=12/33.3042/44.4547","Maplink1")</f>
        <v>Maplink1</v>
      </c>
      <c r="AU418" s="12" t="str">
        <f>HYPERLINK("https://www.google.iq/maps/search/+33.3042,44.4547/@33.3042,44.4547,14z?hl=en","Maplink2")</f>
        <v>Maplink2</v>
      </c>
      <c r="AV418" s="12" t="str">
        <f>HYPERLINK("http://www.bing.com/maps/?lvl=14&amp;sty=h&amp;cp=33.3042~44.4547&amp;sp=point.33.3042_44.4547","Maplink3")</f>
        <v>Maplink3</v>
      </c>
    </row>
    <row r="419" spans="1:48" ht="15" customHeight="1" x14ac:dyDescent="0.25">
      <c r="A419" s="19">
        <v>24713</v>
      </c>
      <c r="B419" s="20" t="s">
        <v>11</v>
      </c>
      <c r="C419" s="20" t="s">
        <v>744</v>
      </c>
      <c r="D419" s="20" t="s">
        <v>853</v>
      </c>
      <c r="E419" s="20" t="s">
        <v>854</v>
      </c>
      <c r="F419" s="20">
        <v>33.321107410000003</v>
      </c>
      <c r="G419" s="20">
        <v>44.419989739999998</v>
      </c>
      <c r="H419" s="22">
        <v>41</v>
      </c>
      <c r="I419" s="22">
        <v>246</v>
      </c>
      <c r="J419" s="21">
        <v>7</v>
      </c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>
        <v>34</v>
      </c>
      <c r="W419" s="21"/>
      <c r="X419" s="21"/>
      <c r="Y419" s="21"/>
      <c r="Z419" s="21"/>
      <c r="AA419" s="21"/>
      <c r="AB419" s="21"/>
      <c r="AC419" s="21">
        <v>18</v>
      </c>
      <c r="AD419" s="21"/>
      <c r="AE419" s="21"/>
      <c r="AF419" s="21"/>
      <c r="AG419" s="21"/>
      <c r="AH419" s="21">
        <v>23</v>
      </c>
      <c r="AI419" s="21"/>
      <c r="AJ419" s="21"/>
      <c r="AK419" s="21"/>
      <c r="AL419" s="21"/>
      <c r="AM419" s="21"/>
      <c r="AN419" s="21"/>
      <c r="AO419" s="21">
        <v>28</v>
      </c>
      <c r="AP419" s="21">
        <v>7</v>
      </c>
      <c r="AQ419" s="21"/>
      <c r="AR419" s="21">
        <v>4</v>
      </c>
      <c r="AS419" s="21">
        <v>2</v>
      </c>
      <c r="AT419" s="12" t="str">
        <f>HYPERLINK("http://www.openstreetmap.org/?mlat=33.3211&amp;mlon=44.42&amp;zoom=12#map=12/33.3211/44.42","Maplink1")</f>
        <v>Maplink1</v>
      </c>
      <c r="AU419" s="12" t="str">
        <f>HYPERLINK("https://www.google.iq/maps/search/+33.3211,44.42/@33.3211,44.42,14z?hl=en","Maplink2")</f>
        <v>Maplink2</v>
      </c>
      <c r="AV419" s="12" t="str">
        <f>HYPERLINK("http://www.bing.com/maps/?lvl=14&amp;sty=h&amp;cp=33.3211~44.42&amp;sp=point.33.3211_44.42","Maplink3")</f>
        <v>Maplink3</v>
      </c>
    </row>
    <row r="420" spans="1:48" ht="15" customHeight="1" x14ac:dyDescent="0.25">
      <c r="A420" s="19">
        <v>24949</v>
      </c>
      <c r="B420" s="20" t="s">
        <v>11</v>
      </c>
      <c r="C420" s="20" t="s">
        <v>744</v>
      </c>
      <c r="D420" s="20" t="s">
        <v>855</v>
      </c>
      <c r="E420" s="20" t="s">
        <v>856</v>
      </c>
      <c r="F420" s="20">
        <v>33.343020320000001</v>
      </c>
      <c r="G420" s="20">
        <v>44.403577120000001</v>
      </c>
      <c r="H420" s="22">
        <v>8</v>
      </c>
      <c r="I420" s="22">
        <v>48</v>
      </c>
      <c r="J420" s="21">
        <v>3</v>
      </c>
      <c r="K420" s="21"/>
      <c r="L420" s="21"/>
      <c r="M420" s="21"/>
      <c r="N420" s="21"/>
      <c r="O420" s="21">
        <v>2</v>
      </c>
      <c r="P420" s="21"/>
      <c r="Q420" s="21"/>
      <c r="R420" s="21"/>
      <c r="S420" s="21"/>
      <c r="T420" s="21"/>
      <c r="U420" s="21"/>
      <c r="V420" s="21">
        <v>1</v>
      </c>
      <c r="W420" s="21"/>
      <c r="X420" s="21">
        <v>2</v>
      </c>
      <c r="Y420" s="21"/>
      <c r="Z420" s="21"/>
      <c r="AA420" s="21"/>
      <c r="AB420" s="21"/>
      <c r="AC420" s="21">
        <v>2</v>
      </c>
      <c r="AD420" s="21"/>
      <c r="AE420" s="21"/>
      <c r="AF420" s="21"/>
      <c r="AG420" s="21"/>
      <c r="AH420" s="21">
        <v>6</v>
      </c>
      <c r="AI420" s="21"/>
      <c r="AJ420" s="21"/>
      <c r="AK420" s="21"/>
      <c r="AL420" s="21"/>
      <c r="AM420" s="21"/>
      <c r="AN420" s="21">
        <v>2</v>
      </c>
      <c r="AO420" s="21">
        <v>4</v>
      </c>
      <c r="AP420" s="21">
        <v>2</v>
      </c>
      <c r="AQ420" s="21"/>
      <c r="AR420" s="21"/>
      <c r="AS420" s="21"/>
      <c r="AT420" s="12" t="str">
        <f>HYPERLINK("http://www.openstreetmap.org/?mlat=33.343&amp;mlon=44.4036&amp;zoom=12#map=12/33.343/44.4036","Maplink1")</f>
        <v>Maplink1</v>
      </c>
      <c r="AU420" s="12" t="str">
        <f>HYPERLINK("https://www.google.iq/maps/search/+33.343,44.4036/@33.343,44.4036,14z?hl=en","Maplink2")</f>
        <v>Maplink2</v>
      </c>
      <c r="AV420" s="12" t="str">
        <f>HYPERLINK("http://www.bing.com/maps/?lvl=14&amp;sty=h&amp;cp=33.343~44.4036&amp;sp=point.33.343_44.4036","Maplink3")</f>
        <v>Maplink3</v>
      </c>
    </row>
    <row r="421" spans="1:48" ht="15" customHeight="1" x14ac:dyDescent="0.25">
      <c r="A421" s="19">
        <v>21631</v>
      </c>
      <c r="B421" s="20" t="s">
        <v>11</v>
      </c>
      <c r="C421" s="20" t="s">
        <v>744</v>
      </c>
      <c r="D421" s="20" t="s">
        <v>857</v>
      </c>
      <c r="E421" s="20" t="s">
        <v>858</v>
      </c>
      <c r="F421" s="20">
        <v>33.345482699999998</v>
      </c>
      <c r="G421" s="20">
        <v>44.400645789999999</v>
      </c>
      <c r="H421" s="22">
        <v>6</v>
      </c>
      <c r="I421" s="22">
        <v>36</v>
      </c>
      <c r="J421" s="21"/>
      <c r="K421" s="21"/>
      <c r="L421" s="21"/>
      <c r="M421" s="21"/>
      <c r="N421" s="21"/>
      <c r="O421" s="21">
        <v>2</v>
      </c>
      <c r="P421" s="21"/>
      <c r="Q421" s="21"/>
      <c r="R421" s="21"/>
      <c r="S421" s="21"/>
      <c r="T421" s="21"/>
      <c r="U421" s="21"/>
      <c r="V421" s="21">
        <v>3</v>
      </c>
      <c r="W421" s="21"/>
      <c r="X421" s="21">
        <v>1</v>
      </c>
      <c r="Y421" s="21"/>
      <c r="Z421" s="21"/>
      <c r="AA421" s="21"/>
      <c r="AB421" s="21"/>
      <c r="AC421" s="21"/>
      <c r="AD421" s="21"/>
      <c r="AE421" s="21"/>
      <c r="AF421" s="21"/>
      <c r="AG421" s="21"/>
      <c r="AH421" s="21">
        <v>6</v>
      </c>
      <c r="AI421" s="21"/>
      <c r="AJ421" s="21"/>
      <c r="AK421" s="21"/>
      <c r="AL421" s="21"/>
      <c r="AM421" s="21">
        <v>2</v>
      </c>
      <c r="AN421" s="21"/>
      <c r="AO421" s="21">
        <v>3</v>
      </c>
      <c r="AP421" s="21"/>
      <c r="AQ421" s="21"/>
      <c r="AR421" s="21">
        <v>1</v>
      </c>
      <c r="AS421" s="21"/>
      <c r="AT421" s="12" t="str">
        <f>HYPERLINK("http://www.openstreetmap.org/?mlat=33.3455&amp;mlon=44.4006&amp;zoom=12#map=12/33.3455/44.4006","Maplink1")</f>
        <v>Maplink1</v>
      </c>
      <c r="AU421" s="12" t="str">
        <f>HYPERLINK("https://www.google.iq/maps/search/+33.3455,44.4006/@33.3455,44.4006,14z?hl=en","Maplink2")</f>
        <v>Maplink2</v>
      </c>
      <c r="AV421" s="12" t="str">
        <f>HYPERLINK("http://www.bing.com/maps/?lvl=14&amp;sty=h&amp;cp=33.3455~44.4006&amp;sp=point.33.3455_44.4006","Maplink3")</f>
        <v>Maplink3</v>
      </c>
    </row>
    <row r="422" spans="1:48" ht="15" customHeight="1" x14ac:dyDescent="0.25">
      <c r="A422" s="19">
        <v>21633</v>
      </c>
      <c r="B422" s="20" t="s">
        <v>11</v>
      </c>
      <c r="C422" s="20" t="s">
        <v>744</v>
      </c>
      <c r="D422" s="20" t="s">
        <v>859</v>
      </c>
      <c r="E422" s="20" t="s">
        <v>860</v>
      </c>
      <c r="F422" s="20">
        <v>33.347999080000001</v>
      </c>
      <c r="G422" s="20">
        <v>44.393014950000001</v>
      </c>
      <c r="H422" s="22">
        <v>13</v>
      </c>
      <c r="I422" s="22">
        <v>78</v>
      </c>
      <c r="J422" s="21">
        <v>5</v>
      </c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>
        <v>5</v>
      </c>
      <c r="W422" s="21"/>
      <c r="X422" s="21">
        <v>3</v>
      </c>
      <c r="Y422" s="21"/>
      <c r="Z422" s="21"/>
      <c r="AA422" s="21"/>
      <c r="AB422" s="21"/>
      <c r="AC422" s="21">
        <v>4</v>
      </c>
      <c r="AD422" s="21"/>
      <c r="AE422" s="21"/>
      <c r="AF422" s="21"/>
      <c r="AG422" s="21"/>
      <c r="AH422" s="21">
        <v>9</v>
      </c>
      <c r="AI422" s="21"/>
      <c r="AJ422" s="21"/>
      <c r="AK422" s="21"/>
      <c r="AL422" s="21"/>
      <c r="AM422" s="21">
        <v>3</v>
      </c>
      <c r="AN422" s="21">
        <v>4</v>
      </c>
      <c r="AO422" s="21"/>
      <c r="AP422" s="21">
        <v>4</v>
      </c>
      <c r="AQ422" s="21"/>
      <c r="AR422" s="21">
        <v>2</v>
      </c>
      <c r="AS422" s="21"/>
      <c r="AT422" s="12" t="str">
        <f>HYPERLINK("http://www.openstreetmap.org/?mlat=33.348&amp;mlon=44.393&amp;zoom=12#map=12/33.348/44.393","Maplink1")</f>
        <v>Maplink1</v>
      </c>
      <c r="AU422" s="12" t="str">
        <f>HYPERLINK("https://www.google.iq/maps/search/+33.348,44.393/@33.348,44.393,14z?hl=en","Maplink2")</f>
        <v>Maplink2</v>
      </c>
      <c r="AV422" s="12" t="str">
        <f>HYPERLINK("http://www.bing.com/maps/?lvl=14&amp;sty=h&amp;cp=33.348~44.393&amp;sp=point.33.348_44.393","Maplink3")</f>
        <v>Maplink3</v>
      </c>
    </row>
    <row r="423" spans="1:48" ht="15" customHeight="1" x14ac:dyDescent="0.25">
      <c r="A423" s="19">
        <v>24950</v>
      </c>
      <c r="B423" s="20" t="s">
        <v>11</v>
      </c>
      <c r="C423" s="20" t="s">
        <v>744</v>
      </c>
      <c r="D423" s="20" t="s">
        <v>861</v>
      </c>
      <c r="E423" s="20" t="s">
        <v>862</v>
      </c>
      <c r="F423" s="20">
        <v>33.348195990000001</v>
      </c>
      <c r="G423" s="20">
        <v>44.3945899</v>
      </c>
      <c r="H423" s="22">
        <v>16</v>
      </c>
      <c r="I423" s="22">
        <v>96</v>
      </c>
      <c r="J423" s="21">
        <v>5</v>
      </c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>
        <v>1</v>
      </c>
      <c r="W423" s="21"/>
      <c r="X423" s="21">
        <v>10</v>
      </c>
      <c r="Y423" s="21"/>
      <c r="Z423" s="21"/>
      <c r="AA423" s="21"/>
      <c r="AB423" s="21"/>
      <c r="AC423" s="21">
        <v>4</v>
      </c>
      <c r="AD423" s="21"/>
      <c r="AE423" s="21"/>
      <c r="AF423" s="21"/>
      <c r="AG423" s="21"/>
      <c r="AH423" s="21">
        <v>12</v>
      </c>
      <c r="AI423" s="21"/>
      <c r="AJ423" s="21"/>
      <c r="AK423" s="21"/>
      <c r="AL423" s="21"/>
      <c r="AM423" s="21">
        <v>3</v>
      </c>
      <c r="AN423" s="21">
        <v>10</v>
      </c>
      <c r="AO423" s="21"/>
      <c r="AP423" s="21">
        <v>2</v>
      </c>
      <c r="AQ423" s="21"/>
      <c r="AR423" s="21">
        <v>1</v>
      </c>
      <c r="AS423" s="21"/>
      <c r="AT423" s="12" t="str">
        <f>HYPERLINK("http://www.openstreetmap.org/?mlat=33.3482&amp;mlon=44.3946&amp;zoom=12#map=12/33.3482/44.3946","Maplink1")</f>
        <v>Maplink1</v>
      </c>
      <c r="AU423" s="12" t="str">
        <f>HYPERLINK("https://www.google.iq/maps/search/+33.3482,44.3946/@33.3482,44.3946,14z?hl=en","Maplink2")</f>
        <v>Maplink2</v>
      </c>
      <c r="AV423" s="12" t="str">
        <f>HYPERLINK("http://www.bing.com/maps/?lvl=14&amp;sty=h&amp;cp=33.3482~44.3946&amp;sp=point.33.3482_44.3946","Maplink3")</f>
        <v>Maplink3</v>
      </c>
    </row>
    <row r="424" spans="1:48" ht="15" customHeight="1" x14ac:dyDescent="0.25">
      <c r="A424" s="19">
        <v>24951</v>
      </c>
      <c r="B424" s="20" t="s">
        <v>11</v>
      </c>
      <c r="C424" s="20" t="s">
        <v>744</v>
      </c>
      <c r="D424" s="20" t="s">
        <v>863</v>
      </c>
      <c r="E424" s="20" t="s">
        <v>864</v>
      </c>
      <c r="F424" s="20">
        <v>33.35242014</v>
      </c>
      <c r="G424" s="20">
        <v>44.398532070000002</v>
      </c>
      <c r="H424" s="22">
        <v>4</v>
      </c>
      <c r="I424" s="22">
        <v>24</v>
      </c>
      <c r="J424" s="21">
        <v>2</v>
      </c>
      <c r="K424" s="21"/>
      <c r="L424" s="21"/>
      <c r="M424" s="21"/>
      <c r="N424" s="21"/>
      <c r="O424" s="21"/>
      <c r="P424" s="21"/>
      <c r="Q424" s="21"/>
      <c r="R424" s="21">
        <v>1</v>
      </c>
      <c r="S424" s="21"/>
      <c r="T424" s="21"/>
      <c r="U424" s="21"/>
      <c r="V424" s="21">
        <v>1</v>
      </c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>
        <v>4</v>
      </c>
      <c r="AI424" s="21"/>
      <c r="AJ424" s="21"/>
      <c r="AK424" s="21"/>
      <c r="AL424" s="21"/>
      <c r="AM424" s="21"/>
      <c r="AN424" s="21">
        <v>2</v>
      </c>
      <c r="AO424" s="21">
        <v>2</v>
      </c>
      <c r="AP424" s="21"/>
      <c r="AQ424" s="21"/>
      <c r="AR424" s="21"/>
      <c r="AS424" s="21"/>
      <c r="AT424" s="12" t="str">
        <f>HYPERLINK("http://www.openstreetmap.org/?mlat=33.3524&amp;mlon=44.3985&amp;zoom=12#map=12/33.3524/44.3985","Maplink1")</f>
        <v>Maplink1</v>
      </c>
      <c r="AU424" s="12" t="str">
        <f>HYPERLINK("https://www.google.iq/maps/search/+33.3524,44.3985/@33.3524,44.3985,14z?hl=en","Maplink2")</f>
        <v>Maplink2</v>
      </c>
      <c r="AV424" s="12" t="str">
        <f>HYPERLINK("http://www.bing.com/maps/?lvl=14&amp;sty=h&amp;cp=33.3524~44.3985&amp;sp=point.33.3524_44.3985","Maplink3")</f>
        <v>Maplink3</v>
      </c>
    </row>
    <row r="425" spans="1:48" ht="15" customHeight="1" x14ac:dyDescent="0.25">
      <c r="A425" s="19">
        <v>23995</v>
      </c>
      <c r="B425" s="20" t="s">
        <v>11</v>
      </c>
      <c r="C425" s="20" t="s">
        <v>744</v>
      </c>
      <c r="D425" s="20" t="s">
        <v>865</v>
      </c>
      <c r="E425" s="20" t="s">
        <v>866</v>
      </c>
      <c r="F425" s="20">
        <v>33.248808140000001</v>
      </c>
      <c r="G425" s="20">
        <v>44.462229899999997</v>
      </c>
      <c r="H425" s="22">
        <v>6</v>
      </c>
      <c r="I425" s="22">
        <v>36</v>
      </c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>
        <v>6</v>
      </c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>
        <v>6</v>
      </c>
      <c r="AI425" s="21"/>
      <c r="AJ425" s="21"/>
      <c r="AK425" s="21"/>
      <c r="AL425" s="21"/>
      <c r="AM425" s="21">
        <v>6</v>
      </c>
      <c r="AN425" s="21"/>
      <c r="AO425" s="21"/>
      <c r="AP425" s="21"/>
      <c r="AQ425" s="21"/>
      <c r="AR425" s="21"/>
      <c r="AS425" s="21"/>
      <c r="AT425" s="12" t="str">
        <f>HYPERLINK("http://www.openstreetmap.org/?mlat=33.2488&amp;mlon=44.4622&amp;zoom=12#map=12/33.2488/44.4622","Maplink1")</f>
        <v>Maplink1</v>
      </c>
      <c r="AU425" s="12" t="str">
        <f>HYPERLINK("https://www.google.iq/maps/search/+33.2488,44.4622/@33.2488,44.4622,14z?hl=en","Maplink2")</f>
        <v>Maplink2</v>
      </c>
      <c r="AV425" s="12" t="str">
        <f>HYPERLINK("http://www.bing.com/maps/?lvl=14&amp;sty=h&amp;cp=33.2488~44.4622&amp;sp=point.33.2488_44.4622","Maplink3")</f>
        <v>Maplink3</v>
      </c>
    </row>
    <row r="426" spans="1:48" ht="15" customHeight="1" x14ac:dyDescent="0.25">
      <c r="A426" s="19">
        <v>23989</v>
      </c>
      <c r="B426" s="20" t="s">
        <v>11</v>
      </c>
      <c r="C426" s="20" t="s">
        <v>744</v>
      </c>
      <c r="D426" s="20" t="s">
        <v>867</v>
      </c>
      <c r="E426" s="20" t="s">
        <v>868</v>
      </c>
      <c r="F426" s="20">
        <v>33.251320130000003</v>
      </c>
      <c r="G426" s="20">
        <v>44.472949589999999</v>
      </c>
      <c r="H426" s="22">
        <v>4</v>
      </c>
      <c r="I426" s="22">
        <v>24</v>
      </c>
      <c r="J426" s="21">
        <v>4</v>
      </c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>
        <v>4</v>
      </c>
      <c r="AI426" s="21"/>
      <c r="AJ426" s="21"/>
      <c r="AK426" s="21"/>
      <c r="AL426" s="21"/>
      <c r="AM426" s="21"/>
      <c r="AN426" s="21">
        <v>4</v>
      </c>
      <c r="AO426" s="21"/>
      <c r="AP426" s="21"/>
      <c r="AQ426" s="21"/>
      <c r="AR426" s="21"/>
      <c r="AS426" s="21"/>
      <c r="AT426" s="12" t="str">
        <f>HYPERLINK("http://www.openstreetmap.org/?mlat=33.2513&amp;mlon=44.4729&amp;zoom=12#map=12/33.2513/44.4729","Maplink1")</f>
        <v>Maplink1</v>
      </c>
      <c r="AU426" s="12" t="str">
        <f>HYPERLINK("https://www.google.iq/maps/search/+33.2513,44.4729/@33.2513,44.4729,14z?hl=en","Maplink2")</f>
        <v>Maplink2</v>
      </c>
      <c r="AV426" s="12" t="str">
        <f>HYPERLINK("http://www.bing.com/maps/?lvl=14&amp;sty=h&amp;cp=33.2513~44.4729&amp;sp=point.33.2513_44.4729","Maplink3")</f>
        <v>Maplink3</v>
      </c>
    </row>
    <row r="427" spans="1:48" ht="15" customHeight="1" x14ac:dyDescent="0.25">
      <c r="A427" s="19">
        <v>22880</v>
      </c>
      <c r="B427" s="20" t="s">
        <v>11</v>
      </c>
      <c r="C427" s="20" t="s">
        <v>744</v>
      </c>
      <c r="D427" s="20" t="s">
        <v>869</v>
      </c>
      <c r="E427" s="20" t="s">
        <v>870</v>
      </c>
      <c r="F427" s="20">
        <v>33.266574060000003</v>
      </c>
      <c r="G427" s="20">
        <v>44.463298430000002</v>
      </c>
      <c r="H427" s="22">
        <v>11</v>
      </c>
      <c r="I427" s="22">
        <v>66</v>
      </c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>
        <v>11</v>
      </c>
      <c r="W427" s="21"/>
      <c r="X427" s="21"/>
      <c r="Y427" s="21"/>
      <c r="Z427" s="21"/>
      <c r="AA427" s="21"/>
      <c r="AB427" s="21"/>
      <c r="AC427" s="21">
        <v>4</v>
      </c>
      <c r="AD427" s="21"/>
      <c r="AE427" s="21"/>
      <c r="AF427" s="21"/>
      <c r="AG427" s="21"/>
      <c r="AH427" s="21">
        <v>7</v>
      </c>
      <c r="AI427" s="21"/>
      <c r="AJ427" s="21"/>
      <c r="AK427" s="21"/>
      <c r="AL427" s="21"/>
      <c r="AM427" s="21"/>
      <c r="AN427" s="21">
        <v>4</v>
      </c>
      <c r="AO427" s="21">
        <v>7</v>
      </c>
      <c r="AP427" s="21"/>
      <c r="AQ427" s="21"/>
      <c r="AR427" s="21"/>
      <c r="AS427" s="21"/>
      <c r="AT427" s="12" t="str">
        <f>HYPERLINK("http://www.openstreetmap.org/?mlat=33.2666&amp;mlon=44.4633&amp;zoom=12#map=12/33.2666/44.4633","Maplink1")</f>
        <v>Maplink1</v>
      </c>
      <c r="AU427" s="12" t="str">
        <f>HYPERLINK("https://www.google.iq/maps/search/+33.2666,44.4633/@33.2666,44.4633,14z?hl=en","Maplink2")</f>
        <v>Maplink2</v>
      </c>
      <c r="AV427" s="12" t="str">
        <f>HYPERLINK("http://www.bing.com/maps/?lvl=14&amp;sty=h&amp;cp=33.2666~44.4633&amp;sp=point.33.2666_44.4633","Maplink3")</f>
        <v>Maplink3</v>
      </c>
    </row>
    <row r="428" spans="1:48" ht="15" customHeight="1" x14ac:dyDescent="0.25">
      <c r="A428" s="19">
        <v>24020</v>
      </c>
      <c r="B428" s="20" t="s">
        <v>11</v>
      </c>
      <c r="C428" s="20" t="s">
        <v>744</v>
      </c>
      <c r="D428" s="20" t="s">
        <v>871</v>
      </c>
      <c r="E428" s="20" t="s">
        <v>872</v>
      </c>
      <c r="F428" s="20">
        <v>33.359789360000001</v>
      </c>
      <c r="G428" s="20">
        <v>44.497294689999997</v>
      </c>
      <c r="H428" s="22">
        <v>5</v>
      </c>
      <c r="I428" s="22">
        <v>30</v>
      </c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>
        <v>5</v>
      </c>
      <c r="W428" s="21"/>
      <c r="X428" s="21"/>
      <c r="Y428" s="21"/>
      <c r="Z428" s="21"/>
      <c r="AA428" s="21"/>
      <c r="AB428" s="21"/>
      <c r="AC428" s="21">
        <v>3</v>
      </c>
      <c r="AD428" s="21"/>
      <c r="AE428" s="21"/>
      <c r="AF428" s="21"/>
      <c r="AG428" s="21"/>
      <c r="AH428" s="21">
        <v>2</v>
      </c>
      <c r="AI428" s="21"/>
      <c r="AJ428" s="21"/>
      <c r="AK428" s="21"/>
      <c r="AL428" s="21"/>
      <c r="AM428" s="21"/>
      <c r="AN428" s="21">
        <v>5</v>
      </c>
      <c r="AO428" s="21"/>
      <c r="AP428" s="21"/>
      <c r="AQ428" s="21"/>
      <c r="AR428" s="21"/>
      <c r="AS428" s="21"/>
      <c r="AT428" s="12" t="str">
        <f>HYPERLINK("http://www.openstreetmap.org/?mlat=33.3598&amp;mlon=44.4973&amp;zoom=12#map=12/33.3598/44.4973","Maplink1")</f>
        <v>Maplink1</v>
      </c>
      <c r="AU428" s="12" t="str">
        <f>HYPERLINK("https://www.google.iq/maps/search/+33.3598,44.4973/@33.3598,44.4973,14z?hl=en","Maplink2")</f>
        <v>Maplink2</v>
      </c>
      <c r="AV428" s="12" t="str">
        <f>HYPERLINK("http://www.bing.com/maps/?lvl=14&amp;sty=h&amp;cp=33.3598~44.4973&amp;sp=point.33.3598_44.4973","Maplink3")</f>
        <v>Maplink3</v>
      </c>
    </row>
    <row r="429" spans="1:48" ht="15" customHeight="1" x14ac:dyDescent="0.25">
      <c r="A429" s="19">
        <v>23601</v>
      </c>
      <c r="B429" s="20" t="s">
        <v>11</v>
      </c>
      <c r="C429" s="20" t="s">
        <v>744</v>
      </c>
      <c r="D429" s="20" t="s">
        <v>873</v>
      </c>
      <c r="E429" s="20" t="s">
        <v>874</v>
      </c>
      <c r="F429" s="20">
        <v>33.365456999999999</v>
      </c>
      <c r="G429" s="20">
        <v>44.512723000000001</v>
      </c>
      <c r="H429" s="22">
        <v>4</v>
      </c>
      <c r="I429" s="22">
        <v>24</v>
      </c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>
        <v>4</v>
      </c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>
        <v>4</v>
      </c>
      <c r="AI429" s="21"/>
      <c r="AJ429" s="21"/>
      <c r="AK429" s="21"/>
      <c r="AL429" s="21"/>
      <c r="AM429" s="21"/>
      <c r="AN429" s="21">
        <v>4</v>
      </c>
      <c r="AO429" s="21"/>
      <c r="AP429" s="21"/>
      <c r="AQ429" s="21"/>
      <c r="AR429" s="21"/>
      <c r="AS429" s="21"/>
      <c r="AT429" s="12" t="str">
        <f>HYPERLINK("http://www.openstreetmap.org/?mlat=33.3655&amp;mlon=44.5127&amp;zoom=12#map=12/33.3655/44.5127","Maplink1")</f>
        <v>Maplink1</v>
      </c>
      <c r="AU429" s="12" t="str">
        <f>HYPERLINK("https://www.google.iq/maps/search/+33.3655,44.5127/@33.3655,44.5127,14z?hl=en","Maplink2")</f>
        <v>Maplink2</v>
      </c>
      <c r="AV429" s="12" t="str">
        <f>HYPERLINK("http://www.bing.com/maps/?lvl=14&amp;sty=h&amp;cp=33.3655~44.5127&amp;sp=point.33.3655_44.5127","Maplink3")</f>
        <v>Maplink3</v>
      </c>
    </row>
    <row r="430" spans="1:48" ht="15" customHeight="1" x14ac:dyDescent="0.25">
      <c r="A430" s="19">
        <v>24021</v>
      </c>
      <c r="B430" s="20" t="s">
        <v>11</v>
      </c>
      <c r="C430" s="20" t="s">
        <v>744</v>
      </c>
      <c r="D430" s="20" t="s">
        <v>875</v>
      </c>
      <c r="E430" s="20" t="s">
        <v>876</v>
      </c>
      <c r="F430" s="20">
        <v>33.379143489999997</v>
      </c>
      <c r="G430" s="20">
        <v>44.492703280000001</v>
      </c>
      <c r="H430" s="22">
        <v>3</v>
      </c>
      <c r="I430" s="22">
        <v>18</v>
      </c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>
        <v>3</v>
      </c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>
        <v>3</v>
      </c>
      <c r="AI430" s="21"/>
      <c r="AJ430" s="21"/>
      <c r="AK430" s="21"/>
      <c r="AL430" s="21"/>
      <c r="AM430" s="21"/>
      <c r="AN430" s="21">
        <v>3</v>
      </c>
      <c r="AO430" s="21"/>
      <c r="AP430" s="21"/>
      <c r="AQ430" s="21"/>
      <c r="AR430" s="21"/>
      <c r="AS430" s="21"/>
      <c r="AT430" s="12" t="str">
        <f>HYPERLINK("http://www.openstreetmap.org/?mlat=33.3791&amp;mlon=44.4927&amp;zoom=12#map=12/33.3791/44.4927","Maplink1")</f>
        <v>Maplink1</v>
      </c>
      <c r="AU430" s="12" t="str">
        <f>HYPERLINK("https://www.google.iq/maps/search/+33.3791,44.4927/@33.3791,44.4927,14z?hl=en","Maplink2")</f>
        <v>Maplink2</v>
      </c>
      <c r="AV430" s="12" t="str">
        <f>HYPERLINK("http://www.bing.com/maps/?lvl=14&amp;sty=h&amp;cp=33.3791~44.4927&amp;sp=point.33.3791_44.4927","Maplink3")</f>
        <v>Maplink3</v>
      </c>
    </row>
    <row r="431" spans="1:48" ht="15" customHeight="1" x14ac:dyDescent="0.25">
      <c r="A431" s="19">
        <v>23036</v>
      </c>
      <c r="B431" s="20" t="s">
        <v>11</v>
      </c>
      <c r="C431" s="20" t="s">
        <v>744</v>
      </c>
      <c r="D431" s="20" t="s">
        <v>877</v>
      </c>
      <c r="E431" s="20" t="s">
        <v>878</v>
      </c>
      <c r="F431" s="20">
        <v>33.371227400000002</v>
      </c>
      <c r="G431" s="20">
        <v>44.516582370000002</v>
      </c>
      <c r="H431" s="22">
        <v>6</v>
      </c>
      <c r="I431" s="22">
        <v>36</v>
      </c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>
        <v>6</v>
      </c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>
        <v>6</v>
      </c>
      <c r="AI431" s="21"/>
      <c r="AJ431" s="21"/>
      <c r="AK431" s="21"/>
      <c r="AL431" s="21"/>
      <c r="AM431" s="21"/>
      <c r="AN431" s="21">
        <v>3</v>
      </c>
      <c r="AO431" s="21"/>
      <c r="AP431" s="21"/>
      <c r="AQ431" s="21"/>
      <c r="AR431" s="21">
        <v>3</v>
      </c>
      <c r="AS431" s="21"/>
      <c r="AT431" s="12" t="str">
        <f>HYPERLINK("http://www.openstreetmap.org/?mlat=33.3712&amp;mlon=44.5166&amp;zoom=12#map=12/33.3712/44.5166","Maplink1")</f>
        <v>Maplink1</v>
      </c>
      <c r="AU431" s="12" t="str">
        <f>HYPERLINK("https://www.google.iq/maps/search/+33.3712,44.5166/@33.3712,44.5166,14z?hl=en","Maplink2")</f>
        <v>Maplink2</v>
      </c>
      <c r="AV431" s="12" t="str">
        <f>HYPERLINK("http://www.bing.com/maps/?lvl=14&amp;sty=h&amp;cp=33.3712~44.5166&amp;sp=point.33.3712_44.5166","Maplink3")</f>
        <v>Maplink3</v>
      </c>
    </row>
    <row r="432" spans="1:48" ht="15" customHeight="1" x14ac:dyDescent="0.25">
      <c r="A432" s="19">
        <v>23996</v>
      </c>
      <c r="B432" s="20" t="s">
        <v>11</v>
      </c>
      <c r="C432" s="20" t="s">
        <v>744</v>
      </c>
      <c r="D432" s="20" t="s">
        <v>879</v>
      </c>
      <c r="E432" s="20" t="s">
        <v>880</v>
      </c>
      <c r="F432" s="20">
        <v>33.31000495</v>
      </c>
      <c r="G432" s="20">
        <v>44.426002859999997</v>
      </c>
      <c r="H432" s="22">
        <v>7</v>
      </c>
      <c r="I432" s="22">
        <v>42</v>
      </c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>
        <v>7</v>
      </c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>
        <v>7</v>
      </c>
      <c r="AI432" s="21"/>
      <c r="AJ432" s="21"/>
      <c r="AK432" s="21"/>
      <c r="AL432" s="21"/>
      <c r="AM432" s="21">
        <v>7</v>
      </c>
      <c r="AN432" s="21"/>
      <c r="AO432" s="21"/>
      <c r="AP432" s="21"/>
      <c r="AQ432" s="21"/>
      <c r="AR432" s="21"/>
      <c r="AS432" s="21"/>
      <c r="AT432" s="12" t="str">
        <f>HYPERLINK("http://www.openstreetmap.org/?mlat=33.31&amp;mlon=44.426&amp;zoom=12#map=12/33.31/44.426","Maplink1")</f>
        <v>Maplink1</v>
      </c>
      <c r="AU432" s="12" t="str">
        <f>HYPERLINK("https://www.google.iq/maps/search/+33.31,44.426/@33.31,44.426,14z?hl=en","Maplink2")</f>
        <v>Maplink2</v>
      </c>
      <c r="AV432" s="12" t="str">
        <f>HYPERLINK("http://www.bing.com/maps/?lvl=14&amp;sty=h&amp;cp=33.31~44.426&amp;sp=point.33.31_44.426","Maplink3")</f>
        <v>Maplink3</v>
      </c>
    </row>
    <row r="433" spans="1:48" ht="15" customHeight="1" x14ac:dyDescent="0.25">
      <c r="A433" s="19">
        <v>23997</v>
      </c>
      <c r="B433" s="20" t="s">
        <v>11</v>
      </c>
      <c r="C433" s="20" t="s">
        <v>744</v>
      </c>
      <c r="D433" s="20" t="s">
        <v>881</v>
      </c>
      <c r="E433" s="20" t="s">
        <v>882</v>
      </c>
      <c r="F433" s="20">
        <v>33.305483410000001</v>
      </c>
      <c r="G433" s="20">
        <v>44.446951939999998</v>
      </c>
      <c r="H433" s="22">
        <v>8</v>
      </c>
      <c r="I433" s="22">
        <v>48</v>
      </c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>
        <v>8</v>
      </c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>
        <v>8</v>
      </c>
      <c r="AI433" s="21"/>
      <c r="AJ433" s="21"/>
      <c r="AK433" s="21"/>
      <c r="AL433" s="21"/>
      <c r="AM433" s="21">
        <v>8</v>
      </c>
      <c r="AN433" s="21"/>
      <c r="AO433" s="21"/>
      <c r="AP433" s="21"/>
      <c r="AQ433" s="21"/>
      <c r="AR433" s="21"/>
      <c r="AS433" s="21"/>
      <c r="AT433" s="12" t="str">
        <f>HYPERLINK("http://www.openstreetmap.org/?mlat=33.3055&amp;mlon=44.447&amp;zoom=12#map=12/33.3055/44.447","Maplink1")</f>
        <v>Maplink1</v>
      </c>
      <c r="AU433" s="12" t="str">
        <f>HYPERLINK("https://www.google.iq/maps/search/+33.3055,44.447/@33.3055,44.447,14z?hl=en","Maplink2")</f>
        <v>Maplink2</v>
      </c>
      <c r="AV433" s="12" t="str">
        <f>HYPERLINK("http://www.bing.com/maps/?lvl=14&amp;sty=h&amp;cp=33.3055~44.447&amp;sp=point.33.3055_44.447","Maplink3")</f>
        <v>Maplink3</v>
      </c>
    </row>
    <row r="434" spans="1:48" ht="15" customHeight="1" x14ac:dyDescent="0.25">
      <c r="A434" s="19">
        <v>23998</v>
      </c>
      <c r="B434" s="20" t="s">
        <v>11</v>
      </c>
      <c r="C434" s="20" t="s">
        <v>744</v>
      </c>
      <c r="D434" s="20" t="s">
        <v>883</v>
      </c>
      <c r="E434" s="20" t="s">
        <v>884</v>
      </c>
      <c r="F434" s="20">
        <v>33.3084228946</v>
      </c>
      <c r="G434" s="20">
        <v>44.453006286700003</v>
      </c>
      <c r="H434" s="22">
        <v>7</v>
      </c>
      <c r="I434" s="22">
        <v>42</v>
      </c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>
        <v>6</v>
      </c>
      <c r="W434" s="21"/>
      <c r="X434" s="21">
        <v>1</v>
      </c>
      <c r="Y434" s="21"/>
      <c r="Z434" s="21"/>
      <c r="AA434" s="21"/>
      <c r="AB434" s="21"/>
      <c r="AC434" s="21"/>
      <c r="AD434" s="21"/>
      <c r="AE434" s="21"/>
      <c r="AF434" s="21"/>
      <c r="AG434" s="21"/>
      <c r="AH434" s="21">
        <v>7</v>
      </c>
      <c r="AI434" s="21"/>
      <c r="AJ434" s="21"/>
      <c r="AK434" s="21"/>
      <c r="AL434" s="21"/>
      <c r="AM434" s="21"/>
      <c r="AN434" s="21">
        <v>5</v>
      </c>
      <c r="AO434" s="21">
        <v>2</v>
      </c>
      <c r="AP434" s="21"/>
      <c r="AQ434" s="21"/>
      <c r="AR434" s="21"/>
      <c r="AS434" s="21"/>
      <c r="AT434" s="12" t="str">
        <f>HYPERLINK("http://www.openstreetmap.org/?mlat=33.3084&amp;mlon=44.453&amp;zoom=12#map=12/33.3084/44.453","Maplink1")</f>
        <v>Maplink1</v>
      </c>
      <c r="AU434" s="12" t="str">
        <f>HYPERLINK("https://www.google.iq/maps/search/+33.3084,44.453/@33.3084,44.453,14z?hl=en","Maplink2")</f>
        <v>Maplink2</v>
      </c>
      <c r="AV434" s="12" t="str">
        <f>HYPERLINK("http://www.bing.com/maps/?lvl=14&amp;sty=h&amp;cp=33.3084~44.453&amp;sp=point.33.3084_44.453","Maplink3")</f>
        <v>Maplink3</v>
      </c>
    </row>
    <row r="435" spans="1:48" ht="15" customHeight="1" x14ac:dyDescent="0.25">
      <c r="A435" s="19">
        <v>24473</v>
      </c>
      <c r="B435" s="20" t="s">
        <v>11</v>
      </c>
      <c r="C435" s="20" t="s">
        <v>744</v>
      </c>
      <c r="D435" s="20" t="s">
        <v>885</v>
      </c>
      <c r="E435" s="20" t="s">
        <v>886</v>
      </c>
      <c r="F435" s="20">
        <v>33.269734700000001</v>
      </c>
      <c r="G435" s="20">
        <v>44.47256333</v>
      </c>
      <c r="H435" s="22">
        <v>9</v>
      </c>
      <c r="I435" s="22">
        <v>54</v>
      </c>
      <c r="J435" s="21">
        <v>3</v>
      </c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>
        <v>4</v>
      </c>
      <c r="W435" s="21"/>
      <c r="X435" s="21">
        <v>2</v>
      </c>
      <c r="Y435" s="21"/>
      <c r="Z435" s="21"/>
      <c r="AA435" s="21"/>
      <c r="AB435" s="21"/>
      <c r="AC435" s="21">
        <v>3</v>
      </c>
      <c r="AD435" s="21"/>
      <c r="AE435" s="21"/>
      <c r="AF435" s="21"/>
      <c r="AG435" s="21"/>
      <c r="AH435" s="21">
        <v>6</v>
      </c>
      <c r="AI435" s="21"/>
      <c r="AJ435" s="21"/>
      <c r="AK435" s="21"/>
      <c r="AL435" s="21"/>
      <c r="AM435" s="21"/>
      <c r="AN435" s="21">
        <v>2</v>
      </c>
      <c r="AO435" s="21">
        <v>4</v>
      </c>
      <c r="AP435" s="21">
        <v>3</v>
      </c>
      <c r="AQ435" s="21"/>
      <c r="AR435" s="21"/>
      <c r="AS435" s="21"/>
      <c r="AT435" s="12" t="str">
        <f>HYPERLINK("http://www.openstreetmap.org/?mlat=33.2697&amp;mlon=44.4726&amp;zoom=12#map=12/33.2697/44.4726","Maplink1")</f>
        <v>Maplink1</v>
      </c>
      <c r="AU435" s="12" t="str">
        <f>HYPERLINK("https://www.google.iq/maps/search/+33.2697,44.4726/@33.2697,44.4726,14z?hl=en","Maplink2")</f>
        <v>Maplink2</v>
      </c>
      <c r="AV435" s="12" t="str">
        <f>HYPERLINK("http://www.bing.com/maps/?lvl=14&amp;sty=h&amp;cp=33.2697~44.4726&amp;sp=point.33.2697_44.4726","Maplink3")</f>
        <v>Maplink3</v>
      </c>
    </row>
    <row r="436" spans="1:48" ht="15" customHeight="1" x14ac:dyDescent="0.25">
      <c r="A436" s="19">
        <v>24008</v>
      </c>
      <c r="B436" s="20" t="s">
        <v>11</v>
      </c>
      <c r="C436" s="20" t="s">
        <v>744</v>
      </c>
      <c r="D436" s="20" t="s">
        <v>887</v>
      </c>
      <c r="E436" s="20" t="s">
        <v>888</v>
      </c>
      <c r="F436" s="20">
        <v>33.264136649999998</v>
      </c>
      <c r="G436" s="20">
        <v>44.47814941</v>
      </c>
      <c r="H436" s="22">
        <v>5</v>
      </c>
      <c r="I436" s="22">
        <v>30</v>
      </c>
      <c r="J436" s="21"/>
      <c r="K436" s="21"/>
      <c r="L436" s="21"/>
      <c r="M436" s="21"/>
      <c r="N436" s="21"/>
      <c r="O436" s="21">
        <v>1</v>
      </c>
      <c r="P436" s="21"/>
      <c r="Q436" s="21"/>
      <c r="R436" s="21"/>
      <c r="S436" s="21"/>
      <c r="T436" s="21"/>
      <c r="U436" s="21"/>
      <c r="V436" s="21">
        <v>4</v>
      </c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>
        <v>5</v>
      </c>
      <c r="AI436" s="21"/>
      <c r="AJ436" s="21"/>
      <c r="AK436" s="21"/>
      <c r="AL436" s="21"/>
      <c r="AM436" s="21">
        <v>4</v>
      </c>
      <c r="AN436" s="21">
        <v>1</v>
      </c>
      <c r="AO436" s="21"/>
      <c r="AP436" s="21"/>
      <c r="AQ436" s="21"/>
      <c r="AR436" s="21"/>
      <c r="AS436" s="21"/>
      <c r="AT436" s="12" t="str">
        <f>HYPERLINK("http://www.openstreetmap.org/?mlat=33.2641&amp;mlon=44.4781&amp;zoom=12#map=12/33.2641/44.4781","Maplink1")</f>
        <v>Maplink1</v>
      </c>
      <c r="AU436" s="12" t="str">
        <f>HYPERLINK("https://www.google.iq/maps/search/+33.2641,44.4781/@33.2641,44.4781,14z?hl=en","Maplink2")</f>
        <v>Maplink2</v>
      </c>
      <c r="AV436" s="12" t="str">
        <f>HYPERLINK("http://www.bing.com/maps/?lvl=14&amp;sty=h&amp;cp=33.2641~44.4781&amp;sp=point.33.2641_44.4781","Maplink3")</f>
        <v>Maplink3</v>
      </c>
    </row>
    <row r="437" spans="1:48" ht="15" customHeight="1" x14ac:dyDescent="0.25">
      <c r="A437" s="19">
        <v>24009</v>
      </c>
      <c r="B437" s="20" t="s">
        <v>11</v>
      </c>
      <c r="C437" s="20" t="s">
        <v>744</v>
      </c>
      <c r="D437" s="20" t="s">
        <v>889</v>
      </c>
      <c r="E437" s="20" t="s">
        <v>890</v>
      </c>
      <c r="F437" s="20">
        <v>33.262244330000001</v>
      </c>
      <c r="G437" s="20">
        <v>44.47477576</v>
      </c>
      <c r="H437" s="22">
        <v>7</v>
      </c>
      <c r="I437" s="22">
        <v>42</v>
      </c>
      <c r="J437" s="21">
        <v>1</v>
      </c>
      <c r="K437" s="21"/>
      <c r="L437" s="21"/>
      <c r="M437" s="21"/>
      <c r="N437" s="21"/>
      <c r="O437" s="21">
        <v>4</v>
      </c>
      <c r="P437" s="21"/>
      <c r="Q437" s="21"/>
      <c r="R437" s="21"/>
      <c r="S437" s="21"/>
      <c r="T437" s="21"/>
      <c r="U437" s="21"/>
      <c r="V437" s="21">
        <v>2</v>
      </c>
      <c r="W437" s="21"/>
      <c r="X437" s="21"/>
      <c r="Y437" s="21"/>
      <c r="Z437" s="21"/>
      <c r="AA437" s="21"/>
      <c r="AB437" s="21"/>
      <c r="AC437" s="21">
        <v>4</v>
      </c>
      <c r="AD437" s="21"/>
      <c r="AE437" s="21"/>
      <c r="AF437" s="21"/>
      <c r="AG437" s="21"/>
      <c r="AH437" s="21">
        <v>3</v>
      </c>
      <c r="AI437" s="21"/>
      <c r="AJ437" s="21"/>
      <c r="AK437" s="21"/>
      <c r="AL437" s="21">
        <v>2</v>
      </c>
      <c r="AM437" s="21">
        <v>5</v>
      </c>
      <c r="AN437" s="21"/>
      <c r="AO437" s="21"/>
      <c r="AP437" s="21"/>
      <c r="AQ437" s="21"/>
      <c r="AR437" s="21"/>
      <c r="AS437" s="21"/>
      <c r="AT437" s="12" t="str">
        <f>HYPERLINK("http://www.openstreetmap.org/?mlat=33.2622&amp;mlon=44.4748&amp;zoom=12#map=12/33.2622/44.4748","Maplink1")</f>
        <v>Maplink1</v>
      </c>
      <c r="AU437" s="12" t="str">
        <f>HYPERLINK("https://www.google.iq/maps/search/+33.2622,44.4748/@33.2622,44.4748,14z?hl=en","Maplink2")</f>
        <v>Maplink2</v>
      </c>
      <c r="AV437" s="12" t="str">
        <f>HYPERLINK("http://www.bing.com/maps/?lvl=14&amp;sty=h&amp;cp=33.2622~44.4748&amp;sp=point.33.2622_44.4748","Maplink3")</f>
        <v>Maplink3</v>
      </c>
    </row>
    <row r="438" spans="1:48" ht="15" customHeight="1" x14ac:dyDescent="0.25">
      <c r="A438" s="19">
        <v>24007</v>
      </c>
      <c r="B438" s="20" t="s">
        <v>11</v>
      </c>
      <c r="C438" s="20" t="s">
        <v>744</v>
      </c>
      <c r="D438" s="20" t="s">
        <v>891</v>
      </c>
      <c r="E438" s="20" t="s">
        <v>892</v>
      </c>
      <c r="F438" s="20">
        <v>33.253088193000004</v>
      </c>
      <c r="G438" s="20">
        <v>44.486159620999999</v>
      </c>
      <c r="H438" s="22">
        <v>4</v>
      </c>
      <c r="I438" s="22">
        <v>24</v>
      </c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>
        <v>3</v>
      </c>
      <c r="W438" s="21"/>
      <c r="X438" s="21">
        <v>1</v>
      </c>
      <c r="Y438" s="21"/>
      <c r="Z438" s="21"/>
      <c r="AA438" s="21"/>
      <c r="AB438" s="21"/>
      <c r="AC438" s="21"/>
      <c r="AD438" s="21"/>
      <c r="AE438" s="21"/>
      <c r="AF438" s="21"/>
      <c r="AG438" s="21"/>
      <c r="AH438" s="21">
        <v>4</v>
      </c>
      <c r="AI438" s="21"/>
      <c r="AJ438" s="21"/>
      <c r="AK438" s="21"/>
      <c r="AL438" s="21"/>
      <c r="AM438" s="21">
        <v>3</v>
      </c>
      <c r="AN438" s="21">
        <v>1</v>
      </c>
      <c r="AO438" s="21"/>
      <c r="AP438" s="21"/>
      <c r="AQ438" s="21"/>
      <c r="AR438" s="21"/>
      <c r="AS438" s="21"/>
      <c r="AT438" s="12" t="str">
        <f>HYPERLINK("http://www.openstreetmap.org/?mlat=33.2531&amp;mlon=44.4862&amp;zoom=12#map=12/33.2531/44.4862","Maplink1")</f>
        <v>Maplink1</v>
      </c>
      <c r="AU438" s="12" t="str">
        <f>HYPERLINK("https://www.google.iq/maps/search/+33.2531,44.4862/@33.2531,44.4862,14z?hl=en","Maplink2")</f>
        <v>Maplink2</v>
      </c>
      <c r="AV438" s="12" t="str">
        <f>HYPERLINK("http://www.bing.com/maps/?lvl=14&amp;sty=h&amp;cp=33.2531~44.4862&amp;sp=point.33.2531_44.4862","Maplink3")</f>
        <v>Maplink3</v>
      </c>
    </row>
    <row r="439" spans="1:48" ht="15" customHeight="1" x14ac:dyDescent="0.25">
      <c r="A439" s="19">
        <v>24011</v>
      </c>
      <c r="B439" s="20" t="s">
        <v>11</v>
      </c>
      <c r="C439" s="20" t="s">
        <v>744</v>
      </c>
      <c r="D439" s="20" t="s">
        <v>893</v>
      </c>
      <c r="E439" s="20" t="s">
        <v>894</v>
      </c>
      <c r="F439" s="20">
        <v>33.248314780000001</v>
      </c>
      <c r="G439" s="20">
        <v>44.490303650000001</v>
      </c>
      <c r="H439" s="22">
        <v>12</v>
      </c>
      <c r="I439" s="22">
        <v>72</v>
      </c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>
        <v>12</v>
      </c>
      <c r="W439" s="21"/>
      <c r="X439" s="21"/>
      <c r="Y439" s="21"/>
      <c r="Z439" s="21"/>
      <c r="AA439" s="21"/>
      <c r="AB439" s="21"/>
      <c r="AC439" s="21">
        <v>4</v>
      </c>
      <c r="AD439" s="21"/>
      <c r="AE439" s="21"/>
      <c r="AF439" s="21"/>
      <c r="AG439" s="21"/>
      <c r="AH439" s="21">
        <v>8</v>
      </c>
      <c r="AI439" s="21"/>
      <c r="AJ439" s="21"/>
      <c r="AK439" s="21"/>
      <c r="AL439" s="21"/>
      <c r="AM439" s="21">
        <v>2</v>
      </c>
      <c r="AN439" s="21">
        <v>8</v>
      </c>
      <c r="AO439" s="21"/>
      <c r="AP439" s="21"/>
      <c r="AQ439" s="21"/>
      <c r="AR439" s="21">
        <v>2</v>
      </c>
      <c r="AS439" s="21"/>
      <c r="AT439" s="12" t="str">
        <f>HYPERLINK("http://www.openstreetmap.org/?mlat=33.2483&amp;mlon=44.4903&amp;zoom=12#map=12/33.2483/44.4903","Maplink1")</f>
        <v>Maplink1</v>
      </c>
      <c r="AU439" s="12" t="str">
        <f>HYPERLINK("https://www.google.iq/maps/search/+33.2483,44.4903/@33.2483,44.4903,14z?hl=en","Maplink2")</f>
        <v>Maplink2</v>
      </c>
      <c r="AV439" s="12" t="str">
        <f>HYPERLINK("http://www.bing.com/maps/?lvl=14&amp;sty=h&amp;cp=33.2483~44.4903&amp;sp=point.33.2483_44.4903","Maplink3")</f>
        <v>Maplink3</v>
      </c>
    </row>
    <row r="440" spans="1:48" ht="15" customHeight="1" x14ac:dyDescent="0.25">
      <c r="A440" s="19">
        <v>24010</v>
      </c>
      <c r="B440" s="20" t="s">
        <v>11</v>
      </c>
      <c r="C440" s="20" t="s">
        <v>744</v>
      </c>
      <c r="D440" s="20" t="s">
        <v>895</v>
      </c>
      <c r="E440" s="20" t="s">
        <v>896</v>
      </c>
      <c r="F440" s="20">
        <v>33.247747189999998</v>
      </c>
      <c r="G440" s="20">
        <v>44.495652939999999</v>
      </c>
      <c r="H440" s="22">
        <v>6</v>
      </c>
      <c r="I440" s="22">
        <v>36</v>
      </c>
      <c r="J440" s="21">
        <v>1</v>
      </c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>
        <v>5</v>
      </c>
      <c r="W440" s="21"/>
      <c r="X440" s="21"/>
      <c r="Y440" s="21"/>
      <c r="Z440" s="21"/>
      <c r="AA440" s="21"/>
      <c r="AB440" s="21"/>
      <c r="AC440" s="21">
        <v>2</v>
      </c>
      <c r="AD440" s="21"/>
      <c r="AE440" s="21"/>
      <c r="AF440" s="21"/>
      <c r="AG440" s="21"/>
      <c r="AH440" s="21">
        <v>4</v>
      </c>
      <c r="AI440" s="21"/>
      <c r="AJ440" s="21"/>
      <c r="AK440" s="21"/>
      <c r="AL440" s="21">
        <v>1</v>
      </c>
      <c r="AM440" s="21">
        <v>4</v>
      </c>
      <c r="AN440" s="21">
        <v>1</v>
      </c>
      <c r="AO440" s="21"/>
      <c r="AP440" s="21"/>
      <c r="AQ440" s="21"/>
      <c r="AR440" s="21"/>
      <c r="AS440" s="21"/>
      <c r="AT440" s="12" t="str">
        <f>HYPERLINK("http://www.openstreetmap.org/?mlat=33.2477&amp;mlon=44.4957&amp;zoom=12#map=12/33.2477/44.4957","Maplink1")</f>
        <v>Maplink1</v>
      </c>
      <c r="AU440" s="12" t="str">
        <f>HYPERLINK("https://www.google.iq/maps/search/+33.2477,44.4957/@33.2477,44.4957,14z?hl=en","Maplink2")</f>
        <v>Maplink2</v>
      </c>
      <c r="AV440" s="12" t="str">
        <f>HYPERLINK("http://www.bing.com/maps/?lvl=14&amp;sty=h&amp;cp=33.2477~44.4957&amp;sp=point.33.2477_44.4957","Maplink3")</f>
        <v>Maplink3</v>
      </c>
    </row>
    <row r="441" spans="1:48" ht="15" customHeight="1" x14ac:dyDescent="0.25">
      <c r="A441" s="19">
        <v>25457</v>
      </c>
      <c r="B441" s="20" t="s">
        <v>11</v>
      </c>
      <c r="C441" s="20" t="s">
        <v>744</v>
      </c>
      <c r="D441" s="20" t="s">
        <v>897</v>
      </c>
      <c r="E441" s="20" t="s">
        <v>898</v>
      </c>
      <c r="F441" s="20">
        <v>33.234659110000003</v>
      </c>
      <c r="G441" s="20">
        <v>44.514881350000003</v>
      </c>
      <c r="H441" s="22">
        <v>8</v>
      </c>
      <c r="I441" s="22">
        <v>48</v>
      </c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>
        <v>7</v>
      </c>
      <c r="W441" s="21"/>
      <c r="X441" s="21">
        <v>1</v>
      </c>
      <c r="Y441" s="21"/>
      <c r="Z441" s="21"/>
      <c r="AA441" s="21"/>
      <c r="AB441" s="21"/>
      <c r="AC441" s="21">
        <v>3</v>
      </c>
      <c r="AD441" s="21"/>
      <c r="AE441" s="21"/>
      <c r="AF441" s="21"/>
      <c r="AG441" s="21"/>
      <c r="AH441" s="21">
        <v>5</v>
      </c>
      <c r="AI441" s="21"/>
      <c r="AJ441" s="21"/>
      <c r="AK441" s="21"/>
      <c r="AL441" s="21"/>
      <c r="AM441" s="21">
        <v>1</v>
      </c>
      <c r="AN441" s="21">
        <v>5</v>
      </c>
      <c r="AO441" s="21">
        <v>2</v>
      </c>
      <c r="AP441" s="21"/>
      <c r="AQ441" s="21"/>
      <c r="AR441" s="21"/>
      <c r="AS441" s="21"/>
      <c r="AT441" s="12" t="str">
        <f>HYPERLINK("http://www.openstreetmap.org/?mlat=33.2347&amp;mlon=44.5149&amp;zoom=12#map=12/33.2347/44.5149","Maplink1")</f>
        <v>Maplink1</v>
      </c>
      <c r="AU441" s="12" t="str">
        <f>HYPERLINK("https://www.google.iq/maps/search/+33.2347,44.5149/@33.2347,44.5149,14z?hl=en","Maplink2")</f>
        <v>Maplink2</v>
      </c>
      <c r="AV441" s="12" t="str">
        <f>HYPERLINK("http://www.bing.com/maps/?lvl=14&amp;sty=h&amp;cp=33.2347~44.5149&amp;sp=point.33.2347_44.5149","Maplink3")</f>
        <v>Maplink3</v>
      </c>
    </row>
    <row r="442" spans="1:48" ht="15" customHeight="1" x14ac:dyDescent="0.25">
      <c r="A442" s="19">
        <v>23977</v>
      </c>
      <c r="B442" s="20" t="s">
        <v>11</v>
      </c>
      <c r="C442" s="20" t="s">
        <v>744</v>
      </c>
      <c r="D442" s="20" t="s">
        <v>899</v>
      </c>
      <c r="E442" s="20" t="s">
        <v>900</v>
      </c>
      <c r="F442" s="20">
        <v>33.2551117</v>
      </c>
      <c r="G442" s="20">
        <v>44.490078259999997</v>
      </c>
      <c r="H442" s="22">
        <v>9</v>
      </c>
      <c r="I442" s="22">
        <v>54</v>
      </c>
      <c r="J442" s="21">
        <v>2</v>
      </c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>
        <v>7</v>
      </c>
      <c r="W442" s="21"/>
      <c r="X442" s="21"/>
      <c r="Y442" s="21"/>
      <c r="Z442" s="21"/>
      <c r="AA442" s="21"/>
      <c r="AB442" s="21"/>
      <c r="AC442" s="21">
        <v>5</v>
      </c>
      <c r="AD442" s="21"/>
      <c r="AE442" s="21"/>
      <c r="AF442" s="21"/>
      <c r="AG442" s="21"/>
      <c r="AH442" s="21">
        <v>4</v>
      </c>
      <c r="AI442" s="21"/>
      <c r="AJ442" s="21"/>
      <c r="AK442" s="21"/>
      <c r="AL442" s="21"/>
      <c r="AM442" s="21">
        <v>7</v>
      </c>
      <c r="AN442" s="21"/>
      <c r="AO442" s="21">
        <v>2</v>
      </c>
      <c r="AP442" s="21"/>
      <c r="AQ442" s="21"/>
      <c r="AR442" s="21"/>
      <c r="AS442" s="21"/>
      <c r="AT442" s="12" t="str">
        <f>HYPERLINK("http://www.openstreetmap.org/?mlat=33.2551&amp;mlon=44.4901&amp;zoom=12#map=12/33.2551/44.4901","Maplink1")</f>
        <v>Maplink1</v>
      </c>
      <c r="AU442" s="12" t="str">
        <f>HYPERLINK("https://www.google.iq/maps/search/+33.2551,44.4901/@33.2551,44.4901,14z?hl=en","Maplink2")</f>
        <v>Maplink2</v>
      </c>
      <c r="AV442" s="12" t="str">
        <f>HYPERLINK("http://www.bing.com/maps/?lvl=14&amp;sty=h&amp;cp=33.2551~44.4901&amp;sp=point.33.2551_44.4901","Maplink3")</f>
        <v>Maplink3</v>
      </c>
    </row>
    <row r="443" spans="1:48" ht="15" customHeight="1" x14ac:dyDescent="0.25">
      <c r="A443" s="19">
        <v>23003</v>
      </c>
      <c r="B443" s="20" t="s">
        <v>11</v>
      </c>
      <c r="C443" s="20" t="s">
        <v>744</v>
      </c>
      <c r="D443" s="20" t="s">
        <v>901</v>
      </c>
      <c r="E443" s="20" t="s">
        <v>902</v>
      </c>
      <c r="F443" s="20">
        <v>33.302004590000003</v>
      </c>
      <c r="G443" s="20">
        <v>44.470497080000001</v>
      </c>
      <c r="H443" s="22">
        <v>6</v>
      </c>
      <c r="I443" s="22">
        <v>36</v>
      </c>
      <c r="J443" s="21"/>
      <c r="K443" s="21"/>
      <c r="L443" s="21"/>
      <c r="M443" s="21"/>
      <c r="N443" s="21"/>
      <c r="O443" s="21"/>
      <c r="P443" s="21"/>
      <c r="Q443" s="21"/>
      <c r="R443" s="21">
        <v>4</v>
      </c>
      <c r="S443" s="21"/>
      <c r="T443" s="21"/>
      <c r="U443" s="21"/>
      <c r="V443" s="21">
        <v>2</v>
      </c>
      <c r="W443" s="21"/>
      <c r="X443" s="21"/>
      <c r="Y443" s="21"/>
      <c r="Z443" s="21"/>
      <c r="AA443" s="21"/>
      <c r="AB443" s="21"/>
      <c r="AC443" s="21">
        <v>2</v>
      </c>
      <c r="AD443" s="21"/>
      <c r="AE443" s="21"/>
      <c r="AF443" s="21"/>
      <c r="AG443" s="21"/>
      <c r="AH443" s="21">
        <v>4</v>
      </c>
      <c r="AI443" s="21"/>
      <c r="AJ443" s="21"/>
      <c r="AK443" s="21"/>
      <c r="AL443" s="21"/>
      <c r="AM443" s="21"/>
      <c r="AN443" s="21">
        <v>2</v>
      </c>
      <c r="AO443" s="21">
        <v>4</v>
      </c>
      <c r="AP443" s="21"/>
      <c r="AQ443" s="21"/>
      <c r="AR443" s="21"/>
      <c r="AS443" s="21"/>
      <c r="AT443" s="12" t="str">
        <f>HYPERLINK("http://www.openstreetmap.org/?mlat=33.302&amp;mlon=44.4705&amp;zoom=12#map=12/33.302/44.4705","Maplink1")</f>
        <v>Maplink1</v>
      </c>
      <c r="AU443" s="12" t="str">
        <f>HYPERLINK("https://www.google.iq/maps/search/+33.302,44.4705/@33.302,44.4705,14z?hl=en","Maplink2")</f>
        <v>Maplink2</v>
      </c>
      <c r="AV443" s="12" t="str">
        <f>HYPERLINK("http://www.bing.com/maps/?lvl=14&amp;sty=h&amp;cp=33.302~44.4705&amp;sp=point.33.302_44.4705","Maplink3")</f>
        <v>Maplink3</v>
      </c>
    </row>
    <row r="444" spans="1:48" ht="15" customHeight="1" x14ac:dyDescent="0.25">
      <c r="A444" s="19">
        <v>23004</v>
      </c>
      <c r="B444" s="20" t="s">
        <v>11</v>
      </c>
      <c r="C444" s="20" t="s">
        <v>744</v>
      </c>
      <c r="D444" s="20" t="s">
        <v>903</v>
      </c>
      <c r="E444" s="20" t="s">
        <v>904</v>
      </c>
      <c r="F444" s="20">
        <v>33.291985959999998</v>
      </c>
      <c r="G444" s="20">
        <v>44.495647669999997</v>
      </c>
      <c r="H444" s="22">
        <v>7</v>
      </c>
      <c r="I444" s="22">
        <v>42</v>
      </c>
      <c r="J444" s="21">
        <v>2</v>
      </c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>
        <v>5</v>
      </c>
      <c r="W444" s="21"/>
      <c r="X444" s="21"/>
      <c r="Y444" s="21"/>
      <c r="Z444" s="21"/>
      <c r="AA444" s="21"/>
      <c r="AB444" s="21"/>
      <c r="AC444" s="21">
        <v>3</v>
      </c>
      <c r="AD444" s="21"/>
      <c r="AE444" s="21"/>
      <c r="AF444" s="21"/>
      <c r="AG444" s="21"/>
      <c r="AH444" s="21">
        <v>4</v>
      </c>
      <c r="AI444" s="21"/>
      <c r="AJ444" s="21"/>
      <c r="AK444" s="21"/>
      <c r="AL444" s="21">
        <v>2</v>
      </c>
      <c r="AM444" s="21"/>
      <c r="AN444" s="21">
        <v>5</v>
      </c>
      <c r="AO444" s="21"/>
      <c r="AP444" s="21"/>
      <c r="AQ444" s="21"/>
      <c r="AR444" s="21"/>
      <c r="AS444" s="21"/>
      <c r="AT444" s="12" t="str">
        <f>HYPERLINK("http://www.openstreetmap.org/?mlat=33.292&amp;mlon=44.4956&amp;zoom=12#map=12/33.292/44.4956","Maplink1")</f>
        <v>Maplink1</v>
      </c>
      <c r="AU444" s="12" t="str">
        <f>HYPERLINK("https://www.google.iq/maps/search/+33.292,44.4956/@33.292,44.4956,14z?hl=en","Maplink2")</f>
        <v>Maplink2</v>
      </c>
      <c r="AV444" s="12" t="str">
        <f>HYPERLINK("http://www.bing.com/maps/?lvl=14&amp;sty=h&amp;cp=33.292~44.4956&amp;sp=point.33.292_44.4956","Maplink3")</f>
        <v>Maplink3</v>
      </c>
    </row>
    <row r="445" spans="1:48" ht="15" customHeight="1" x14ac:dyDescent="0.25">
      <c r="A445" s="19">
        <v>24672</v>
      </c>
      <c r="B445" s="20" t="s">
        <v>11</v>
      </c>
      <c r="C445" s="20" t="s">
        <v>744</v>
      </c>
      <c r="D445" s="20" t="s">
        <v>905</v>
      </c>
      <c r="E445" s="20" t="s">
        <v>906</v>
      </c>
      <c r="F445" s="20">
        <v>33.298106400000002</v>
      </c>
      <c r="G445" s="20">
        <v>44.499202349999997</v>
      </c>
      <c r="H445" s="22">
        <v>8</v>
      </c>
      <c r="I445" s="22">
        <v>48</v>
      </c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>
        <v>8</v>
      </c>
      <c r="W445" s="21"/>
      <c r="X445" s="21"/>
      <c r="Y445" s="21"/>
      <c r="Z445" s="21"/>
      <c r="AA445" s="21"/>
      <c r="AB445" s="21"/>
      <c r="AC445" s="21">
        <v>4</v>
      </c>
      <c r="AD445" s="21"/>
      <c r="AE445" s="21"/>
      <c r="AF445" s="21"/>
      <c r="AG445" s="21"/>
      <c r="AH445" s="21">
        <v>4</v>
      </c>
      <c r="AI445" s="21"/>
      <c r="AJ445" s="21"/>
      <c r="AK445" s="21"/>
      <c r="AL445" s="21"/>
      <c r="AM445" s="21"/>
      <c r="AN445" s="21">
        <v>2</v>
      </c>
      <c r="AO445" s="21">
        <v>3</v>
      </c>
      <c r="AP445" s="21"/>
      <c r="AQ445" s="21"/>
      <c r="AR445" s="21">
        <v>3</v>
      </c>
      <c r="AS445" s="21"/>
      <c r="AT445" s="12" t="str">
        <f>HYPERLINK("http://www.openstreetmap.org/?mlat=33.2981&amp;mlon=44.4992&amp;zoom=12#map=12/33.2981/44.4992","Maplink1")</f>
        <v>Maplink1</v>
      </c>
      <c r="AU445" s="12" t="str">
        <f>HYPERLINK("https://www.google.iq/maps/search/+33.2981,44.4992/@33.2981,44.4992,14z?hl=en","Maplink2")</f>
        <v>Maplink2</v>
      </c>
      <c r="AV445" s="12" t="str">
        <f>HYPERLINK("http://www.bing.com/maps/?lvl=14&amp;sty=h&amp;cp=33.2981~44.4992&amp;sp=point.33.2981_44.4992","Maplink3")</f>
        <v>Maplink3</v>
      </c>
    </row>
    <row r="446" spans="1:48" ht="15" customHeight="1" x14ac:dyDescent="0.25">
      <c r="A446" s="19">
        <v>24025</v>
      </c>
      <c r="B446" s="20" t="s">
        <v>11</v>
      </c>
      <c r="C446" s="20" t="s">
        <v>744</v>
      </c>
      <c r="D446" s="20" t="s">
        <v>907</v>
      </c>
      <c r="E446" s="20" t="s">
        <v>908</v>
      </c>
      <c r="F446" s="20">
        <v>33.30564262</v>
      </c>
      <c r="G446" s="20">
        <v>44.475404830000002</v>
      </c>
      <c r="H446" s="22">
        <v>8</v>
      </c>
      <c r="I446" s="22">
        <v>48</v>
      </c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>
        <v>8</v>
      </c>
      <c r="W446" s="21"/>
      <c r="X446" s="21"/>
      <c r="Y446" s="21"/>
      <c r="Z446" s="21"/>
      <c r="AA446" s="21"/>
      <c r="AB446" s="21"/>
      <c r="AC446" s="21">
        <v>4</v>
      </c>
      <c r="AD446" s="21"/>
      <c r="AE446" s="21"/>
      <c r="AF446" s="21"/>
      <c r="AG446" s="21"/>
      <c r="AH446" s="21">
        <v>4</v>
      </c>
      <c r="AI446" s="21"/>
      <c r="AJ446" s="21"/>
      <c r="AK446" s="21"/>
      <c r="AL446" s="21"/>
      <c r="AM446" s="21">
        <v>2</v>
      </c>
      <c r="AN446" s="21">
        <v>2</v>
      </c>
      <c r="AO446" s="21">
        <v>1</v>
      </c>
      <c r="AP446" s="21"/>
      <c r="AQ446" s="21"/>
      <c r="AR446" s="21">
        <v>3</v>
      </c>
      <c r="AS446" s="21"/>
      <c r="AT446" s="12" t="str">
        <f>HYPERLINK("http://www.openstreetmap.org/?mlat=33.3056&amp;mlon=44.4754&amp;zoom=12#map=12/33.3056/44.4754","Maplink1")</f>
        <v>Maplink1</v>
      </c>
      <c r="AU446" s="12" t="str">
        <f>HYPERLINK("https://www.google.iq/maps/search/+33.3056,44.4754/@33.3056,44.4754,14z?hl=en","Maplink2")</f>
        <v>Maplink2</v>
      </c>
      <c r="AV446" s="12" t="str">
        <f>HYPERLINK("http://www.bing.com/maps/?lvl=14&amp;sty=h&amp;cp=33.3056~44.4754&amp;sp=point.33.3056_44.4754","Maplink3")</f>
        <v>Maplink3</v>
      </c>
    </row>
    <row r="447" spans="1:48" ht="15" customHeight="1" x14ac:dyDescent="0.25">
      <c r="A447" s="19">
        <v>24026</v>
      </c>
      <c r="B447" s="20" t="s">
        <v>11</v>
      </c>
      <c r="C447" s="20" t="s">
        <v>744</v>
      </c>
      <c r="D447" s="20" t="s">
        <v>909</v>
      </c>
      <c r="E447" s="20" t="s">
        <v>910</v>
      </c>
      <c r="F447" s="20">
        <v>33.305273270000001</v>
      </c>
      <c r="G447" s="20">
        <v>44.485645060000003</v>
      </c>
      <c r="H447" s="22">
        <v>9</v>
      </c>
      <c r="I447" s="22">
        <v>54</v>
      </c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>
        <v>9</v>
      </c>
      <c r="W447" s="21"/>
      <c r="X447" s="21"/>
      <c r="Y447" s="21"/>
      <c r="Z447" s="21"/>
      <c r="AA447" s="21"/>
      <c r="AB447" s="21"/>
      <c r="AC447" s="21">
        <v>3</v>
      </c>
      <c r="AD447" s="21"/>
      <c r="AE447" s="21"/>
      <c r="AF447" s="21"/>
      <c r="AG447" s="21"/>
      <c r="AH447" s="21">
        <v>6</v>
      </c>
      <c r="AI447" s="21"/>
      <c r="AJ447" s="21"/>
      <c r="AK447" s="21"/>
      <c r="AL447" s="21">
        <v>2</v>
      </c>
      <c r="AM447" s="21">
        <v>3</v>
      </c>
      <c r="AN447" s="21">
        <v>2</v>
      </c>
      <c r="AO447" s="21"/>
      <c r="AP447" s="21">
        <v>2</v>
      </c>
      <c r="AQ447" s="21"/>
      <c r="AR447" s="21"/>
      <c r="AS447" s="21"/>
      <c r="AT447" s="12" t="str">
        <f>HYPERLINK("http://www.openstreetmap.org/?mlat=33.3053&amp;mlon=44.4856&amp;zoom=12#map=12/33.3053/44.4856","Maplink1")</f>
        <v>Maplink1</v>
      </c>
      <c r="AU447" s="12" t="str">
        <f>HYPERLINK("https://www.google.iq/maps/search/+33.3053,44.4856/@33.3053,44.4856,14z?hl=en","Maplink2")</f>
        <v>Maplink2</v>
      </c>
      <c r="AV447" s="12" t="str">
        <f>HYPERLINK("http://www.bing.com/maps/?lvl=14&amp;sty=h&amp;cp=33.3053~44.4856&amp;sp=point.33.3053_44.4856","Maplink3")</f>
        <v>Maplink3</v>
      </c>
    </row>
    <row r="448" spans="1:48" ht="15" customHeight="1" x14ac:dyDescent="0.25">
      <c r="A448" s="19">
        <v>23504</v>
      </c>
      <c r="B448" s="20" t="s">
        <v>11</v>
      </c>
      <c r="C448" s="20" t="s">
        <v>744</v>
      </c>
      <c r="D448" s="20" t="s">
        <v>911</v>
      </c>
      <c r="E448" s="20" t="s">
        <v>912</v>
      </c>
      <c r="F448" s="20">
        <v>33.304212659999997</v>
      </c>
      <c r="G448" s="20">
        <v>44.491682969999999</v>
      </c>
      <c r="H448" s="22">
        <v>7</v>
      </c>
      <c r="I448" s="22">
        <v>42</v>
      </c>
      <c r="J448" s="21">
        <v>1</v>
      </c>
      <c r="K448" s="21"/>
      <c r="L448" s="21"/>
      <c r="M448" s="21"/>
      <c r="N448" s="21"/>
      <c r="O448" s="21">
        <v>2</v>
      </c>
      <c r="P448" s="21"/>
      <c r="Q448" s="21"/>
      <c r="R448" s="21"/>
      <c r="S448" s="21"/>
      <c r="T448" s="21"/>
      <c r="U448" s="21"/>
      <c r="V448" s="21">
        <v>2</v>
      </c>
      <c r="W448" s="21"/>
      <c r="X448" s="21">
        <v>2</v>
      </c>
      <c r="Y448" s="21"/>
      <c r="Z448" s="21"/>
      <c r="AA448" s="21"/>
      <c r="AB448" s="21"/>
      <c r="AC448" s="21">
        <v>4</v>
      </c>
      <c r="AD448" s="21"/>
      <c r="AE448" s="21"/>
      <c r="AF448" s="21"/>
      <c r="AG448" s="21"/>
      <c r="AH448" s="21">
        <v>3</v>
      </c>
      <c r="AI448" s="21"/>
      <c r="AJ448" s="21"/>
      <c r="AK448" s="21"/>
      <c r="AL448" s="21"/>
      <c r="AM448" s="21"/>
      <c r="AN448" s="21">
        <v>2</v>
      </c>
      <c r="AO448" s="21">
        <v>2</v>
      </c>
      <c r="AP448" s="21"/>
      <c r="AQ448" s="21"/>
      <c r="AR448" s="21">
        <v>3</v>
      </c>
      <c r="AS448" s="21"/>
      <c r="AT448" s="12" t="str">
        <f>HYPERLINK("http://www.openstreetmap.org/?mlat=33.3042&amp;mlon=44.4917&amp;zoom=12#map=12/33.3042/44.4917","Maplink1")</f>
        <v>Maplink1</v>
      </c>
      <c r="AU448" s="12" t="str">
        <f>HYPERLINK("https://www.google.iq/maps/search/+33.3042,44.4917/@33.3042,44.4917,14z?hl=en","Maplink2")</f>
        <v>Maplink2</v>
      </c>
      <c r="AV448" s="12" t="str">
        <f>HYPERLINK("http://www.bing.com/maps/?lvl=14&amp;sty=h&amp;cp=33.3042~44.4917&amp;sp=point.33.3042_44.4917","Maplink3")</f>
        <v>Maplink3</v>
      </c>
    </row>
    <row r="449" spans="1:48" ht="15" customHeight="1" x14ac:dyDescent="0.25">
      <c r="A449" s="19">
        <v>24698</v>
      </c>
      <c r="B449" s="20" t="s">
        <v>11</v>
      </c>
      <c r="C449" s="20" t="s">
        <v>744</v>
      </c>
      <c r="D449" s="20" t="s">
        <v>913</v>
      </c>
      <c r="E449" s="20" t="s">
        <v>914</v>
      </c>
      <c r="F449" s="20">
        <v>33.30731823</v>
      </c>
      <c r="G449" s="20">
        <v>44.495803559999999</v>
      </c>
      <c r="H449" s="22">
        <v>7</v>
      </c>
      <c r="I449" s="22">
        <v>42</v>
      </c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>
        <v>6</v>
      </c>
      <c r="W449" s="21"/>
      <c r="X449" s="21">
        <v>1</v>
      </c>
      <c r="Y449" s="21"/>
      <c r="Z449" s="21"/>
      <c r="AA449" s="21"/>
      <c r="AB449" s="21"/>
      <c r="AC449" s="21">
        <v>2</v>
      </c>
      <c r="AD449" s="21"/>
      <c r="AE449" s="21"/>
      <c r="AF449" s="21"/>
      <c r="AG449" s="21"/>
      <c r="AH449" s="21">
        <v>5</v>
      </c>
      <c r="AI449" s="21"/>
      <c r="AJ449" s="21"/>
      <c r="AK449" s="21"/>
      <c r="AL449" s="21"/>
      <c r="AM449" s="21">
        <v>2</v>
      </c>
      <c r="AN449" s="21"/>
      <c r="AO449" s="21">
        <v>5</v>
      </c>
      <c r="AP449" s="21"/>
      <c r="AQ449" s="21"/>
      <c r="AR449" s="21"/>
      <c r="AS449" s="21"/>
      <c r="AT449" s="12" t="str">
        <f>HYPERLINK("http://www.openstreetmap.org/?mlat=33.3073&amp;mlon=44.4958&amp;zoom=12#map=12/33.3073/44.4958","Maplink1")</f>
        <v>Maplink1</v>
      </c>
      <c r="AU449" s="12" t="str">
        <f>HYPERLINK("https://www.google.iq/maps/search/+33.3073,44.4958/@33.3073,44.4958,14z?hl=en","Maplink2")</f>
        <v>Maplink2</v>
      </c>
      <c r="AV449" s="12" t="str">
        <f>HYPERLINK("http://www.bing.com/maps/?lvl=14&amp;sty=h&amp;cp=33.3073~44.4958&amp;sp=point.33.3073_44.4958","Maplink3")</f>
        <v>Maplink3</v>
      </c>
    </row>
    <row r="450" spans="1:48" ht="15" customHeight="1" x14ac:dyDescent="0.25">
      <c r="A450" s="19">
        <v>24027</v>
      </c>
      <c r="B450" s="20" t="s">
        <v>11</v>
      </c>
      <c r="C450" s="20" t="s">
        <v>744</v>
      </c>
      <c r="D450" s="20" t="s">
        <v>915</v>
      </c>
      <c r="E450" s="20" t="s">
        <v>916</v>
      </c>
      <c r="F450" s="20">
        <v>33.309233949999999</v>
      </c>
      <c r="G450" s="20">
        <v>44.487939509999997</v>
      </c>
      <c r="H450" s="22">
        <v>7</v>
      </c>
      <c r="I450" s="22">
        <v>42</v>
      </c>
      <c r="J450" s="21"/>
      <c r="K450" s="21"/>
      <c r="L450" s="21"/>
      <c r="M450" s="21"/>
      <c r="N450" s="21"/>
      <c r="O450" s="21">
        <v>3</v>
      </c>
      <c r="P450" s="21"/>
      <c r="Q450" s="21"/>
      <c r="R450" s="21"/>
      <c r="S450" s="21"/>
      <c r="T450" s="21"/>
      <c r="U450" s="21"/>
      <c r="V450" s="21">
        <v>4</v>
      </c>
      <c r="W450" s="21"/>
      <c r="X450" s="21"/>
      <c r="Y450" s="21"/>
      <c r="Z450" s="21"/>
      <c r="AA450" s="21"/>
      <c r="AB450" s="21"/>
      <c r="AC450" s="21">
        <v>5</v>
      </c>
      <c r="AD450" s="21"/>
      <c r="AE450" s="21"/>
      <c r="AF450" s="21"/>
      <c r="AG450" s="21"/>
      <c r="AH450" s="21">
        <v>2</v>
      </c>
      <c r="AI450" s="21"/>
      <c r="AJ450" s="21"/>
      <c r="AK450" s="21"/>
      <c r="AL450" s="21"/>
      <c r="AM450" s="21">
        <v>7</v>
      </c>
      <c r="AN450" s="21"/>
      <c r="AO450" s="21"/>
      <c r="AP450" s="21"/>
      <c r="AQ450" s="21"/>
      <c r="AR450" s="21"/>
      <c r="AS450" s="21"/>
      <c r="AT450" s="12" t="str">
        <f>HYPERLINK("http://www.openstreetmap.org/?mlat=33.3092&amp;mlon=44.4879&amp;zoom=12#map=12/33.3092/44.4879","Maplink1")</f>
        <v>Maplink1</v>
      </c>
      <c r="AU450" s="12" t="str">
        <f>HYPERLINK("https://www.google.iq/maps/search/+33.3092,44.4879/@33.3092,44.4879,14z?hl=en","Maplink2")</f>
        <v>Maplink2</v>
      </c>
      <c r="AV450" s="12" t="str">
        <f>HYPERLINK("http://www.bing.com/maps/?lvl=14&amp;sty=h&amp;cp=33.3092~44.4879&amp;sp=point.33.3092_44.4879","Maplink3")</f>
        <v>Maplink3</v>
      </c>
    </row>
    <row r="451" spans="1:48" ht="15" customHeight="1" x14ac:dyDescent="0.25">
      <c r="A451" s="19">
        <v>25156</v>
      </c>
      <c r="B451" s="20" t="s">
        <v>11</v>
      </c>
      <c r="C451" s="20" t="s">
        <v>744</v>
      </c>
      <c r="D451" s="20" t="s">
        <v>917</v>
      </c>
      <c r="E451" s="20" t="s">
        <v>918</v>
      </c>
      <c r="F451" s="20">
        <v>33.312019149999998</v>
      </c>
      <c r="G451" s="20">
        <v>44.48476814</v>
      </c>
      <c r="H451" s="22">
        <v>8</v>
      </c>
      <c r="I451" s="22">
        <v>48</v>
      </c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>
        <v>6</v>
      </c>
      <c r="W451" s="21"/>
      <c r="X451" s="21">
        <v>2</v>
      </c>
      <c r="Y451" s="21"/>
      <c r="Z451" s="21"/>
      <c r="AA451" s="21"/>
      <c r="AB451" s="21"/>
      <c r="AC451" s="21"/>
      <c r="AD451" s="21"/>
      <c r="AE451" s="21"/>
      <c r="AF451" s="21"/>
      <c r="AG451" s="21"/>
      <c r="AH451" s="21">
        <v>8</v>
      </c>
      <c r="AI451" s="21"/>
      <c r="AJ451" s="21"/>
      <c r="AK451" s="21"/>
      <c r="AL451" s="21"/>
      <c r="AM451" s="21"/>
      <c r="AN451" s="21">
        <v>6</v>
      </c>
      <c r="AO451" s="21">
        <v>2</v>
      </c>
      <c r="AP451" s="21"/>
      <c r="AQ451" s="21"/>
      <c r="AR451" s="21"/>
      <c r="AS451" s="21"/>
      <c r="AT451" s="12" t="str">
        <f>HYPERLINK("http://www.openstreetmap.org/?mlat=33.312&amp;mlon=44.4848&amp;zoom=12#map=12/33.312/44.4848","Maplink1")</f>
        <v>Maplink1</v>
      </c>
      <c r="AU451" s="12" t="str">
        <f>HYPERLINK("https://www.google.iq/maps/search/+33.312,44.4848/@33.312,44.4848,14z?hl=en","Maplink2")</f>
        <v>Maplink2</v>
      </c>
      <c r="AV451" s="12" t="str">
        <f>HYPERLINK("http://www.bing.com/maps/?lvl=14&amp;sty=h&amp;cp=33.312~44.4848&amp;sp=point.33.312_44.4848","Maplink3")</f>
        <v>Maplink3</v>
      </c>
    </row>
    <row r="452" spans="1:48" ht="15" customHeight="1" x14ac:dyDescent="0.25">
      <c r="A452" s="19">
        <v>24015</v>
      </c>
      <c r="B452" s="20" t="s">
        <v>11</v>
      </c>
      <c r="C452" s="20" t="s">
        <v>744</v>
      </c>
      <c r="D452" s="20" t="s">
        <v>919</v>
      </c>
      <c r="E452" s="20" t="s">
        <v>920</v>
      </c>
      <c r="F452" s="20">
        <v>33.270697140000003</v>
      </c>
      <c r="G452" s="20">
        <v>44.512770029999999</v>
      </c>
      <c r="H452" s="22">
        <v>6</v>
      </c>
      <c r="I452" s="22">
        <v>36</v>
      </c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>
        <v>6</v>
      </c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>
        <v>6</v>
      </c>
      <c r="AI452" s="21"/>
      <c r="AJ452" s="21"/>
      <c r="AK452" s="21"/>
      <c r="AL452" s="21">
        <v>3</v>
      </c>
      <c r="AM452" s="21"/>
      <c r="AN452" s="21"/>
      <c r="AO452" s="21">
        <v>3</v>
      </c>
      <c r="AP452" s="21"/>
      <c r="AQ452" s="21"/>
      <c r="AR452" s="21"/>
      <c r="AS452" s="21"/>
      <c r="AT452" s="12" t="str">
        <f>HYPERLINK("http://www.openstreetmap.org/?mlat=33.2707&amp;mlon=44.5128&amp;zoom=12#map=12/33.2707/44.5128","Maplink1")</f>
        <v>Maplink1</v>
      </c>
      <c r="AU452" s="12" t="str">
        <f>HYPERLINK("https://www.google.iq/maps/search/+33.2707,44.5128/@33.2707,44.5128,14z?hl=en","Maplink2")</f>
        <v>Maplink2</v>
      </c>
      <c r="AV452" s="12" t="str">
        <f>HYPERLINK("http://www.bing.com/maps/?lvl=14&amp;sty=h&amp;cp=33.2707~44.5128&amp;sp=point.33.2707_44.5128","Maplink3")</f>
        <v>Maplink3</v>
      </c>
    </row>
    <row r="453" spans="1:48" ht="15" customHeight="1" x14ac:dyDescent="0.25">
      <c r="A453" s="19">
        <v>22616</v>
      </c>
      <c r="B453" s="20" t="s">
        <v>11</v>
      </c>
      <c r="C453" s="20" t="s">
        <v>744</v>
      </c>
      <c r="D453" s="20" t="s">
        <v>921</v>
      </c>
      <c r="E453" s="20" t="s">
        <v>922</v>
      </c>
      <c r="F453" s="20">
        <v>33.268102390000003</v>
      </c>
      <c r="G453" s="20">
        <v>44.491517989999998</v>
      </c>
      <c r="H453" s="22">
        <v>8</v>
      </c>
      <c r="I453" s="22">
        <v>48</v>
      </c>
      <c r="J453" s="21"/>
      <c r="K453" s="21"/>
      <c r="L453" s="21"/>
      <c r="M453" s="21"/>
      <c r="N453" s="21"/>
      <c r="O453" s="21">
        <v>4</v>
      </c>
      <c r="P453" s="21"/>
      <c r="Q453" s="21"/>
      <c r="R453" s="21"/>
      <c r="S453" s="21"/>
      <c r="T453" s="21"/>
      <c r="U453" s="21"/>
      <c r="V453" s="21">
        <v>4</v>
      </c>
      <c r="W453" s="21"/>
      <c r="X453" s="21"/>
      <c r="Y453" s="21"/>
      <c r="Z453" s="21"/>
      <c r="AA453" s="21"/>
      <c r="AB453" s="21"/>
      <c r="AC453" s="21">
        <v>5</v>
      </c>
      <c r="AD453" s="21"/>
      <c r="AE453" s="21"/>
      <c r="AF453" s="21"/>
      <c r="AG453" s="21"/>
      <c r="AH453" s="21">
        <v>3</v>
      </c>
      <c r="AI453" s="21"/>
      <c r="AJ453" s="21"/>
      <c r="AK453" s="21"/>
      <c r="AL453" s="21"/>
      <c r="AM453" s="21"/>
      <c r="AN453" s="21"/>
      <c r="AO453" s="21">
        <v>5</v>
      </c>
      <c r="AP453" s="21"/>
      <c r="AQ453" s="21"/>
      <c r="AR453" s="21">
        <v>3</v>
      </c>
      <c r="AS453" s="21"/>
      <c r="AT453" s="12" t="str">
        <f>HYPERLINK("http://www.openstreetmap.org/?mlat=33.2681&amp;mlon=44.4915&amp;zoom=12#map=12/33.2681/44.4915","Maplink1")</f>
        <v>Maplink1</v>
      </c>
      <c r="AU453" s="12" t="str">
        <f>HYPERLINK("https://www.google.iq/maps/search/+33.2681,44.4915/@33.2681,44.4915,14z?hl=en","Maplink2")</f>
        <v>Maplink2</v>
      </c>
      <c r="AV453" s="12" t="str">
        <f>HYPERLINK("http://www.bing.com/maps/?lvl=14&amp;sty=h&amp;cp=33.2681~44.4915&amp;sp=point.33.2681_44.4915","Maplink3")</f>
        <v>Maplink3</v>
      </c>
    </row>
    <row r="454" spans="1:48" ht="15" customHeight="1" x14ac:dyDescent="0.25">
      <c r="A454" s="19">
        <v>22140</v>
      </c>
      <c r="B454" s="20" t="s">
        <v>11</v>
      </c>
      <c r="C454" s="20" t="s">
        <v>744</v>
      </c>
      <c r="D454" s="20" t="s">
        <v>923</v>
      </c>
      <c r="E454" s="20" t="s">
        <v>924</v>
      </c>
      <c r="F454" s="20">
        <v>33.261190650000003</v>
      </c>
      <c r="G454" s="20">
        <v>44.504190540000003</v>
      </c>
      <c r="H454" s="22">
        <v>12</v>
      </c>
      <c r="I454" s="22">
        <v>72</v>
      </c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>
        <v>12</v>
      </c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>
        <v>7</v>
      </c>
      <c r="AH454" s="21">
        <v>5</v>
      </c>
      <c r="AI454" s="21"/>
      <c r="AJ454" s="21"/>
      <c r="AK454" s="21"/>
      <c r="AL454" s="21"/>
      <c r="AM454" s="21"/>
      <c r="AN454" s="21">
        <v>12</v>
      </c>
      <c r="AO454" s="21"/>
      <c r="AP454" s="21"/>
      <c r="AQ454" s="21"/>
      <c r="AR454" s="21"/>
      <c r="AS454" s="21"/>
      <c r="AT454" s="12" t="str">
        <f>HYPERLINK("http://www.openstreetmap.org/?mlat=33.2612&amp;mlon=44.5042&amp;zoom=12#map=12/33.2612/44.5042","Maplink1")</f>
        <v>Maplink1</v>
      </c>
      <c r="AU454" s="12" t="str">
        <f>HYPERLINK("https://www.google.iq/maps/search/+33.2612,44.5042/@33.2612,44.5042,14z?hl=en","Maplink2")</f>
        <v>Maplink2</v>
      </c>
      <c r="AV454" s="12" t="str">
        <f>HYPERLINK("http://www.bing.com/maps/?lvl=14&amp;sty=h&amp;cp=33.2612~44.5042&amp;sp=point.33.2612_44.5042","Maplink3")</f>
        <v>Maplink3</v>
      </c>
    </row>
    <row r="455" spans="1:48" ht="15" customHeight="1" x14ac:dyDescent="0.25">
      <c r="A455" s="19">
        <v>24623</v>
      </c>
      <c r="B455" s="20" t="s">
        <v>11</v>
      </c>
      <c r="C455" s="20" t="s">
        <v>744</v>
      </c>
      <c r="D455" s="20" t="s">
        <v>925</v>
      </c>
      <c r="E455" s="20" t="s">
        <v>926</v>
      </c>
      <c r="F455" s="20">
        <v>33.263951550000002</v>
      </c>
      <c r="G455" s="20">
        <v>44.490863109999999</v>
      </c>
      <c r="H455" s="22">
        <v>6</v>
      </c>
      <c r="I455" s="22">
        <v>36</v>
      </c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>
        <v>6</v>
      </c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>
        <v>6</v>
      </c>
      <c r="AI455" s="21"/>
      <c r="AJ455" s="21"/>
      <c r="AK455" s="21"/>
      <c r="AL455" s="21"/>
      <c r="AM455" s="21"/>
      <c r="AN455" s="21">
        <v>3</v>
      </c>
      <c r="AO455" s="21"/>
      <c r="AP455" s="21"/>
      <c r="AQ455" s="21"/>
      <c r="AR455" s="21">
        <v>3</v>
      </c>
      <c r="AS455" s="21"/>
      <c r="AT455" s="12" t="str">
        <f>HYPERLINK("http://www.openstreetmap.org/?mlat=33.264&amp;mlon=44.4909&amp;zoom=12#map=12/33.264/44.4909","Maplink1")</f>
        <v>Maplink1</v>
      </c>
      <c r="AU455" s="12" t="str">
        <f>HYPERLINK("https://www.google.iq/maps/search/+33.264,44.4909/@33.264,44.4909,14z?hl=en","Maplink2")</f>
        <v>Maplink2</v>
      </c>
      <c r="AV455" s="12" t="str">
        <f>HYPERLINK("http://www.bing.com/maps/?lvl=14&amp;sty=h&amp;cp=33.264~44.4909&amp;sp=point.33.264_44.4909","Maplink3")</f>
        <v>Maplink3</v>
      </c>
    </row>
    <row r="456" spans="1:48" ht="15" customHeight="1" x14ac:dyDescent="0.25">
      <c r="A456" s="19">
        <v>22248</v>
      </c>
      <c r="B456" s="20" t="s">
        <v>11</v>
      </c>
      <c r="C456" s="20" t="s">
        <v>744</v>
      </c>
      <c r="D456" s="20" t="s">
        <v>927</v>
      </c>
      <c r="E456" s="20" t="s">
        <v>928</v>
      </c>
      <c r="F456" s="20">
        <v>33.261697580000003</v>
      </c>
      <c r="G456" s="20">
        <v>44.49624575</v>
      </c>
      <c r="H456" s="22">
        <v>8</v>
      </c>
      <c r="I456" s="22">
        <v>48</v>
      </c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>
        <v>8</v>
      </c>
      <c r="W456" s="21"/>
      <c r="X456" s="21"/>
      <c r="Y456" s="21"/>
      <c r="Z456" s="21"/>
      <c r="AA456" s="21"/>
      <c r="AB456" s="21"/>
      <c r="AC456" s="21">
        <v>5</v>
      </c>
      <c r="AD456" s="21"/>
      <c r="AE456" s="21"/>
      <c r="AF456" s="21"/>
      <c r="AG456" s="21"/>
      <c r="AH456" s="21">
        <v>3</v>
      </c>
      <c r="AI456" s="21"/>
      <c r="AJ456" s="21"/>
      <c r="AK456" s="21"/>
      <c r="AL456" s="21">
        <v>2</v>
      </c>
      <c r="AM456" s="21"/>
      <c r="AN456" s="21">
        <v>3</v>
      </c>
      <c r="AO456" s="21"/>
      <c r="AP456" s="21">
        <v>3</v>
      </c>
      <c r="AQ456" s="21"/>
      <c r="AR456" s="21"/>
      <c r="AS456" s="21"/>
      <c r="AT456" s="12" t="str">
        <f>HYPERLINK("http://www.openstreetmap.org/?mlat=33.2617&amp;mlon=44.4962&amp;zoom=12#map=12/33.2617/44.4962","Maplink1")</f>
        <v>Maplink1</v>
      </c>
      <c r="AU456" s="12" t="str">
        <f>HYPERLINK("https://www.google.iq/maps/search/+33.2617,44.4962/@33.2617,44.4962,14z?hl=en","Maplink2")</f>
        <v>Maplink2</v>
      </c>
      <c r="AV456" s="12" t="str">
        <f>HYPERLINK("http://www.bing.com/maps/?lvl=14&amp;sty=h&amp;cp=33.2617~44.4962&amp;sp=point.33.2617_44.4962","Maplink3")</f>
        <v>Maplink3</v>
      </c>
    </row>
    <row r="457" spans="1:48" ht="15" customHeight="1" x14ac:dyDescent="0.25">
      <c r="A457" s="19">
        <v>25407</v>
      </c>
      <c r="B457" s="20" t="s">
        <v>11</v>
      </c>
      <c r="C457" s="20" t="s">
        <v>744</v>
      </c>
      <c r="D457" s="20" t="s">
        <v>929</v>
      </c>
      <c r="E457" s="20" t="s">
        <v>930</v>
      </c>
      <c r="F457" s="20">
        <v>33.252735032700002</v>
      </c>
      <c r="G457" s="20">
        <v>44.509516713099998</v>
      </c>
      <c r="H457" s="22">
        <v>6</v>
      </c>
      <c r="I457" s="22">
        <v>36</v>
      </c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>
        <v>6</v>
      </c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>
        <v>6</v>
      </c>
      <c r="AI457" s="21"/>
      <c r="AJ457" s="21"/>
      <c r="AK457" s="21"/>
      <c r="AL457" s="21"/>
      <c r="AM457" s="21"/>
      <c r="AN457" s="21">
        <v>6</v>
      </c>
      <c r="AO457" s="21"/>
      <c r="AP457" s="21"/>
      <c r="AQ457" s="21"/>
      <c r="AR457" s="21"/>
      <c r="AS457" s="21"/>
      <c r="AT457" s="12" t="str">
        <f>HYPERLINK("http://www.openstreetmap.org/?mlat=33.2527&amp;mlon=44.5095&amp;zoom=12#map=12/33.2527/44.5095","Maplink1")</f>
        <v>Maplink1</v>
      </c>
      <c r="AU457" s="12" t="str">
        <f>HYPERLINK("https://www.google.iq/maps/search/+33.2527,44.5095/@33.2527,44.5095,14z?hl=en","Maplink2")</f>
        <v>Maplink2</v>
      </c>
      <c r="AV457" s="12" t="str">
        <f>HYPERLINK("http://www.bing.com/maps/?lvl=14&amp;sty=h&amp;cp=33.2527~44.5095&amp;sp=point.33.2527_44.5095","Maplink3")</f>
        <v>Maplink3</v>
      </c>
    </row>
    <row r="458" spans="1:48" ht="15" customHeight="1" x14ac:dyDescent="0.25">
      <c r="A458" s="19">
        <v>24013</v>
      </c>
      <c r="B458" s="20" t="s">
        <v>11</v>
      </c>
      <c r="C458" s="20" t="s">
        <v>744</v>
      </c>
      <c r="D458" s="20" t="s">
        <v>931</v>
      </c>
      <c r="E458" s="20" t="s">
        <v>932</v>
      </c>
      <c r="F458" s="20">
        <v>33.24722002</v>
      </c>
      <c r="G458" s="20">
        <v>44.498339049999998</v>
      </c>
      <c r="H458" s="22">
        <v>7</v>
      </c>
      <c r="I458" s="22">
        <v>42</v>
      </c>
      <c r="J458" s="21"/>
      <c r="K458" s="21"/>
      <c r="L458" s="21"/>
      <c r="M458" s="21"/>
      <c r="N458" s="21"/>
      <c r="O458" s="21">
        <v>2</v>
      </c>
      <c r="P458" s="21"/>
      <c r="Q458" s="21"/>
      <c r="R458" s="21"/>
      <c r="S458" s="21"/>
      <c r="T458" s="21"/>
      <c r="U458" s="21"/>
      <c r="V458" s="21">
        <v>3</v>
      </c>
      <c r="W458" s="21"/>
      <c r="X458" s="21">
        <v>2</v>
      </c>
      <c r="Y458" s="21"/>
      <c r="Z458" s="21"/>
      <c r="AA458" s="21"/>
      <c r="AB458" s="21"/>
      <c r="AC458" s="21">
        <v>3</v>
      </c>
      <c r="AD458" s="21"/>
      <c r="AE458" s="21"/>
      <c r="AF458" s="21"/>
      <c r="AG458" s="21"/>
      <c r="AH458" s="21">
        <v>4</v>
      </c>
      <c r="AI458" s="21"/>
      <c r="AJ458" s="21"/>
      <c r="AK458" s="21"/>
      <c r="AL458" s="21"/>
      <c r="AM458" s="21"/>
      <c r="AN458" s="21">
        <v>3</v>
      </c>
      <c r="AO458" s="21">
        <v>4</v>
      </c>
      <c r="AP458" s="21"/>
      <c r="AQ458" s="21"/>
      <c r="AR458" s="21"/>
      <c r="AS458" s="21"/>
      <c r="AT458" s="12" t="str">
        <f>HYPERLINK("http://www.openstreetmap.org/?mlat=33.2472&amp;mlon=44.4983&amp;zoom=12#map=12/33.2472/44.4983","Maplink1")</f>
        <v>Maplink1</v>
      </c>
      <c r="AU458" s="12" t="str">
        <f>HYPERLINK("https://www.google.iq/maps/search/+33.2472,44.4983/@33.2472,44.4983,14z?hl=en","Maplink2")</f>
        <v>Maplink2</v>
      </c>
      <c r="AV458" s="12" t="str">
        <f>HYPERLINK("http://www.bing.com/maps/?lvl=14&amp;sty=h&amp;cp=33.2472~44.4983&amp;sp=point.33.2472_44.4983","Maplink3")</f>
        <v>Maplink3</v>
      </c>
    </row>
    <row r="459" spans="1:48" ht="15" customHeight="1" x14ac:dyDescent="0.25">
      <c r="A459" s="19">
        <v>24012</v>
      </c>
      <c r="B459" s="20" t="s">
        <v>11</v>
      </c>
      <c r="C459" s="20" t="s">
        <v>744</v>
      </c>
      <c r="D459" s="20" t="s">
        <v>933</v>
      </c>
      <c r="E459" s="20" t="s">
        <v>934</v>
      </c>
      <c r="F459" s="20">
        <v>33.237519069999998</v>
      </c>
      <c r="G459" s="20">
        <v>44.511368310000002</v>
      </c>
      <c r="H459" s="22">
        <v>9</v>
      </c>
      <c r="I459" s="22">
        <v>54</v>
      </c>
      <c r="J459" s="21">
        <v>1</v>
      </c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>
        <v>6</v>
      </c>
      <c r="W459" s="21"/>
      <c r="X459" s="21">
        <v>2</v>
      </c>
      <c r="Y459" s="21"/>
      <c r="Z459" s="21"/>
      <c r="AA459" s="21"/>
      <c r="AB459" s="21"/>
      <c r="AC459" s="21">
        <v>3</v>
      </c>
      <c r="AD459" s="21"/>
      <c r="AE459" s="21"/>
      <c r="AF459" s="21"/>
      <c r="AG459" s="21"/>
      <c r="AH459" s="21">
        <v>6</v>
      </c>
      <c r="AI459" s="21"/>
      <c r="AJ459" s="21"/>
      <c r="AK459" s="21"/>
      <c r="AL459" s="21">
        <v>2</v>
      </c>
      <c r="AM459" s="21"/>
      <c r="AN459" s="21">
        <v>4</v>
      </c>
      <c r="AO459" s="21">
        <v>3</v>
      </c>
      <c r="AP459" s="21"/>
      <c r="AQ459" s="21"/>
      <c r="AR459" s="21"/>
      <c r="AS459" s="21"/>
      <c r="AT459" s="12" t="str">
        <f>HYPERLINK("http://www.openstreetmap.org/?mlat=33.2375&amp;mlon=44.5114&amp;zoom=12#map=12/33.2375/44.5114","Maplink1")</f>
        <v>Maplink1</v>
      </c>
      <c r="AU459" s="12" t="str">
        <f>HYPERLINK("https://www.google.iq/maps/search/+33.2375,44.5114/@33.2375,44.5114,14z?hl=en","Maplink2")</f>
        <v>Maplink2</v>
      </c>
      <c r="AV459" s="12" t="str">
        <f>HYPERLINK("http://www.bing.com/maps/?lvl=14&amp;sty=h&amp;cp=33.2375~44.5114&amp;sp=point.33.2375_44.5114","Maplink3")</f>
        <v>Maplink3</v>
      </c>
    </row>
    <row r="460" spans="1:48" ht="15" customHeight="1" x14ac:dyDescent="0.25">
      <c r="A460" s="19">
        <v>24014</v>
      </c>
      <c r="B460" s="20" t="s">
        <v>11</v>
      </c>
      <c r="C460" s="20" t="s">
        <v>744</v>
      </c>
      <c r="D460" s="20" t="s">
        <v>935</v>
      </c>
      <c r="E460" s="20" t="s">
        <v>936</v>
      </c>
      <c r="F460" s="20">
        <v>33.251123999999997</v>
      </c>
      <c r="G460" s="20">
        <v>44.516511999999999</v>
      </c>
      <c r="H460" s="22">
        <v>6</v>
      </c>
      <c r="I460" s="22">
        <v>36</v>
      </c>
      <c r="J460" s="21">
        <v>1</v>
      </c>
      <c r="K460" s="21"/>
      <c r="L460" s="21"/>
      <c r="M460" s="21"/>
      <c r="N460" s="21"/>
      <c r="O460" s="21">
        <v>5</v>
      </c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>
        <v>6</v>
      </c>
      <c r="AI460" s="21"/>
      <c r="AJ460" s="21"/>
      <c r="AK460" s="21"/>
      <c r="AL460" s="21">
        <v>1</v>
      </c>
      <c r="AM460" s="21"/>
      <c r="AN460" s="21">
        <v>5</v>
      </c>
      <c r="AO460" s="21"/>
      <c r="AP460" s="21"/>
      <c r="AQ460" s="21"/>
      <c r="AR460" s="21"/>
      <c r="AS460" s="21"/>
      <c r="AT460" s="12" t="str">
        <f>HYPERLINK("http://www.openstreetmap.org/?mlat=33.2511&amp;mlon=44.5165&amp;zoom=12#map=12/33.2511/44.5165","Maplink1")</f>
        <v>Maplink1</v>
      </c>
      <c r="AU460" s="12" t="str">
        <f>HYPERLINK("https://www.google.iq/maps/search/+33.2511,44.5165/@33.2511,44.5165,14z?hl=en","Maplink2")</f>
        <v>Maplink2</v>
      </c>
      <c r="AV460" s="12" t="str">
        <f>HYPERLINK("http://www.bing.com/maps/?lvl=14&amp;sty=h&amp;cp=33.2511~44.5165&amp;sp=point.33.2511_44.5165","Maplink3")</f>
        <v>Maplink3</v>
      </c>
    </row>
    <row r="461" spans="1:48" ht="15" customHeight="1" x14ac:dyDescent="0.25">
      <c r="A461" s="19">
        <v>23991</v>
      </c>
      <c r="B461" s="20" t="s">
        <v>11</v>
      </c>
      <c r="C461" s="20" t="s">
        <v>744</v>
      </c>
      <c r="D461" s="20" t="s">
        <v>937</v>
      </c>
      <c r="E461" s="20" t="s">
        <v>938</v>
      </c>
      <c r="F461" s="20">
        <v>33.307743979999998</v>
      </c>
      <c r="G461" s="20">
        <v>44.464492360000001</v>
      </c>
      <c r="H461" s="22">
        <v>7</v>
      </c>
      <c r="I461" s="22">
        <v>42</v>
      </c>
      <c r="J461" s="21">
        <v>1</v>
      </c>
      <c r="K461" s="21"/>
      <c r="L461" s="21"/>
      <c r="M461" s="21"/>
      <c r="N461" s="21"/>
      <c r="O461" s="21">
        <v>2</v>
      </c>
      <c r="P461" s="21"/>
      <c r="Q461" s="21"/>
      <c r="R461" s="21"/>
      <c r="S461" s="21"/>
      <c r="T461" s="21"/>
      <c r="U461" s="21"/>
      <c r="V461" s="21">
        <v>2</v>
      </c>
      <c r="W461" s="21"/>
      <c r="X461" s="21">
        <v>2</v>
      </c>
      <c r="Y461" s="21"/>
      <c r="Z461" s="21"/>
      <c r="AA461" s="21"/>
      <c r="AB461" s="21"/>
      <c r="AC461" s="21">
        <v>2</v>
      </c>
      <c r="AD461" s="21"/>
      <c r="AE461" s="21"/>
      <c r="AF461" s="21"/>
      <c r="AG461" s="21"/>
      <c r="AH461" s="21">
        <v>5</v>
      </c>
      <c r="AI461" s="21"/>
      <c r="AJ461" s="21"/>
      <c r="AK461" s="21"/>
      <c r="AL461" s="21"/>
      <c r="AM461" s="21"/>
      <c r="AN461" s="21">
        <v>2</v>
      </c>
      <c r="AO461" s="21">
        <v>4</v>
      </c>
      <c r="AP461" s="21">
        <v>1</v>
      </c>
      <c r="AQ461" s="21"/>
      <c r="AR461" s="21"/>
      <c r="AS461" s="21"/>
      <c r="AT461" s="12" t="str">
        <f>HYPERLINK("http://www.openstreetmap.org/?mlat=33.3077&amp;mlon=44.4645&amp;zoom=12#map=12/33.3077/44.4645","Maplink1")</f>
        <v>Maplink1</v>
      </c>
      <c r="AU461" s="12" t="str">
        <f>HYPERLINK("https://www.google.iq/maps/search/+33.3077,44.4645/@33.3077,44.4645,14z?hl=en","Maplink2")</f>
        <v>Maplink2</v>
      </c>
      <c r="AV461" s="12" t="str">
        <f>HYPERLINK("http://www.bing.com/maps/?lvl=14&amp;sty=h&amp;cp=33.3077~44.4645&amp;sp=point.33.3077_44.4645","Maplink3")</f>
        <v>Maplink3</v>
      </c>
    </row>
    <row r="462" spans="1:48" ht="15" customHeight="1" x14ac:dyDescent="0.25">
      <c r="A462" s="19">
        <v>23990</v>
      </c>
      <c r="B462" s="20" t="s">
        <v>11</v>
      </c>
      <c r="C462" s="20" t="s">
        <v>744</v>
      </c>
      <c r="D462" s="20" t="s">
        <v>939</v>
      </c>
      <c r="E462" s="20" t="s">
        <v>940</v>
      </c>
      <c r="F462" s="20">
        <v>33.318347607100002</v>
      </c>
      <c r="G462" s="20">
        <v>44.471245452600002</v>
      </c>
      <c r="H462" s="22">
        <v>9</v>
      </c>
      <c r="I462" s="22">
        <v>54</v>
      </c>
      <c r="J462" s="21">
        <v>5</v>
      </c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>
        <v>4</v>
      </c>
      <c r="W462" s="21"/>
      <c r="X462" s="21"/>
      <c r="Y462" s="21"/>
      <c r="Z462" s="21"/>
      <c r="AA462" s="21"/>
      <c r="AB462" s="21"/>
      <c r="AC462" s="21">
        <v>4</v>
      </c>
      <c r="AD462" s="21"/>
      <c r="AE462" s="21"/>
      <c r="AF462" s="21"/>
      <c r="AG462" s="21"/>
      <c r="AH462" s="21">
        <v>5</v>
      </c>
      <c r="AI462" s="21"/>
      <c r="AJ462" s="21"/>
      <c r="AK462" s="21"/>
      <c r="AL462" s="21">
        <v>3</v>
      </c>
      <c r="AM462" s="21"/>
      <c r="AN462" s="21">
        <v>4</v>
      </c>
      <c r="AO462" s="21">
        <v>2</v>
      </c>
      <c r="AP462" s="21"/>
      <c r="AQ462" s="21"/>
      <c r="AR462" s="21"/>
      <c r="AS462" s="21"/>
      <c r="AT462" s="12" t="str">
        <f>HYPERLINK("http://www.openstreetmap.org/?mlat=33.3183&amp;mlon=44.4712&amp;zoom=12#map=12/33.3183/44.4712","Maplink1")</f>
        <v>Maplink1</v>
      </c>
      <c r="AU462" s="12" t="str">
        <f>HYPERLINK("https://www.google.iq/maps/search/+33.3183,44.4712/@33.3183,44.4712,14z?hl=en","Maplink2")</f>
        <v>Maplink2</v>
      </c>
      <c r="AV462" s="12" t="str">
        <f>HYPERLINK("http://www.bing.com/maps/?lvl=14&amp;sty=h&amp;cp=33.3183~44.4712&amp;sp=point.33.3183_44.4712","Maplink3")</f>
        <v>Maplink3</v>
      </c>
    </row>
    <row r="463" spans="1:48" ht="15" customHeight="1" x14ac:dyDescent="0.25">
      <c r="A463" s="19">
        <v>24226</v>
      </c>
      <c r="B463" s="20" t="s">
        <v>11</v>
      </c>
      <c r="C463" s="20" t="s">
        <v>744</v>
      </c>
      <c r="D463" s="20" t="s">
        <v>941</v>
      </c>
      <c r="E463" s="20" t="s">
        <v>942</v>
      </c>
      <c r="F463" s="20">
        <v>33.315717020000001</v>
      </c>
      <c r="G463" s="20">
        <v>44.468487709999998</v>
      </c>
      <c r="H463" s="22">
        <v>8</v>
      </c>
      <c r="I463" s="22">
        <v>48</v>
      </c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>
        <v>8</v>
      </c>
      <c r="W463" s="21"/>
      <c r="X463" s="21"/>
      <c r="Y463" s="21"/>
      <c r="Z463" s="21"/>
      <c r="AA463" s="21"/>
      <c r="AB463" s="21"/>
      <c r="AC463" s="21">
        <v>5</v>
      </c>
      <c r="AD463" s="21"/>
      <c r="AE463" s="21"/>
      <c r="AF463" s="21"/>
      <c r="AG463" s="21"/>
      <c r="AH463" s="21">
        <v>3</v>
      </c>
      <c r="AI463" s="21"/>
      <c r="AJ463" s="21"/>
      <c r="AK463" s="21"/>
      <c r="AL463" s="21"/>
      <c r="AM463" s="21">
        <v>3</v>
      </c>
      <c r="AN463" s="21">
        <v>5</v>
      </c>
      <c r="AO463" s="21"/>
      <c r="AP463" s="21"/>
      <c r="AQ463" s="21"/>
      <c r="AR463" s="21"/>
      <c r="AS463" s="21"/>
      <c r="AT463" s="12" t="str">
        <f>HYPERLINK("http://www.openstreetmap.org/?mlat=33.3157&amp;mlon=44.4685&amp;zoom=12#map=12/33.3157/44.4685","Maplink1")</f>
        <v>Maplink1</v>
      </c>
      <c r="AU463" s="12" t="str">
        <f>HYPERLINK("https://www.google.iq/maps/search/+33.3157,44.4685/@33.3157,44.4685,14z?hl=en","Maplink2")</f>
        <v>Maplink2</v>
      </c>
      <c r="AV463" s="12" t="str">
        <f>HYPERLINK("http://www.bing.com/maps/?lvl=14&amp;sty=h&amp;cp=33.3157~44.4685&amp;sp=point.33.3157_44.4685","Maplink3")</f>
        <v>Maplink3</v>
      </c>
    </row>
    <row r="464" spans="1:48" ht="15" customHeight="1" x14ac:dyDescent="0.25">
      <c r="A464" s="19">
        <v>25969</v>
      </c>
      <c r="B464" s="20" t="s">
        <v>11</v>
      </c>
      <c r="C464" s="20" t="s">
        <v>744</v>
      </c>
      <c r="D464" s="20" t="s">
        <v>943</v>
      </c>
      <c r="E464" s="20" t="s">
        <v>944</v>
      </c>
      <c r="F464" s="20">
        <v>33.317933189999998</v>
      </c>
      <c r="G464" s="20">
        <v>44.445211100000002</v>
      </c>
      <c r="H464" s="22">
        <v>100</v>
      </c>
      <c r="I464" s="22">
        <v>600</v>
      </c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>
        <v>96</v>
      </c>
      <c r="W464" s="21"/>
      <c r="X464" s="21">
        <v>4</v>
      </c>
      <c r="Y464" s="21"/>
      <c r="Z464" s="21"/>
      <c r="AA464" s="21"/>
      <c r="AB464" s="21">
        <v>100</v>
      </c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>
        <v>80</v>
      </c>
      <c r="AO464" s="21">
        <v>20</v>
      </c>
      <c r="AP464" s="21"/>
      <c r="AQ464" s="21"/>
      <c r="AR464" s="21"/>
      <c r="AS464" s="21"/>
      <c r="AT464" s="12" t="str">
        <f>HYPERLINK("http://www.openstreetmap.org/?mlat=33.3179&amp;mlon=44.4452&amp;zoom=12#map=12/33.3179/44.4452","Maplink1")</f>
        <v>Maplink1</v>
      </c>
      <c r="AU464" s="12" t="str">
        <f>HYPERLINK("https://www.google.iq/maps/search/+33.3179,44.4452/@33.3179,44.4452,14z?hl=en","Maplink2")</f>
        <v>Maplink2</v>
      </c>
      <c r="AV464" s="12" t="str">
        <f>HYPERLINK("http://www.bing.com/maps/?lvl=14&amp;sty=h&amp;cp=33.3179~44.4452&amp;sp=point.33.3179_44.4452","Maplink3")</f>
        <v>Maplink3</v>
      </c>
    </row>
    <row r="465" spans="1:48" ht="15" customHeight="1" x14ac:dyDescent="0.25">
      <c r="A465" s="19">
        <v>28398</v>
      </c>
      <c r="B465" s="20" t="s">
        <v>11</v>
      </c>
      <c r="C465" s="20" t="s">
        <v>945</v>
      </c>
      <c r="D465" s="20" t="s">
        <v>946</v>
      </c>
      <c r="E465" s="20" t="s">
        <v>947</v>
      </c>
      <c r="F465" s="20">
        <v>33.4902575614</v>
      </c>
      <c r="G465" s="20">
        <v>44.247800256600001</v>
      </c>
      <c r="H465" s="22">
        <v>10</v>
      </c>
      <c r="I465" s="22">
        <v>60</v>
      </c>
      <c r="J465" s="21">
        <v>10</v>
      </c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>
        <v>4</v>
      </c>
      <c r="AD465" s="21"/>
      <c r="AE465" s="21"/>
      <c r="AF465" s="21"/>
      <c r="AG465" s="21"/>
      <c r="AH465" s="21">
        <v>6</v>
      </c>
      <c r="AI465" s="21"/>
      <c r="AJ465" s="21"/>
      <c r="AK465" s="21"/>
      <c r="AL465" s="21"/>
      <c r="AM465" s="21"/>
      <c r="AN465" s="21"/>
      <c r="AO465" s="21"/>
      <c r="AP465" s="21">
        <v>6</v>
      </c>
      <c r="AQ465" s="21">
        <v>4</v>
      </c>
      <c r="AR465" s="21"/>
      <c r="AS465" s="21"/>
      <c r="AT465" s="12" t="str">
        <f>HYPERLINK("http://www.openstreetmap.org/?mlat=33.4903&amp;mlon=44.2478&amp;zoom=12#map=12/33.4903/44.2478","Maplink1")</f>
        <v>Maplink1</v>
      </c>
      <c r="AU465" s="12" t="str">
        <f>HYPERLINK("https://www.google.iq/maps/search/+33.4903,44.2478/@33.4903,44.2478,14z?hl=en","Maplink2")</f>
        <v>Maplink2</v>
      </c>
      <c r="AV465" s="12" t="str">
        <f>HYPERLINK("http://www.bing.com/maps/?lvl=14&amp;sty=h&amp;cp=33.4903~44.2478&amp;sp=point.33.4903_44.2478","Maplink3")</f>
        <v>Maplink3</v>
      </c>
    </row>
    <row r="466" spans="1:48" ht="15" customHeight="1" x14ac:dyDescent="0.25">
      <c r="A466" s="19">
        <v>23619</v>
      </c>
      <c r="B466" s="20" t="s">
        <v>11</v>
      </c>
      <c r="C466" s="20" t="s">
        <v>945</v>
      </c>
      <c r="D466" s="20" t="s">
        <v>948</v>
      </c>
      <c r="E466" s="20" t="s">
        <v>949</v>
      </c>
      <c r="F466" s="20">
        <v>33.496527960000002</v>
      </c>
      <c r="G466" s="20">
        <v>44.244541939999998</v>
      </c>
      <c r="H466" s="22">
        <v>7</v>
      </c>
      <c r="I466" s="22">
        <v>42</v>
      </c>
      <c r="J466" s="21">
        <v>7</v>
      </c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>
        <v>4</v>
      </c>
      <c r="AD466" s="21"/>
      <c r="AE466" s="21"/>
      <c r="AF466" s="21"/>
      <c r="AG466" s="21"/>
      <c r="AH466" s="21">
        <v>3</v>
      </c>
      <c r="AI466" s="21"/>
      <c r="AJ466" s="21"/>
      <c r="AK466" s="21"/>
      <c r="AL466" s="21">
        <v>3</v>
      </c>
      <c r="AM466" s="21"/>
      <c r="AN466" s="21"/>
      <c r="AO466" s="21">
        <v>4</v>
      </c>
      <c r="AP466" s="21"/>
      <c r="AQ466" s="21"/>
      <c r="AR466" s="21"/>
      <c r="AS466" s="21"/>
      <c r="AT466" s="12" t="str">
        <f>HYPERLINK("http://www.openstreetmap.org/?mlat=33.4965&amp;mlon=44.2445&amp;zoom=12#map=12/33.4965/44.2445","Maplink1")</f>
        <v>Maplink1</v>
      </c>
      <c r="AU466" s="12" t="str">
        <f>HYPERLINK("https://www.google.iq/maps/search/+33.4965,44.2445/@33.4965,44.2445,14z?hl=en","Maplink2")</f>
        <v>Maplink2</v>
      </c>
      <c r="AV466" s="12" t="str">
        <f>HYPERLINK("http://www.bing.com/maps/?lvl=14&amp;sty=h&amp;cp=33.4965~44.2445&amp;sp=point.33.4965_44.2445","Maplink3")</f>
        <v>Maplink3</v>
      </c>
    </row>
    <row r="467" spans="1:48" ht="15" customHeight="1" x14ac:dyDescent="0.25">
      <c r="A467" s="19">
        <v>27413</v>
      </c>
      <c r="B467" s="20" t="s">
        <v>11</v>
      </c>
      <c r="C467" s="20" t="s">
        <v>945</v>
      </c>
      <c r="D467" s="20" t="s">
        <v>950</v>
      </c>
      <c r="E467" s="20" t="s">
        <v>951</v>
      </c>
      <c r="F467" s="20">
        <v>33.437165299999997</v>
      </c>
      <c r="G467" s="20">
        <v>44.253963800000001</v>
      </c>
      <c r="H467" s="22">
        <v>38</v>
      </c>
      <c r="I467" s="22">
        <v>228</v>
      </c>
      <c r="J467" s="21">
        <v>3</v>
      </c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>
        <v>35</v>
      </c>
      <c r="Y467" s="21"/>
      <c r="Z467" s="21"/>
      <c r="AA467" s="21"/>
      <c r="AB467" s="21"/>
      <c r="AC467" s="21"/>
      <c r="AD467" s="21"/>
      <c r="AE467" s="21"/>
      <c r="AF467" s="21"/>
      <c r="AG467" s="21"/>
      <c r="AH467" s="21">
        <v>3</v>
      </c>
      <c r="AI467" s="21"/>
      <c r="AJ467" s="21">
        <v>35</v>
      </c>
      <c r="AK467" s="21"/>
      <c r="AL467" s="21"/>
      <c r="AM467" s="21">
        <v>22</v>
      </c>
      <c r="AN467" s="21">
        <v>14</v>
      </c>
      <c r="AO467" s="21"/>
      <c r="AP467" s="21">
        <v>2</v>
      </c>
      <c r="AQ467" s="21"/>
      <c r="AR467" s="21"/>
      <c r="AS467" s="21"/>
      <c r="AT467" s="12" t="str">
        <f>HYPERLINK("http://www.openstreetmap.org/?mlat=33.4372&amp;mlon=44.254&amp;zoom=12#map=12/33.4372/44.254","Maplink1")</f>
        <v>Maplink1</v>
      </c>
      <c r="AU467" s="12" t="str">
        <f>HYPERLINK("https://www.google.iq/maps/search/+33.4372,44.254/@33.4372,44.254,14z?hl=en","Maplink2")</f>
        <v>Maplink2</v>
      </c>
      <c r="AV467" s="12" t="str">
        <f>HYPERLINK("http://www.bing.com/maps/?lvl=14&amp;sty=h&amp;cp=33.4372~44.254&amp;sp=point.33.4372_44.254","Maplink3")</f>
        <v>Maplink3</v>
      </c>
    </row>
    <row r="468" spans="1:48" ht="15" customHeight="1" x14ac:dyDescent="0.25">
      <c r="A468" s="19">
        <v>27414</v>
      </c>
      <c r="B468" s="20" t="s">
        <v>11</v>
      </c>
      <c r="C468" s="20" t="s">
        <v>945</v>
      </c>
      <c r="D468" s="20" t="s">
        <v>952</v>
      </c>
      <c r="E468" s="20" t="s">
        <v>953</v>
      </c>
      <c r="F468" s="20">
        <v>33.40555269</v>
      </c>
      <c r="G468" s="20">
        <v>44.298770320000003</v>
      </c>
      <c r="H468" s="22">
        <v>14</v>
      </c>
      <c r="I468" s="22">
        <v>84</v>
      </c>
      <c r="J468" s="21">
        <v>10</v>
      </c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>
        <v>4</v>
      </c>
      <c r="Y468" s="21"/>
      <c r="Z468" s="21"/>
      <c r="AA468" s="21"/>
      <c r="AB468" s="21"/>
      <c r="AC468" s="21">
        <v>4</v>
      </c>
      <c r="AD468" s="21"/>
      <c r="AE468" s="21"/>
      <c r="AF468" s="21"/>
      <c r="AG468" s="21"/>
      <c r="AH468" s="21">
        <v>10</v>
      </c>
      <c r="AI468" s="21"/>
      <c r="AJ468" s="21"/>
      <c r="AK468" s="21"/>
      <c r="AL468" s="21">
        <v>4</v>
      </c>
      <c r="AM468" s="21">
        <v>10</v>
      </c>
      <c r="AN468" s="21"/>
      <c r="AO468" s="21"/>
      <c r="AP468" s="21"/>
      <c r="AQ468" s="21"/>
      <c r="AR468" s="21"/>
      <c r="AS468" s="21"/>
      <c r="AT468" s="12" t="str">
        <f>HYPERLINK("http://www.openstreetmap.org/?mlat=33.4056&amp;mlon=44.2988&amp;zoom=12#map=12/33.4056/44.2988","Maplink1")</f>
        <v>Maplink1</v>
      </c>
      <c r="AU468" s="12" t="str">
        <f>HYPERLINK("https://www.google.iq/maps/search/+33.4056,44.2988/@33.4056,44.2988,14z?hl=en","Maplink2")</f>
        <v>Maplink2</v>
      </c>
      <c r="AV468" s="12" t="str">
        <f>HYPERLINK("http://www.bing.com/maps/?lvl=14&amp;sty=h&amp;cp=33.4056~44.2988&amp;sp=point.33.4056_44.2988","Maplink3")</f>
        <v>Maplink3</v>
      </c>
    </row>
    <row r="469" spans="1:48" ht="15" customHeight="1" x14ac:dyDescent="0.25">
      <c r="A469" s="19">
        <v>27415</v>
      </c>
      <c r="B469" s="20" t="s">
        <v>11</v>
      </c>
      <c r="C469" s="20" t="s">
        <v>945</v>
      </c>
      <c r="D469" s="20" t="s">
        <v>954</v>
      </c>
      <c r="E469" s="20" t="s">
        <v>955</v>
      </c>
      <c r="F469" s="20">
        <v>33.435184820000003</v>
      </c>
      <c r="G469" s="20">
        <v>44.23477699</v>
      </c>
      <c r="H469" s="22">
        <v>10</v>
      </c>
      <c r="I469" s="22">
        <v>60</v>
      </c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>
        <v>6</v>
      </c>
      <c r="W469" s="21"/>
      <c r="X469" s="21">
        <v>4</v>
      </c>
      <c r="Y469" s="21"/>
      <c r="Z469" s="21"/>
      <c r="AA469" s="21"/>
      <c r="AB469" s="21"/>
      <c r="AC469" s="21">
        <v>4</v>
      </c>
      <c r="AD469" s="21"/>
      <c r="AE469" s="21"/>
      <c r="AF469" s="21"/>
      <c r="AG469" s="21"/>
      <c r="AH469" s="21">
        <v>6</v>
      </c>
      <c r="AI469" s="21"/>
      <c r="AJ469" s="21"/>
      <c r="AK469" s="21"/>
      <c r="AL469" s="21">
        <v>4</v>
      </c>
      <c r="AM469" s="21"/>
      <c r="AN469" s="21">
        <v>6</v>
      </c>
      <c r="AO469" s="21"/>
      <c r="AP469" s="21"/>
      <c r="AQ469" s="21"/>
      <c r="AR469" s="21"/>
      <c r="AS469" s="21"/>
      <c r="AT469" s="12" t="str">
        <f>HYPERLINK("http://www.openstreetmap.org/?mlat=33.4352&amp;mlon=44.2348&amp;zoom=12#map=12/33.4352/44.2348","Maplink1")</f>
        <v>Maplink1</v>
      </c>
      <c r="AU469" s="12" t="str">
        <f>HYPERLINK("https://www.google.iq/maps/search/+33.4352,44.2348/@33.4352,44.2348,14z?hl=en","Maplink2")</f>
        <v>Maplink2</v>
      </c>
      <c r="AV469" s="12" t="str">
        <f>HYPERLINK("http://www.bing.com/maps/?lvl=14&amp;sty=h&amp;cp=33.4352~44.2348&amp;sp=point.33.4352_44.2348","Maplink3")</f>
        <v>Maplink3</v>
      </c>
    </row>
    <row r="470" spans="1:48" ht="15" customHeight="1" x14ac:dyDescent="0.25">
      <c r="A470" s="19">
        <v>24660</v>
      </c>
      <c r="B470" s="20" t="s">
        <v>11</v>
      </c>
      <c r="C470" s="20" t="s">
        <v>945</v>
      </c>
      <c r="D470" s="20" t="s">
        <v>956</v>
      </c>
      <c r="E470" s="20" t="s">
        <v>957</v>
      </c>
      <c r="F470" s="20">
        <v>33.351066840000001</v>
      </c>
      <c r="G470" s="20">
        <v>44.362409499999998</v>
      </c>
      <c r="H470" s="22">
        <v>5</v>
      </c>
      <c r="I470" s="22">
        <v>30</v>
      </c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>
        <v>5</v>
      </c>
      <c r="W470" s="21"/>
      <c r="X470" s="21"/>
      <c r="Y470" s="21"/>
      <c r="Z470" s="21"/>
      <c r="AA470" s="21"/>
      <c r="AB470" s="21"/>
      <c r="AC470" s="21">
        <v>2</v>
      </c>
      <c r="AD470" s="21"/>
      <c r="AE470" s="21"/>
      <c r="AF470" s="21"/>
      <c r="AG470" s="21"/>
      <c r="AH470" s="21">
        <v>3</v>
      </c>
      <c r="AI470" s="21"/>
      <c r="AJ470" s="21"/>
      <c r="AK470" s="21"/>
      <c r="AL470" s="21"/>
      <c r="AM470" s="21"/>
      <c r="AN470" s="21"/>
      <c r="AO470" s="21">
        <v>5</v>
      </c>
      <c r="AP470" s="21"/>
      <c r="AQ470" s="21"/>
      <c r="AR470" s="21"/>
      <c r="AS470" s="21"/>
      <c r="AT470" s="12" t="str">
        <f>HYPERLINK("http://www.openstreetmap.org/?mlat=33.3511&amp;mlon=44.3624&amp;zoom=12#map=12/33.3511/44.3624","Maplink1")</f>
        <v>Maplink1</v>
      </c>
      <c r="AU470" s="12" t="str">
        <f>HYPERLINK("https://www.google.iq/maps/search/+33.3511,44.3624/@33.3511,44.3624,14z?hl=en","Maplink2")</f>
        <v>Maplink2</v>
      </c>
      <c r="AV470" s="12" t="str">
        <f>HYPERLINK("http://www.bing.com/maps/?lvl=14&amp;sty=h&amp;cp=33.3511~44.3624&amp;sp=point.33.3511_44.3624","Maplink3")</f>
        <v>Maplink3</v>
      </c>
    </row>
    <row r="471" spans="1:48" ht="15" customHeight="1" x14ac:dyDescent="0.25">
      <c r="A471" s="19">
        <v>24773</v>
      </c>
      <c r="B471" s="20" t="s">
        <v>11</v>
      </c>
      <c r="C471" s="20" t="s">
        <v>945</v>
      </c>
      <c r="D471" s="20" t="s">
        <v>958</v>
      </c>
      <c r="E471" s="20" t="s">
        <v>959</v>
      </c>
      <c r="F471" s="20">
        <v>33.353816899999998</v>
      </c>
      <c r="G471" s="20">
        <v>44.362365580000002</v>
      </c>
      <c r="H471" s="22">
        <v>5</v>
      </c>
      <c r="I471" s="22">
        <v>30</v>
      </c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>
        <v>5</v>
      </c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>
        <v>5</v>
      </c>
      <c r="AI471" s="21"/>
      <c r="AJ471" s="21"/>
      <c r="AK471" s="21"/>
      <c r="AL471" s="21"/>
      <c r="AM471" s="21"/>
      <c r="AN471" s="21"/>
      <c r="AO471" s="21">
        <v>5</v>
      </c>
      <c r="AP471" s="21"/>
      <c r="AQ471" s="21"/>
      <c r="AR471" s="21"/>
      <c r="AS471" s="21"/>
      <c r="AT471" s="12" t="str">
        <f>HYPERLINK("http://www.openstreetmap.org/?mlat=33.3538&amp;mlon=44.3624&amp;zoom=12#map=12/33.3538/44.3624","Maplink1")</f>
        <v>Maplink1</v>
      </c>
      <c r="AU471" s="12" t="str">
        <f>HYPERLINK("https://www.google.iq/maps/search/+33.3538,44.3624/@33.3538,44.3624,14z?hl=en","Maplink2")</f>
        <v>Maplink2</v>
      </c>
      <c r="AV471" s="12" t="str">
        <f>HYPERLINK("http://www.bing.com/maps/?lvl=14&amp;sty=h&amp;cp=33.3538~44.3624&amp;sp=point.33.3538_44.3624","Maplink3")</f>
        <v>Maplink3</v>
      </c>
    </row>
    <row r="472" spans="1:48" ht="15" customHeight="1" x14ac:dyDescent="0.25">
      <c r="A472" s="19">
        <v>25184</v>
      </c>
      <c r="B472" s="20" t="s">
        <v>11</v>
      </c>
      <c r="C472" s="20" t="s">
        <v>945</v>
      </c>
      <c r="D472" s="20" t="s">
        <v>960</v>
      </c>
      <c r="E472" s="20" t="s">
        <v>961</v>
      </c>
      <c r="F472" s="20">
        <v>33.570168667600001</v>
      </c>
      <c r="G472" s="20">
        <v>44.1801534863</v>
      </c>
      <c r="H472" s="22">
        <v>8</v>
      </c>
      <c r="I472" s="22">
        <v>48</v>
      </c>
      <c r="J472" s="21">
        <v>6</v>
      </c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>
        <v>2</v>
      </c>
      <c r="Y472" s="21"/>
      <c r="Z472" s="21"/>
      <c r="AA472" s="21"/>
      <c r="AB472" s="21"/>
      <c r="AC472" s="21">
        <v>6</v>
      </c>
      <c r="AD472" s="21"/>
      <c r="AE472" s="21"/>
      <c r="AF472" s="21"/>
      <c r="AG472" s="21"/>
      <c r="AH472" s="21">
        <v>2</v>
      </c>
      <c r="AI472" s="21"/>
      <c r="AJ472" s="21"/>
      <c r="AK472" s="21"/>
      <c r="AL472" s="21">
        <v>2</v>
      </c>
      <c r="AM472" s="21"/>
      <c r="AN472" s="21"/>
      <c r="AO472" s="21">
        <v>5</v>
      </c>
      <c r="AP472" s="21">
        <v>1</v>
      </c>
      <c r="AQ472" s="21"/>
      <c r="AR472" s="21"/>
      <c r="AS472" s="21"/>
      <c r="AT472" s="12" t="str">
        <f>HYPERLINK("http://www.openstreetmap.org/?mlat=33.5702&amp;mlon=44.1802&amp;zoom=12#map=12/33.5702/44.1802","Maplink1")</f>
        <v>Maplink1</v>
      </c>
      <c r="AU472" s="12" t="str">
        <f>HYPERLINK("https://www.google.iq/maps/search/+33.5702,44.1802/@33.5702,44.1802,14z?hl=en","Maplink2")</f>
        <v>Maplink2</v>
      </c>
      <c r="AV472" s="12" t="str">
        <f>HYPERLINK("http://www.bing.com/maps/?lvl=14&amp;sty=h&amp;cp=33.5702~44.1802&amp;sp=point.33.5702_44.1802","Maplink3")</f>
        <v>Maplink3</v>
      </c>
    </row>
    <row r="473" spans="1:48" ht="15" customHeight="1" x14ac:dyDescent="0.25">
      <c r="A473" s="19">
        <v>22249</v>
      </c>
      <c r="B473" s="20" t="s">
        <v>11</v>
      </c>
      <c r="C473" s="20" t="s">
        <v>945</v>
      </c>
      <c r="D473" s="20" t="s">
        <v>962</v>
      </c>
      <c r="E473" s="20" t="s">
        <v>963</v>
      </c>
      <c r="F473" s="20">
        <v>33.360001546200003</v>
      </c>
      <c r="G473" s="20">
        <v>44.327669309100003</v>
      </c>
      <c r="H473" s="22">
        <v>11</v>
      </c>
      <c r="I473" s="22">
        <v>66</v>
      </c>
      <c r="J473" s="21">
        <v>3</v>
      </c>
      <c r="K473" s="21"/>
      <c r="L473" s="21"/>
      <c r="M473" s="21"/>
      <c r="N473" s="21"/>
      <c r="O473" s="21"/>
      <c r="P473" s="21"/>
      <c r="Q473" s="21"/>
      <c r="R473" s="21">
        <v>1</v>
      </c>
      <c r="S473" s="21"/>
      <c r="T473" s="21"/>
      <c r="U473" s="21"/>
      <c r="V473" s="21">
        <v>4</v>
      </c>
      <c r="W473" s="21"/>
      <c r="X473" s="21">
        <v>3</v>
      </c>
      <c r="Y473" s="21"/>
      <c r="Z473" s="21"/>
      <c r="AA473" s="21"/>
      <c r="AB473" s="21"/>
      <c r="AC473" s="21">
        <v>6</v>
      </c>
      <c r="AD473" s="21"/>
      <c r="AE473" s="21"/>
      <c r="AF473" s="21"/>
      <c r="AG473" s="21"/>
      <c r="AH473" s="21">
        <v>5</v>
      </c>
      <c r="AI473" s="21"/>
      <c r="AJ473" s="21"/>
      <c r="AK473" s="21"/>
      <c r="AL473" s="21"/>
      <c r="AM473" s="21">
        <v>7</v>
      </c>
      <c r="AN473" s="21">
        <v>4</v>
      </c>
      <c r="AO473" s="21"/>
      <c r="AP473" s="21"/>
      <c r="AQ473" s="21"/>
      <c r="AR473" s="21"/>
      <c r="AS473" s="21"/>
      <c r="AT473" s="12" t="str">
        <f>HYPERLINK("http://www.openstreetmap.org/?mlat=33.36&amp;mlon=44.3277&amp;zoom=12#map=12/33.36/44.3277","Maplink1")</f>
        <v>Maplink1</v>
      </c>
      <c r="AU473" s="12" t="str">
        <f>HYPERLINK("https://www.google.iq/maps/search/+33.36,44.3277/@33.36,44.3277,14z?hl=en","Maplink2")</f>
        <v>Maplink2</v>
      </c>
      <c r="AV473" s="12" t="str">
        <f>HYPERLINK("http://www.bing.com/maps/?lvl=14&amp;sty=h&amp;cp=33.36~44.3277&amp;sp=point.33.36_44.3277","Maplink3")</f>
        <v>Maplink3</v>
      </c>
    </row>
    <row r="474" spans="1:48" ht="15" customHeight="1" x14ac:dyDescent="0.25">
      <c r="A474" s="19">
        <v>24934</v>
      </c>
      <c r="B474" s="20" t="s">
        <v>11</v>
      </c>
      <c r="C474" s="20" t="s">
        <v>945</v>
      </c>
      <c r="D474" s="20" t="s">
        <v>964</v>
      </c>
      <c r="E474" s="20" t="s">
        <v>965</v>
      </c>
      <c r="F474" s="20">
        <v>33.351562170000001</v>
      </c>
      <c r="G474" s="20">
        <v>44.322945650000001</v>
      </c>
      <c r="H474" s="22">
        <v>7</v>
      </c>
      <c r="I474" s="22">
        <v>42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>
        <v>7</v>
      </c>
      <c r="W474" s="21"/>
      <c r="X474" s="21"/>
      <c r="Y474" s="21"/>
      <c r="Z474" s="21"/>
      <c r="AA474" s="21"/>
      <c r="AB474" s="21"/>
      <c r="AC474" s="21">
        <v>3</v>
      </c>
      <c r="AD474" s="21"/>
      <c r="AE474" s="21"/>
      <c r="AF474" s="21"/>
      <c r="AG474" s="21"/>
      <c r="AH474" s="21">
        <v>4</v>
      </c>
      <c r="AI474" s="21"/>
      <c r="AJ474" s="21"/>
      <c r="AK474" s="21"/>
      <c r="AL474" s="21">
        <v>2</v>
      </c>
      <c r="AM474" s="21">
        <v>5</v>
      </c>
      <c r="AN474" s="21"/>
      <c r="AO474" s="21"/>
      <c r="AP474" s="21"/>
      <c r="AQ474" s="21"/>
      <c r="AR474" s="21"/>
      <c r="AS474" s="21"/>
      <c r="AT474" s="12" t="str">
        <f>HYPERLINK("http://www.openstreetmap.org/?mlat=33.3516&amp;mlon=44.3229&amp;zoom=12#map=12/33.3516/44.3229","Maplink1")</f>
        <v>Maplink1</v>
      </c>
      <c r="AU474" s="12" t="str">
        <f>HYPERLINK("https://www.google.iq/maps/search/+33.3516,44.3229/@33.3516,44.3229,14z?hl=en","Maplink2")</f>
        <v>Maplink2</v>
      </c>
      <c r="AV474" s="12" t="str">
        <f>HYPERLINK("http://www.bing.com/maps/?lvl=14&amp;sty=h&amp;cp=33.3516~44.3229&amp;sp=point.33.3516_44.3229","Maplink3")</f>
        <v>Maplink3</v>
      </c>
    </row>
    <row r="475" spans="1:48" ht="15" customHeight="1" x14ac:dyDescent="0.25">
      <c r="A475" s="19">
        <v>24935</v>
      </c>
      <c r="B475" s="20" t="s">
        <v>11</v>
      </c>
      <c r="C475" s="20" t="s">
        <v>945</v>
      </c>
      <c r="D475" s="20" t="s">
        <v>966</v>
      </c>
      <c r="E475" s="20" t="s">
        <v>967</v>
      </c>
      <c r="F475" s="20">
        <v>33.358375004599999</v>
      </c>
      <c r="G475" s="20">
        <v>44.309001696300001</v>
      </c>
      <c r="H475" s="22">
        <v>4</v>
      </c>
      <c r="I475" s="22">
        <v>24</v>
      </c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>
        <v>4</v>
      </c>
      <c r="W475" s="21"/>
      <c r="X475" s="21"/>
      <c r="Y475" s="21"/>
      <c r="Z475" s="21"/>
      <c r="AA475" s="21"/>
      <c r="AB475" s="21"/>
      <c r="AC475" s="21">
        <v>2</v>
      </c>
      <c r="AD475" s="21"/>
      <c r="AE475" s="21"/>
      <c r="AF475" s="21"/>
      <c r="AG475" s="21"/>
      <c r="AH475" s="21">
        <v>2</v>
      </c>
      <c r="AI475" s="21"/>
      <c r="AJ475" s="21"/>
      <c r="AK475" s="21"/>
      <c r="AL475" s="21"/>
      <c r="AM475" s="21">
        <v>4</v>
      </c>
      <c r="AN475" s="21"/>
      <c r="AO475" s="21"/>
      <c r="AP475" s="21"/>
      <c r="AQ475" s="21"/>
      <c r="AR475" s="21"/>
      <c r="AS475" s="21"/>
      <c r="AT475" s="12" t="str">
        <f>HYPERLINK("http://www.openstreetmap.org/?mlat=33.3584&amp;mlon=44.309&amp;zoom=12#map=12/33.3584/44.309","Maplink1")</f>
        <v>Maplink1</v>
      </c>
      <c r="AU475" s="12" t="str">
        <f>HYPERLINK("https://www.google.iq/maps/search/+33.3584,44.309/@33.3584,44.309,14z?hl=en","Maplink2")</f>
        <v>Maplink2</v>
      </c>
      <c r="AV475" s="12" t="str">
        <f>HYPERLINK("http://www.bing.com/maps/?lvl=14&amp;sty=h&amp;cp=33.3584~44.309&amp;sp=point.33.3584_44.309","Maplink3")</f>
        <v>Maplink3</v>
      </c>
    </row>
    <row r="476" spans="1:48" ht="15" customHeight="1" x14ac:dyDescent="0.25">
      <c r="A476" s="19">
        <v>24963</v>
      </c>
      <c r="B476" s="20" t="s">
        <v>11</v>
      </c>
      <c r="C476" s="20" t="s">
        <v>945</v>
      </c>
      <c r="D476" s="20" t="s">
        <v>968</v>
      </c>
      <c r="E476" s="20" t="s">
        <v>969</v>
      </c>
      <c r="F476" s="20">
        <v>33.361579079999998</v>
      </c>
      <c r="G476" s="20">
        <v>44.333432729999998</v>
      </c>
      <c r="H476" s="22">
        <v>5</v>
      </c>
      <c r="I476" s="22">
        <v>30</v>
      </c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>
        <v>5</v>
      </c>
      <c r="W476" s="21"/>
      <c r="X476" s="21"/>
      <c r="Y476" s="21"/>
      <c r="Z476" s="21"/>
      <c r="AA476" s="21"/>
      <c r="AB476" s="21"/>
      <c r="AC476" s="21">
        <v>2</v>
      </c>
      <c r="AD476" s="21"/>
      <c r="AE476" s="21"/>
      <c r="AF476" s="21"/>
      <c r="AG476" s="21"/>
      <c r="AH476" s="21">
        <v>3</v>
      </c>
      <c r="AI476" s="21"/>
      <c r="AJ476" s="21"/>
      <c r="AK476" s="21"/>
      <c r="AL476" s="21"/>
      <c r="AM476" s="21">
        <v>2</v>
      </c>
      <c r="AN476" s="21">
        <v>3</v>
      </c>
      <c r="AO476" s="21"/>
      <c r="AP476" s="21"/>
      <c r="AQ476" s="21"/>
      <c r="AR476" s="21"/>
      <c r="AS476" s="21"/>
      <c r="AT476" s="12" t="str">
        <f>HYPERLINK("http://www.openstreetmap.org/?mlat=33.3616&amp;mlon=44.3334&amp;zoom=12#map=12/33.3616/44.3334","Maplink1")</f>
        <v>Maplink1</v>
      </c>
      <c r="AU476" s="12" t="str">
        <f>HYPERLINK("https://www.google.iq/maps/search/+33.3616,44.3334/@33.3616,44.3334,14z?hl=en","Maplink2")</f>
        <v>Maplink2</v>
      </c>
      <c r="AV476" s="12" t="str">
        <f>HYPERLINK("http://www.bing.com/maps/?lvl=14&amp;sty=h&amp;cp=33.3616~44.3334&amp;sp=point.33.3616_44.3334","Maplink3")</f>
        <v>Maplink3</v>
      </c>
    </row>
    <row r="477" spans="1:48" ht="15" customHeight="1" x14ac:dyDescent="0.25">
      <c r="A477" s="19">
        <v>24752</v>
      </c>
      <c r="B477" s="20" t="s">
        <v>11</v>
      </c>
      <c r="C477" s="20" t="s">
        <v>945</v>
      </c>
      <c r="D477" s="20" t="s">
        <v>970</v>
      </c>
      <c r="E477" s="20" t="s">
        <v>971</v>
      </c>
      <c r="F477" s="20">
        <v>33.35678266</v>
      </c>
      <c r="G477" s="20">
        <v>44.306885280000003</v>
      </c>
      <c r="H477" s="22">
        <v>10</v>
      </c>
      <c r="I477" s="22">
        <v>60</v>
      </c>
      <c r="J477" s="21">
        <v>2</v>
      </c>
      <c r="K477" s="21"/>
      <c r="L477" s="21"/>
      <c r="M477" s="21"/>
      <c r="N477" s="21"/>
      <c r="O477" s="21">
        <v>6</v>
      </c>
      <c r="P477" s="21"/>
      <c r="Q477" s="21"/>
      <c r="R477" s="21"/>
      <c r="S477" s="21"/>
      <c r="T477" s="21"/>
      <c r="U477" s="21"/>
      <c r="V477" s="21">
        <v>2</v>
      </c>
      <c r="W477" s="21"/>
      <c r="X477" s="21"/>
      <c r="Y477" s="21"/>
      <c r="Z477" s="21"/>
      <c r="AA477" s="21"/>
      <c r="AB477" s="21"/>
      <c r="AC477" s="21">
        <v>4</v>
      </c>
      <c r="AD477" s="21"/>
      <c r="AE477" s="21"/>
      <c r="AF477" s="21"/>
      <c r="AG477" s="21"/>
      <c r="AH477" s="21">
        <v>6</v>
      </c>
      <c r="AI477" s="21"/>
      <c r="AJ477" s="21"/>
      <c r="AK477" s="21"/>
      <c r="AL477" s="21"/>
      <c r="AM477" s="21">
        <v>6</v>
      </c>
      <c r="AN477" s="21"/>
      <c r="AO477" s="21">
        <v>4</v>
      </c>
      <c r="AP477" s="21"/>
      <c r="AQ477" s="21"/>
      <c r="AR477" s="21"/>
      <c r="AS477" s="21"/>
      <c r="AT477" s="12" t="str">
        <f>HYPERLINK("http://www.openstreetmap.org/?mlat=33.3568&amp;mlon=44.3069&amp;zoom=12#map=12/33.3568/44.3069","Maplink1")</f>
        <v>Maplink1</v>
      </c>
      <c r="AU477" s="12" t="str">
        <f>HYPERLINK("https://www.google.iq/maps/search/+33.3568,44.3069/@33.3568,44.3069,14z?hl=en","Maplink2")</f>
        <v>Maplink2</v>
      </c>
      <c r="AV477" s="12" t="str">
        <f>HYPERLINK("http://www.bing.com/maps/?lvl=14&amp;sty=h&amp;cp=33.3568~44.3069&amp;sp=point.33.3568_44.3069","Maplink3")</f>
        <v>Maplink3</v>
      </c>
    </row>
    <row r="478" spans="1:48" ht="15" customHeight="1" x14ac:dyDescent="0.25">
      <c r="A478" s="19">
        <v>24936</v>
      </c>
      <c r="B478" s="20" t="s">
        <v>11</v>
      </c>
      <c r="C478" s="20" t="s">
        <v>945</v>
      </c>
      <c r="D478" s="20" t="s">
        <v>972</v>
      </c>
      <c r="E478" s="20" t="s">
        <v>973</v>
      </c>
      <c r="F478" s="20">
        <v>33.350512160999997</v>
      </c>
      <c r="G478" s="20">
        <v>44.316841431</v>
      </c>
      <c r="H478" s="22">
        <v>5</v>
      </c>
      <c r="I478" s="22">
        <v>30</v>
      </c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>
        <v>5</v>
      </c>
      <c r="W478" s="21"/>
      <c r="X478" s="21"/>
      <c r="Y478" s="21"/>
      <c r="Z478" s="21"/>
      <c r="AA478" s="21"/>
      <c r="AB478" s="21"/>
      <c r="AC478" s="21">
        <v>2</v>
      </c>
      <c r="AD478" s="21"/>
      <c r="AE478" s="21"/>
      <c r="AF478" s="21"/>
      <c r="AG478" s="21"/>
      <c r="AH478" s="21">
        <v>3</v>
      </c>
      <c r="AI478" s="21"/>
      <c r="AJ478" s="21"/>
      <c r="AK478" s="21"/>
      <c r="AL478" s="21"/>
      <c r="AM478" s="21"/>
      <c r="AN478" s="21"/>
      <c r="AO478" s="21">
        <v>3</v>
      </c>
      <c r="AP478" s="21"/>
      <c r="AQ478" s="21"/>
      <c r="AR478" s="21">
        <v>2</v>
      </c>
      <c r="AS478" s="21"/>
      <c r="AT478" s="12" t="str">
        <f>HYPERLINK("http://www.openstreetmap.org/?mlat=33.3505&amp;mlon=44.3168&amp;zoom=12#map=12/33.3505/44.3168","Maplink1")</f>
        <v>Maplink1</v>
      </c>
      <c r="AU478" s="12" t="str">
        <f>HYPERLINK("https://www.google.iq/maps/search/+33.3505,44.3168/@33.3505,44.3168,14z?hl=en","Maplink2")</f>
        <v>Maplink2</v>
      </c>
      <c r="AV478" s="12" t="str">
        <f>HYPERLINK("http://www.bing.com/maps/?lvl=14&amp;sty=h&amp;cp=33.3505~44.3168&amp;sp=point.33.3505_44.3168","Maplink3")</f>
        <v>Maplink3</v>
      </c>
    </row>
    <row r="479" spans="1:48" ht="15" customHeight="1" x14ac:dyDescent="0.25">
      <c r="A479" s="19">
        <v>24732</v>
      </c>
      <c r="B479" s="20" t="s">
        <v>11</v>
      </c>
      <c r="C479" s="20" t="s">
        <v>945</v>
      </c>
      <c r="D479" s="20" t="s">
        <v>974</v>
      </c>
      <c r="E479" s="20" t="s">
        <v>975</v>
      </c>
      <c r="F479" s="20">
        <v>33.356851599999999</v>
      </c>
      <c r="G479" s="20">
        <v>44.324195330000002</v>
      </c>
      <c r="H479" s="22">
        <v>8</v>
      </c>
      <c r="I479" s="22">
        <v>48</v>
      </c>
      <c r="J479" s="21"/>
      <c r="K479" s="21">
        <v>2</v>
      </c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>
        <v>4</v>
      </c>
      <c r="W479" s="21"/>
      <c r="X479" s="21">
        <v>2</v>
      </c>
      <c r="Y479" s="21"/>
      <c r="Z479" s="21"/>
      <c r="AA479" s="21"/>
      <c r="AB479" s="21"/>
      <c r="AC479" s="21">
        <v>4</v>
      </c>
      <c r="AD479" s="21"/>
      <c r="AE479" s="21"/>
      <c r="AF479" s="21"/>
      <c r="AG479" s="21"/>
      <c r="AH479" s="21">
        <v>4</v>
      </c>
      <c r="AI479" s="21"/>
      <c r="AJ479" s="21"/>
      <c r="AK479" s="21"/>
      <c r="AL479" s="21">
        <v>2</v>
      </c>
      <c r="AM479" s="21">
        <v>2</v>
      </c>
      <c r="AN479" s="21"/>
      <c r="AO479" s="21"/>
      <c r="AP479" s="21">
        <v>4</v>
      </c>
      <c r="AQ479" s="21"/>
      <c r="AR479" s="21"/>
      <c r="AS479" s="21"/>
      <c r="AT479" s="12" t="str">
        <f>HYPERLINK("http://www.openstreetmap.org/?mlat=33.3569&amp;mlon=44.3242&amp;zoom=12#map=12/33.3569/44.3242","Maplink1")</f>
        <v>Maplink1</v>
      </c>
      <c r="AU479" s="12" t="str">
        <f>HYPERLINK("https://www.google.iq/maps/search/+33.3569,44.3242/@33.3569,44.3242,14z?hl=en","Maplink2")</f>
        <v>Maplink2</v>
      </c>
      <c r="AV479" s="12" t="str">
        <f>HYPERLINK("http://www.bing.com/maps/?lvl=14&amp;sty=h&amp;cp=33.3569~44.3242&amp;sp=point.33.3569_44.3242","Maplink3")</f>
        <v>Maplink3</v>
      </c>
    </row>
    <row r="480" spans="1:48" ht="15" customHeight="1" x14ac:dyDescent="0.25">
      <c r="A480" s="19">
        <v>24937</v>
      </c>
      <c r="B480" s="20" t="s">
        <v>11</v>
      </c>
      <c r="C480" s="20" t="s">
        <v>945</v>
      </c>
      <c r="D480" s="20" t="s">
        <v>976</v>
      </c>
      <c r="E480" s="20" t="s">
        <v>977</v>
      </c>
      <c r="F480" s="20">
        <v>33.36</v>
      </c>
      <c r="G480" s="20">
        <v>44.311199999999999</v>
      </c>
      <c r="H480" s="22">
        <v>9</v>
      </c>
      <c r="I480" s="22">
        <v>54</v>
      </c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>
        <v>7</v>
      </c>
      <c r="W480" s="21"/>
      <c r="X480" s="21">
        <v>2</v>
      </c>
      <c r="Y480" s="21"/>
      <c r="Z480" s="21"/>
      <c r="AA480" s="21"/>
      <c r="AB480" s="21"/>
      <c r="AC480" s="21">
        <v>3</v>
      </c>
      <c r="AD480" s="21"/>
      <c r="AE480" s="21"/>
      <c r="AF480" s="21"/>
      <c r="AG480" s="21"/>
      <c r="AH480" s="21">
        <v>6</v>
      </c>
      <c r="AI480" s="21"/>
      <c r="AJ480" s="21"/>
      <c r="AK480" s="21"/>
      <c r="AL480" s="21"/>
      <c r="AM480" s="21">
        <v>7</v>
      </c>
      <c r="AN480" s="21"/>
      <c r="AO480" s="21">
        <v>2</v>
      </c>
      <c r="AP480" s="21"/>
      <c r="AQ480" s="21"/>
      <c r="AR480" s="21"/>
      <c r="AS480" s="21"/>
      <c r="AT480" s="12" t="str">
        <f>HYPERLINK("http://www.openstreetmap.org/?mlat=33.36&amp;mlon=44.3112&amp;zoom=12#map=12/33.36/44.3112","Maplink1")</f>
        <v>Maplink1</v>
      </c>
      <c r="AU480" s="12" t="str">
        <f>HYPERLINK("https://www.google.iq/maps/search/+33.36,44.3112/@33.36,44.3112,14z?hl=en","Maplink2")</f>
        <v>Maplink2</v>
      </c>
      <c r="AV480" s="12" t="str">
        <f>HYPERLINK("http://www.bing.com/maps/?lvl=14&amp;sty=h&amp;cp=33.36~44.3112&amp;sp=point.33.36_44.3112","Maplink3")</f>
        <v>Maplink3</v>
      </c>
    </row>
    <row r="481" spans="1:48" ht="15" customHeight="1" x14ac:dyDescent="0.25">
      <c r="A481" s="19">
        <v>24733</v>
      </c>
      <c r="B481" s="20" t="s">
        <v>11</v>
      </c>
      <c r="C481" s="20" t="s">
        <v>945</v>
      </c>
      <c r="D481" s="20" t="s">
        <v>978</v>
      </c>
      <c r="E481" s="20" t="s">
        <v>979</v>
      </c>
      <c r="F481" s="20">
        <v>33.361962736499997</v>
      </c>
      <c r="G481" s="20">
        <v>44.3147829571</v>
      </c>
      <c r="H481" s="22">
        <v>12</v>
      </c>
      <c r="I481" s="22">
        <v>72</v>
      </c>
      <c r="J481" s="21"/>
      <c r="K481" s="21"/>
      <c r="L481" s="21"/>
      <c r="M481" s="21"/>
      <c r="N481" s="21"/>
      <c r="O481" s="21">
        <v>3</v>
      </c>
      <c r="P481" s="21"/>
      <c r="Q481" s="21"/>
      <c r="R481" s="21">
        <v>2</v>
      </c>
      <c r="S481" s="21"/>
      <c r="T481" s="21"/>
      <c r="U481" s="21"/>
      <c r="V481" s="21">
        <v>4</v>
      </c>
      <c r="W481" s="21"/>
      <c r="X481" s="21">
        <v>3</v>
      </c>
      <c r="Y481" s="21"/>
      <c r="Z481" s="21"/>
      <c r="AA481" s="21"/>
      <c r="AB481" s="21"/>
      <c r="AC481" s="21">
        <v>5</v>
      </c>
      <c r="AD481" s="21"/>
      <c r="AE481" s="21"/>
      <c r="AF481" s="21"/>
      <c r="AG481" s="21"/>
      <c r="AH481" s="21">
        <v>7</v>
      </c>
      <c r="AI481" s="21"/>
      <c r="AJ481" s="21"/>
      <c r="AK481" s="21"/>
      <c r="AL481" s="21">
        <v>3</v>
      </c>
      <c r="AM481" s="21">
        <v>3</v>
      </c>
      <c r="AN481" s="21"/>
      <c r="AO481" s="21">
        <v>2</v>
      </c>
      <c r="AP481" s="21"/>
      <c r="AQ481" s="21"/>
      <c r="AR481" s="21">
        <v>4</v>
      </c>
      <c r="AS481" s="21"/>
      <c r="AT481" s="12" t="str">
        <f>HYPERLINK("http://www.openstreetmap.org/?mlat=33.362&amp;mlon=44.3148&amp;zoom=12#map=12/33.362/44.3148","Maplink1")</f>
        <v>Maplink1</v>
      </c>
      <c r="AU481" s="12" t="str">
        <f>HYPERLINK("https://www.google.iq/maps/search/+33.362,44.3148/@33.362,44.3148,14z?hl=en","Maplink2")</f>
        <v>Maplink2</v>
      </c>
      <c r="AV481" s="12" t="str">
        <f>HYPERLINK("http://www.bing.com/maps/?lvl=14&amp;sty=h&amp;cp=33.362~44.3148&amp;sp=point.33.362_44.3148","Maplink3")</f>
        <v>Maplink3</v>
      </c>
    </row>
    <row r="482" spans="1:48" ht="15" customHeight="1" x14ac:dyDescent="0.25">
      <c r="A482" s="19">
        <v>25198</v>
      </c>
      <c r="B482" s="20" t="s">
        <v>11</v>
      </c>
      <c r="C482" s="20" t="s">
        <v>945</v>
      </c>
      <c r="D482" s="20" t="s">
        <v>980</v>
      </c>
      <c r="E482" s="20" t="s">
        <v>981</v>
      </c>
      <c r="F482" s="20">
        <v>33.51876395</v>
      </c>
      <c r="G482" s="20">
        <v>44.233166760000003</v>
      </c>
      <c r="H482" s="22">
        <v>11</v>
      </c>
      <c r="I482" s="22">
        <v>66</v>
      </c>
      <c r="J482" s="21">
        <v>11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>
        <v>4</v>
      </c>
      <c r="AD482" s="21"/>
      <c r="AE482" s="21"/>
      <c r="AF482" s="21"/>
      <c r="AG482" s="21"/>
      <c r="AH482" s="21">
        <v>7</v>
      </c>
      <c r="AI482" s="21"/>
      <c r="AJ482" s="21"/>
      <c r="AK482" s="21"/>
      <c r="AL482" s="21"/>
      <c r="AM482" s="21"/>
      <c r="AN482" s="21">
        <v>4</v>
      </c>
      <c r="AO482" s="21">
        <v>6</v>
      </c>
      <c r="AP482" s="21">
        <v>1</v>
      </c>
      <c r="AQ482" s="21"/>
      <c r="AR482" s="21"/>
      <c r="AS482" s="21"/>
      <c r="AT482" s="12" t="str">
        <f>HYPERLINK("http://www.openstreetmap.org/?mlat=33.5188&amp;mlon=44.2332&amp;zoom=12#map=12/33.5188/44.2332","Maplink1")</f>
        <v>Maplink1</v>
      </c>
      <c r="AU482" s="12" t="str">
        <f>HYPERLINK("https://www.google.iq/maps/search/+33.5188,44.2332/@33.5188,44.2332,14z?hl=en","Maplink2")</f>
        <v>Maplink2</v>
      </c>
      <c r="AV482" s="12" t="str">
        <f>HYPERLINK("http://www.bing.com/maps/?lvl=14&amp;sty=h&amp;cp=33.5188~44.2332&amp;sp=point.33.5188_44.2332","Maplink3")</f>
        <v>Maplink3</v>
      </c>
    </row>
    <row r="483" spans="1:48" ht="15" customHeight="1" x14ac:dyDescent="0.25">
      <c r="A483" s="19">
        <v>25718</v>
      </c>
      <c r="B483" s="20" t="s">
        <v>11</v>
      </c>
      <c r="C483" s="20" t="s">
        <v>945</v>
      </c>
      <c r="D483" s="20" t="s">
        <v>982</v>
      </c>
      <c r="E483" s="20" t="s">
        <v>983</v>
      </c>
      <c r="F483" s="20">
        <v>33.343447269999999</v>
      </c>
      <c r="G483" s="20">
        <v>44.338840509999997</v>
      </c>
      <c r="H483" s="22">
        <v>15</v>
      </c>
      <c r="I483" s="22">
        <v>90</v>
      </c>
      <c r="J483" s="21">
        <v>7</v>
      </c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>
        <v>5</v>
      </c>
      <c r="W483" s="21"/>
      <c r="X483" s="21">
        <v>3</v>
      </c>
      <c r="Y483" s="21"/>
      <c r="Z483" s="21"/>
      <c r="AA483" s="21"/>
      <c r="AB483" s="21"/>
      <c r="AC483" s="21">
        <v>5</v>
      </c>
      <c r="AD483" s="21"/>
      <c r="AE483" s="21"/>
      <c r="AF483" s="21"/>
      <c r="AG483" s="21"/>
      <c r="AH483" s="21">
        <v>10</v>
      </c>
      <c r="AI483" s="21"/>
      <c r="AJ483" s="21"/>
      <c r="AK483" s="21"/>
      <c r="AL483" s="21">
        <v>2</v>
      </c>
      <c r="AM483" s="21">
        <v>7</v>
      </c>
      <c r="AN483" s="21"/>
      <c r="AO483" s="21">
        <v>3</v>
      </c>
      <c r="AP483" s="21"/>
      <c r="AQ483" s="21"/>
      <c r="AR483" s="21">
        <v>3</v>
      </c>
      <c r="AS483" s="21"/>
      <c r="AT483" s="12" t="str">
        <f>HYPERLINK("http://www.openstreetmap.org/?mlat=33.3434&amp;mlon=44.3388&amp;zoom=12#map=12/33.3434/44.3388","Maplink1")</f>
        <v>Maplink1</v>
      </c>
      <c r="AU483" s="12" t="str">
        <f>HYPERLINK("https://www.google.iq/maps/search/+33.3434,44.3388/@33.3434,44.3388,14z?hl=en","Maplink2")</f>
        <v>Maplink2</v>
      </c>
      <c r="AV483" s="12" t="str">
        <f>HYPERLINK("http://www.bing.com/maps/?lvl=14&amp;sty=h&amp;cp=33.3434~44.3388&amp;sp=point.33.3434_44.3388","Maplink3")</f>
        <v>Maplink3</v>
      </c>
    </row>
    <row r="484" spans="1:48" ht="15" customHeight="1" x14ac:dyDescent="0.25">
      <c r="A484" s="19">
        <v>25717</v>
      </c>
      <c r="B484" s="20" t="s">
        <v>11</v>
      </c>
      <c r="C484" s="20" t="s">
        <v>945</v>
      </c>
      <c r="D484" s="20" t="s">
        <v>984</v>
      </c>
      <c r="E484" s="20" t="s">
        <v>985</v>
      </c>
      <c r="F484" s="20">
        <v>33.347910419999998</v>
      </c>
      <c r="G484" s="20">
        <v>44.336066520000003</v>
      </c>
      <c r="H484" s="22">
        <v>12</v>
      </c>
      <c r="I484" s="22">
        <v>72</v>
      </c>
      <c r="J484" s="21">
        <v>8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>
        <v>4</v>
      </c>
      <c r="W484" s="21"/>
      <c r="X484" s="21"/>
      <c r="Y484" s="21"/>
      <c r="Z484" s="21"/>
      <c r="AA484" s="21"/>
      <c r="AB484" s="21"/>
      <c r="AC484" s="21">
        <v>3</v>
      </c>
      <c r="AD484" s="21"/>
      <c r="AE484" s="21"/>
      <c r="AF484" s="21"/>
      <c r="AG484" s="21"/>
      <c r="AH484" s="21">
        <v>9</v>
      </c>
      <c r="AI484" s="21"/>
      <c r="AJ484" s="21"/>
      <c r="AK484" s="21"/>
      <c r="AL484" s="21">
        <v>5</v>
      </c>
      <c r="AM484" s="21">
        <v>3</v>
      </c>
      <c r="AN484" s="21"/>
      <c r="AO484" s="21">
        <v>1</v>
      </c>
      <c r="AP484" s="21"/>
      <c r="AQ484" s="21"/>
      <c r="AR484" s="21">
        <v>3</v>
      </c>
      <c r="AS484" s="21"/>
      <c r="AT484" s="12" t="str">
        <f>HYPERLINK("http://www.openstreetmap.org/?mlat=33.3479&amp;mlon=44.3361&amp;zoom=12#map=12/33.3479/44.3361","Maplink1")</f>
        <v>Maplink1</v>
      </c>
      <c r="AU484" s="12" t="str">
        <f>HYPERLINK("https://www.google.iq/maps/search/+33.3479,44.3361/@33.3479,44.3361,14z?hl=en","Maplink2")</f>
        <v>Maplink2</v>
      </c>
      <c r="AV484" s="12" t="str">
        <f>HYPERLINK("http://www.bing.com/maps/?lvl=14&amp;sty=h&amp;cp=33.3479~44.3361&amp;sp=point.33.3479_44.3361","Maplink3")</f>
        <v>Maplink3</v>
      </c>
    </row>
    <row r="485" spans="1:48" ht="15" customHeight="1" x14ac:dyDescent="0.25">
      <c r="A485" s="19">
        <v>23579</v>
      </c>
      <c r="B485" s="20" t="s">
        <v>11</v>
      </c>
      <c r="C485" s="20" t="s">
        <v>945</v>
      </c>
      <c r="D485" s="20" t="s">
        <v>986</v>
      </c>
      <c r="E485" s="20" t="s">
        <v>987</v>
      </c>
      <c r="F485" s="20">
        <v>33.345901320000003</v>
      </c>
      <c r="G485" s="20">
        <v>44.335772730000002</v>
      </c>
      <c r="H485" s="22">
        <v>21</v>
      </c>
      <c r="I485" s="22">
        <v>126</v>
      </c>
      <c r="J485" s="21">
        <v>10</v>
      </c>
      <c r="K485" s="21"/>
      <c r="L485" s="21"/>
      <c r="M485" s="21"/>
      <c r="N485" s="21"/>
      <c r="O485" s="21">
        <v>2</v>
      </c>
      <c r="P485" s="21"/>
      <c r="Q485" s="21"/>
      <c r="R485" s="21"/>
      <c r="S485" s="21"/>
      <c r="T485" s="21"/>
      <c r="U485" s="21"/>
      <c r="V485" s="21"/>
      <c r="W485" s="21"/>
      <c r="X485" s="21">
        <v>9</v>
      </c>
      <c r="Y485" s="21"/>
      <c r="Z485" s="21"/>
      <c r="AA485" s="21"/>
      <c r="AB485" s="21"/>
      <c r="AC485" s="21">
        <v>12</v>
      </c>
      <c r="AD485" s="21"/>
      <c r="AE485" s="21"/>
      <c r="AF485" s="21"/>
      <c r="AG485" s="21"/>
      <c r="AH485" s="21">
        <v>9</v>
      </c>
      <c r="AI485" s="21"/>
      <c r="AJ485" s="21"/>
      <c r="AK485" s="21"/>
      <c r="AL485" s="21"/>
      <c r="AM485" s="21">
        <v>2</v>
      </c>
      <c r="AN485" s="21">
        <v>3</v>
      </c>
      <c r="AO485" s="21">
        <v>6</v>
      </c>
      <c r="AP485" s="21">
        <v>10</v>
      </c>
      <c r="AQ485" s="21"/>
      <c r="AR485" s="21"/>
      <c r="AS485" s="21"/>
      <c r="AT485" s="12" t="str">
        <f>HYPERLINK("http://www.openstreetmap.org/?mlat=33.3459&amp;mlon=44.3358&amp;zoom=12#map=12/33.3459/44.3358","Maplink1")</f>
        <v>Maplink1</v>
      </c>
      <c r="AU485" s="12" t="str">
        <f>HYPERLINK("https://www.google.iq/maps/search/+33.3459,44.3358/@33.3459,44.3358,14z?hl=en","Maplink2")</f>
        <v>Maplink2</v>
      </c>
      <c r="AV485" s="12" t="str">
        <f>HYPERLINK("http://www.bing.com/maps/?lvl=14&amp;sty=h&amp;cp=33.3459~44.3358&amp;sp=point.33.3459_44.3358","Maplink3")</f>
        <v>Maplink3</v>
      </c>
    </row>
    <row r="486" spans="1:48" ht="15" customHeight="1" x14ac:dyDescent="0.25">
      <c r="A486" s="19">
        <v>25719</v>
      </c>
      <c r="B486" s="20" t="s">
        <v>11</v>
      </c>
      <c r="C486" s="20" t="s">
        <v>945</v>
      </c>
      <c r="D486" s="20" t="s">
        <v>988</v>
      </c>
      <c r="E486" s="20" t="s">
        <v>989</v>
      </c>
      <c r="F486" s="20">
        <v>33.343733960000002</v>
      </c>
      <c r="G486" s="20">
        <v>44.333073480000003</v>
      </c>
      <c r="H486" s="22">
        <v>11</v>
      </c>
      <c r="I486" s="22">
        <v>66</v>
      </c>
      <c r="J486" s="21">
        <v>10</v>
      </c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>
        <v>1</v>
      </c>
      <c r="W486" s="21"/>
      <c r="X486" s="21"/>
      <c r="Y486" s="21"/>
      <c r="Z486" s="21"/>
      <c r="AA486" s="21"/>
      <c r="AB486" s="21"/>
      <c r="AC486" s="21">
        <v>3</v>
      </c>
      <c r="AD486" s="21"/>
      <c r="AE486" s="21"/>
      <c r="AF486" s="21"/>
      <c r="AG486" s="21"/>
      <c r="AH486" s="21">
        <v>8</v>
      </c>
      <c r="AI486" s="21"/>
      <c r="AJ486" s="21"/>
      <c r="AK486" s="21"/>
      <c r="AL486" s="21"/>
      <c r="AM486" s="21">
        <v>6</v>
      </c>
      <c r="AN486" s="21">
        <v>3</v>
      </c>
      <c r="AO486" s="21"/>
      <c r="AP486" s="21">
        <v>2</v>
      </c>
      <c r="AQ486" s="21"/>
      <c r="AR486" s="21"/>
      <c r="AS486" s="21"/>
      <c r="AT486" s="12" t="str">
        <f>HYPERLINK("http://www.openstreetmap.org/?mlat=33.3437&amp;mlon=44.3331&amp;zoom=12#map=12/33.3437/44.3331","Maplink1")</f>
        <v>Maplink1</v>
      </c>
      <c r="AU486" s="12" t="str">
        <f>HYPERLINK("https://www.google.iq/maps/search/+33.3437,44.3331/@33.3437,44.3331,14z?hl=en","Maplink2")</f>
        <v>Maplink2</v>
      </c>
      <c r="AV486" s="12" t="str">
        <f>HYPERLINK("http://www.bing.com/maps/?lvl=14&amp;sty=h&amp;cp=33.3437~44.3331&amp;sp=point.33.3437_44.3331","Maplink3")</f>
        <v>Maplink3</v>
      </c>
    </row>
    <row r="487" spans="1:48" ht="15" customHeight="1" x14ac:dyDescent="0.25">
      <c r="A487" s="19">
        <v>25200</v>
      </c>
      <c r="B487" s="20" t="s">
        <v>11</v>
      </c>
      <c r="C487" s="20" t="s">
        <v>945</v>
      </c>
      <c r="D487" s="20" t="s">
        <v>990</v>
      </c>
      <c r="E487" s="20" t="s">
        <v>991</v>
      </c>
      <c r="F487" s="20">
        <v>33.352339999999998</v>
      </c>
      <c r="G487" s="20">
        <v>44.33587</v>
      </c>
      <c r="H487" s="22">
        <v>16</v>
      </c>
      <c r="I487" s="22">
        <v>96</v>
      </c>
      <c r="J487" s="21">
        <v>9</v>
      </c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>
        <v>7</v>
      </c>
      <c r="W487" s="21"/>
      <c r="X487" s="21"/>
      <c r="Y487" s="21"/>
      <c r="Z487" s="21"/>
      <c r="AA487" s="21"/>
      <c r="AB487" s="21"/>
      <c r="AC487" s="21">
        <v>4</v>
      </c>
      <c r="AD487" s="21"/>
      <c r="AE487" s="21"/>
      <c r="AF487" s="21"/>
      <c r="AG487" s="21"/>
      <c r="AH487" s="21">
        <v>12</v>
      </c>
      <c r="AI487" s="21"/>
      <c r="AJ487" s="21"/>
      <c r="AK487" s="21"/>
      <c r="AL487" s="21">
        <v>9</v>
      </c>
      <c r="AM487" s="21"/>
      <c r="AN487" s="21">
        <v>7</v>
      </c>
      <c r="AO487" s="21"/>
      <c r="AP487" s="21"/>
      <c r="AQ487" s="21"/>
      <c r="AR487" s="21"/>
      <c r="AS487" s="21"/>
      <c r="AT487" s="12" t="str">
        <f>HYPERLINK("http://www.openstreetmap.org/?mlat=33.3523&amp;mlon=44.3359&amp;zoom=12#map=12/33.3523/44.3359","Maplink1")</f>
        <v>Maplink1</v>
      </c>
      <c r="AU487" s="12" t="str">
        <f>HYPERLINK("https://www.google.iq/maps/search/+33.3523,44.3359/@33.3523,44.3359,14z?hl=en","Maplink2")</f>
        <v>Maplink2</v>
      </c>
      <c r="AV487" s="12" t="str">
        <f>HYPERLINK("http://www.bing.com/maps/?lvl=14&amp;sty=h&amp;cp=33.3523~44.3359&amp;sp=point.33.3523_44.3359","Maplink3")</f>
        <v>Maplink3</v>
      </c>
    </row>
    <row r="488" spans="1:48" ht="15" customHeight="1" x14ac:dyDescent="0.25">
      <c r="A488" s="19">
        <v>25199</v>
      </c>
      <c r="B488" s="20" t="s">
        <v>11</v>
      </c>
      <c r="C488" s="20" t="s">
        <v>945</v>
      </c>
      <c r="D488" s="20" t="s">
        <v>992</v>
      </c>
      <c r="E488" s="20" t="s">
        <v>993</v>
      </c>
      <c r="F488" s="20">
        <v>33.506620089999998</v>
      </c>
      <c r="G488" s="20">
        <v>44.240658109999998</v>
      </c>
      <c r="H488" s="22">
        <v>10</v>
      </c>
      <c r="I488" s="22">
        <v>60</v>
      </c>
      <c r="J488" s="21">
        <v>10</v>
      </c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>
        <v>4</v>
      </c>
      <c r="AD488" s="21"/>
      <c r="AE488" s="21"/>
      <c r="AF488" s="21"/>
      <c r="AG488" s="21"/>
      <c r="AH488" s="21">
        <v>6</v>
      </c>
      <c r="AI488" s="21"/>
      <c r="AJ488" s="21"/>
      <c r="AK488" s="21"/>
      <c r="AL488" s="21"/>
      <c r="AM488" s="21"/>
      <c r="AN488" s="21"/>
      <c r="AO488" s="21">
        <v>5</v>
      </c>
      <c r="AP488" s="21">
        <v>5</v>
      </c>
      <c r="AQ488" s="21"/>
      <c r="AR488" s="21"/>
      <c r="AS488" s="21"/>
      <c r="AT488" s="12" t="str">
        <f>HYPERLINK("http://www.openstreetmap.org/?mlat=33.5066&amp;mlon=44.2407&amp;zoom=12#map=12/33.5066/44.2407","Maplink1")</f>
        <v>Maplink1</v>
      </c>
      <c r="AU488" s="12" t="str">
        <f>HYPERLINK("https://www.google.iq/maps/search/+33.5066,44.2407/@33.5066,44.2407,14z?hl=en","Maplink2")</f>
        <v>Maplink2</v>
      </c>
      <c r="AV488" s="12" t="str">
        <f>HYPERLINK("http://www.bing.com/maps/?lvl=14&amp;sty=h&amp;cp=33.5066~44.2407&amp;sp=point.33.5066_44.2407","Maplink3")</f>
        <v>Maplink3</v>
      </c>
    </row>
    <row r="489" spans="1:48" ht="15" customHeight="1" x14ac:dyDescent="0.25">
      <c r="A489" s="19">
        <v>27249</v>
      </c>
      <c r="B489" s="20" t="s">
        <v>11</v>
      </c>
      <c r="C489" s="20" t="s">
        <v>945</v>
      </c>
      <c r="D489" s="20" t="s">
        <v>994</v>
      </c>
      <c r="E489" s="20" t="s">
        <v>995</v>
      </c>
      <c r="F489" s="20">
        <v>33.5574938257</v>
      </c>
      <c r="G489" s="20">
        <v>44.188521102400003</v>
      </c>
      <c r="H489" s="22">
        <v>10</v>
      </c>
      <c r="I489" s="22">
        <v>60</v>
      </c>
      <c r="J489" s="21">
        <v>6</v>
      </c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>
        <v>4</v>
      </c>
      <c r="Y489" s="21"/>
      <c r="Z489" s="21"/>
      <c r="AA489" s="21"/>
      <c r="AB489" s="21"/>
      <c r="AC489" s="21">
        <v>5</v>
      </c>
      <c r="AD489" s="21"/>
      <c r="AE489" s="21"/>
      <c r="AF489" s="21"/>
      <c r="AG489" s="21"/>
      <c r="AH489" s="21">
        <v>5</v>
      </c>
      <c r="AI489" s="21"/>
      <c r="AJ489" s="21"/>
      <c r="AK489" s="21"/>
      <c r="AL489" s="21"/>
      <c r="AM489" s="21"/>
      <c r="AN489" s="21"/>
      <c r="AO489" s="21">
        <v>4</v>
      </c>
      <c r="AP489" s="21">
        <v>4</v>
      </c>
      <c r="AQ489" s="21">
        <v>2</v>
      </c>
      <c r="AR489" s="21"/>
      <c r="AS489" s="21"/>
      <c r="AT489" s="12" t="str">
        <f>HYPERLINK("http://www.openstreetmap.org/?mlat=33.5575&amp;mlon=44.1885&amp;zoom=12#map=12/33.5575/44.1885","Maplink1")</f>
        <v>Maplink1</v>
      </c>
      <c r="AU489" s="12" t="str">
        <f>HYPERLINK("https://www.google.iq/maps/search/+33.5575,44.1885/@33.5575,44.1885,14z?hl=en","Maplink2")</f>
        <v>Maplink2</v>
      </c>
      <c r="AV489" s="12" t="str">
        <f>HYPERLINK("http://www.bing.com/maps/?lvl=14&amp;sty=h&amp;cp=33.5575~44.1885&amp;sp=point.33.5575_44.1885","Maplink3")</f>
        <v>Maplink3</v>
      </c>
    </row>
    <row r="490" spans="1:48" ht="15" customHeight="1" x14ac:dyDescent="0.25">
      <c r="A490" s="19">
        <v>27309</v>
      </c>
      <c r="B490" s="20" t="s">
        <v>11</v>
      </c>
      <c r="C490" s="20" t="s">
        <v>945</v>
      </c>
      <c r="D490" s="20" t="s">
        <v>996</v>
      </c>
      <c r="E490" s="20" t="s">
        <v>997</v>
      </c>
      <c r="F490" s="20">
        <v>33.461199999999998</v>
      </c>
      <c r="G490" s="20">
        <v>44.2301</v>
      </c>
      <c r="H490" s="22">
        <v>10</v>
      </c>
      <c r="I490" s="22">
        <v>60</v>
      </c>
      <c r="J490" s="21">
        <v>8</v>
      </c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>
        <v>2</v>
      </c>
      <c r="Y490" s="21"/>
      <c r="Z490" s="21"/>
      <c r="AA490" s="21"/>
      <c r="AB490" s="21"/>
      <c r="AC490" s="21">
        <v>10</v>
      </c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>
        <v>4</v>
      </c>
      <c r="AP490" s="21">
        <v>4</v>
      </c>
      <c r="AQ490" s="21">
        <v>2</v>
      </c>
      <c r="AR490" s="21"/>
      <c r="AS490" s="21"/>
      <c r="AT490" s="12" t="str">
        <f>HYPERLINK("http://www.openstreetmap.org/?mlat=33.4612&amp;mlon=44.2301&amp;zoom=12#map=12/33.4612/44.2301","Maplink1")</f>
        <v>Maplink1</v>
      </c>
      <c r="AU490" s="12" t="str">
        <f>HYPERLINK("https://www.google.iq/maps/search/+33.4612,44.2301/@33.4612,44.2301,14z?hl=en","Maplink2")</f>
        <v>Maplink2</v>
      </c>
      <c r="AV490" s="12" t="str">
        <f>HYPERLINK("http://www.bing.com/maps/?lvl=14&amp;sty=h&amp;cp=33.4612~44.2301&amp;sp=point.33.4612_44.2301","Maplink3")</f>
        <v>Maplink3</v>
      </c>
    </row>
    <row r="491" spans="1:48" ht="15" customHeight="1" x14ac:dyDescent="0.25">
      <c r="A491" s="19">
        <v>24501</v>
      </c>
      <c r="B491" s="20" t="s">
        <v>11</v>
      </c>
      <c r="C491" s="20" t="s">
        <v>945</v>
      </c>
      <c r="D491" s="20" t="s">
        <v>998</v>
      </c>
      <c r="E491" s="20" t="s">
        <v>999</v>
      </c>
      <c r="F491" s="20">
        <v>33.353771752699998</v>
      </c>
      <c r="G491" s="20">
        <v>44.3522198577</v>
      </c>
      <c r="H491" s="22">
        <v>15</v>
      </c>
      <c r="I491" s="22">
        <v>90</v>
      </c>
      <c r="J491" s="21">
        <v>7</v>
      </c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>
        <v>8</v>
      </c>
      <c r="W491" s="21"/>
      <c r="X491" s="21"/>
      <c r="Y491" s="21"/>
      <c r="Z491" s="21"/>
      <c r="AA491" s="21"/>
      <c r="AB491" s="21"/>
      <c r="AC491" s="21">
        <v>3</v>
      </c>
      <c r="AD491" s="21"/>
      <c r="AE491" s="21"/>
      <c r="AF491" s="21"/>
      <c r="AG491" s="21"/>
      <c r="AH491" s="21">
        <v>12</v>
      </c>
      <c r="AI491" s="21"/>
      <c r="AJ491" s="21"/>
      <c r="AK491" s="21"/>
      <c r="AL491" s="21"/>
      <c r="AM491" s="21">
        <v>11</v>
      </c>
      <c r="AN491" s="21"/>
      <c r="AO491" s="21">
        <v>4</v>
      </c>
      <c r="AP491" s="21"/>
      <c r="AQ491" s="21"/>
      <c r="AR491" s="21"/>
      <c r="AS491" s="21"/>
      <c r="AT491" s="12" t="str">
        <f>HYPERLINK("http://www.openstreetmap.org/?mlat=33.3538&amp;mlon=44.3522&amp;zoom=12#map=12/33.3538/44.3522","Maplink1")</f>
        <v>Maplink1</v>
      </c>
      <c r="AU491" s="12" t="str">
        <f>HYPERLINK("https://www.google.iq/maps/search/+33.3538,44.3522/@33.3538,44.3522,14z?hl=en","Maplink2")</f>
        <v>Maplink2</v>
      </c>
      <c r="AV491" s="12" t="str">
        <f>HYPERLINK("http://www.bing.com/maps/?lvl=14&amp;sty=h&amp;cp=33.3538~44.3522&amp;sp=point.33.3538_44.3522","Maplink3")</f>
        <v>Maplink3</v>
      </c>
    </row>
    <row r="492" spans="1:48" ht="15" customHeight="1" x14ac:dyDescent="0.25">
      <c r="A492" s="19">
        <v>23508</v>
      </c>
      <c r="B492" s="20" t="s">
        <v>11</v>
      </c>
      <c r="C492" s="20" t="s">
        <v>945</v>
      </c>
      <c r="D492" s="20" t="s">
        <v>1000</v>
      </c>
      <c r="E492" s="20" t="s">
        <v>1001</v>
      </c>
      <c r="F492" s="20">
        <v>33.578705190999997</v>
      </c>
      <c r="G492" s="20">
        <v>44.192385698599999</v>
      </c>
      <c r="H492" s="22">
        <v>6</v>
      </c>
      <c r="I492" s="22">
        <v>36</v>
      </c>
      <c r="J492" s="21">
        <v>6</v>
      </c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>
        <v>2</v>
      </c>
      <c r="AD492" s="21"/>
      <c r="AE492" s="21"/>
      <c r="AF492" s="21"/>
      <c r="AG492" s="21"/>
      <c r="AH492" s="21">
        <v>4</v>
      </c>
      <c r="AI492" s="21"/>
      <c r="AJ492" s="21"/>
      <c r="AK492" s="21"/>
      <c r="AL492" s="21"/>
      <c r="AM492" s="21"/>
      <c r="AN492" s="21"/>
      <c r="AO492" s="21">
        <v>5</v>
      </c>
      <c r="AP492" s="21"/>
      <c r="AQ492" s="21">
        <v>1</v>
      </c>
      <c r="AR492" s="21"/>
      <c r="AS492" s="21"/>
      <c r="AT492" s="12" t="str">
        <f>HYPERLINK("http://www.openstreetmap.org/?mlat=33.5787&amp;mlon=44.1924&amp;zoom=12#map=12/33.5787/44.1924","Maplink1")</f>
        <v>Maplink1</v>
      </c>
      <c r="AU492" s="12" t="str">
        <f>HYPERLINK("https://www.google.iq/maps/search/+33.5787,44.1924/@33.5787,44.1924,14z?hl=en","Maplink2")</f>
        <v>Maplink2</v>
      </c>
      <c r="AV492" s="12" t="str">
        <f>HYPERLINK("http://www.bing.com/maps/?lvl=14&amp;sty=h&amp;cp=33.5787~44.1924&amp;sp=point.33.5787_44.1924","Maplink3")</f>
        <v>Maplink3</v>
      </c>
    </row>
    <row r="493" spans="1:48" ht="15" customHeight="1" x14ac:dyDescent="0.25">
      <c r="A493" s="19">
        <v>27250</v>
      </c>
      <c r="B493" s="20" t="s">
        <v>11</v>
      </c>
      <c r="C493" s="20" t="s">
        <v>945</v>
      </c>
      <c r="D493" s="20" t="s">
        <v>1002</v>
      </c>
      <c r="E493" s="20" t="s">
        <v>1003</v>
      </c>
      <c r="F493" s="20">
        <v>33.536367032400001</v>
      </c>
      <c r="G493" s="20">
        <v>44.141032297800002</v>
      </c>
      <c r="H493" s="22">
        <v>7</v>
      </c>
      <c r="I493" s="22">
        <v>42</v>
      </c>
      <c r="J493" s="21">
        <v>7</v>
      </c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>
        <v>5</v>
      </c>
      <c r="AD493" s="21"/>
      <c r="AE493" s="21"/>
      <c r="AF493" s="21"/>
      <c r="AG493" s="21"/>
      <c r="AH493" s="21">
        <v>2</v>
      </c>
      <c r="AI493" s="21"/>
      <c r="AJ493" s="21"/>
      <c r="AK493" s="21"/>
      <c r="AL493" s="21"/>
      <c r="AM493" s="21"/>
      <c r="AN493" s="21"/>
      <c r="AO493" s="21">
        <v>5</v>
      </c>
      <c r="AP493" s="21">
        <v>2</v>
      </c>
      <c r="AQ493" s="21"/>
      <c r="AR493" s="21"/>
      <c r="AS493" s="21"/>
      <c r="AT493" s="12" t="str">
        <f>HYPERLINK("http://www.openstreetmap.org/?mlat=33.5364&amp;mlon=44.141&amp;zoom=12#map=12/33.5364/44.141","Maplink1")</f>
        <v>Maplink1</v>
      </c>
      <c r="AU493" s="12" t="str">
        <f>HYPERLINK("https://www.google.iq/maps/search/+33.5364,44.141/@33.5364,44.141,14z?hl=en","Maplink2")</f>
        <v>Maplink2</v>
      </c>
      <c r="AV493" s="12" t="str">
        <f>HYPERLINK("http://www.bing.com/maps/?lvl=14&amp;sty=h&amp;cp=33.5364~44.141&amp;sp=point.33.5364_44.141","Maplink3")</f>
        <v>Maplink3</v>
      </c>
    </row>
    <row r="494" spans="1:48" ht="15" customHeight="1" x14ac:dyDescent="0.25">
      <c r="A494" s="19">
        <v>25192</v>
      </c>
      <c r="B494" s="20" t="s">
        <v>11</v>
      </c>
      <c r="C494" s="20" t="s">
        <v>945</v>
      </c>
      <c r="D494" s="20" t="s">
        <v>1004</v>
      </c>
      <c r="E494" s="20" t="s">
        <v>1005</v>
      </c>
      <c r="F494" s="20">
        <v>33.547823000000001</v>
      </c>
      <c r="G494" s="20">
        <v>44.193930000000002</v>
      </c>
      <c r="H494" s="22">
        <v>5</v>
      </c>
      <c r="I494" s="22">
        <v>30</v>
      </c>
      <c r="J494" s="21">
        <v>5</v>
      </c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>
        <v>2</v>
      </c>
      <c r="AD494" s="21"/>
      <c r="AE494" s="21"/>
      <c r="AF494" s="21"/>
      <c r="AG494" s="21"/>
      <c r="AH494" s="21">
        <v>3</v>
      </c>
      <c r="AI494" s="21"/>
      <c r="AJ494" s="21"/>
      <c r="AK494" s="21"/>
      <c r="AL494" s="21"/>
      <c r="AM494" s="21"/>
      <c r="AN494" s="21"/>
      <c r="AO494" s="21"/>
      <c r="AP494" s="21">
        <v>5</v>
      </c>
      <c r="AQ494" s="21"/>
      <c r="AR494" s="21"/>
      <c r="AS494" s="21"/>
      <c r="AT494" s="12" t="str">
        <f>HYPERLINK("http://www.openstreetmap.org/?mlat=33.5478&amp;mlon=44.1939&amp;zoom=12#map=12/33.5478/44.1939","Maplink1")</f>
        <v>Maplink1</v>
      </c>
      <c r="AU494" s="12" t="str">
        <f>HYPERLINK("https://www.google.iq/maps/search/+33.5478,44.1939/@33.5478,44.1939,14z?hl=en","Maplink2")</f>
        <v>Maplink2</v>
      </c>
      <c r="AV494" s="12" t="str">
        <f>HYPERLINK("http://www.bing.com/maps/?lvl=14&amp;sty=h&amp;cp=33.5478~44.1939&amp;sp=point.33.5478_44.1939","Maplink3")</f>
        <v>Maplink3</v>
      </c>
    </row>
    <row r="495" spans="1:48" ht="15" customHeight="1" x14ac:dyDescent="0.25">
      <c r="A495" s="19">
        <v>25176</v>
      </c>
      <c r="B495" s="20" t="s">
        <v>11</v>
      </c>
      <c r="C495" s="20" t="s">
        <v>945</v>
      </c>
      <c r="D495" s="20" t="s">
        <v>1006</v>
      </c>
      <c r="E495" s="20" t="s">
        <v>1007</v>
      </c>
      <c r="F495" s="20">
        <v>33.471593503800001</v>
      </c>
      <c r="G495" s="20">
        <v>44.233316501799997</v>
      </c>
      <c r="H495" s="22">
        <v>6</v>
      </c>
      <c r="I495" s="22">
        <v>36</v>
      </c>
      <c r="J495" s="21">
        <v>6</v>
      </c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>
        <v>6</v>
      </c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>
        <v>6</v>
      </c>
      <c r="AQ495" s="21"/>
      <c r="AR495" s="21"/>
      <c r="AS495" s="21"/>
      <c r="AT495" s="12" t="str">
        <f>HYPERLINK("http://www.openstreetmap.org/?mlat=33.4716&amp;mlon=44.2333&amp;zoom=12#map=12/33.4716/44.2333","Maplink1")</f>
        <v>Maplink1</v>
      </c>
      <c r="AU495" s="12" t="str">
        <f>HYPERLINK("https://www.google.iq/maps/search/+33.4716,44.2333/@33.4716,44.2333,14z?hl=en","Maplink2")</f>
        <v>Maplink2</v>
      </c>
      <c r="AV495" s="12" t="str">
        <f>HYPERLINK("http://www.bing.com/maps/?lvl=14&amp;sty=h&amp;cp=33.4716~44.2333&amp;sp=point.33.4716_44.2333","Maplink3")</f>
        <v>Maplink3</v>
      </c>
    </row>
    <row r="496" spans="1:48" ht="15" customHeight="1" x14ac:dyDescent="0.25">
      <c r="A496" s="19">
        <v>25174</v>
      </c>
      <c r="B496" s="20" t="s">
        <v>11</v>
      </c>
      <c r="C496" s="20" t="s">
        <v>945</v>
      </c>
      <c r="D496" s="20" t="s">
        <v>1008</v>
      </c>
      <c r="E496" s="20" t="s">
        <v>1009</v>
      </c>
      <c r="F496" s="20">
        <v>33.460099999999997</v>
      </c>
      <c r="G496" s="20">
        <v>44.251800000000003</v>
      </c>
      <c r="H496" s="22">
        <v>5</v>
      </c>
      <c r="I496" s="22">
        <v>30</v>
      </c>
      <c r="J496" s="21">
        <v>5</v>
      </c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>
        <v>4</v>
      </c>
      <c r="AD496" s="21"/>
      <c r="AE496" s="21"/>
      <c r="AF496" s="21"/>
      <c r="AG496" s="21"/>
      <c r="AH496" s="21">
        <v>1</v>
      </c>
      <c r="AI496" s="21"/>
      <c r="AJ496" s="21"/>
      <c r="AK496" s="21"/>
      <c r="AL496" s="21"/>
      <c r="AM496" s="21"/>
      <c r="AN496" s="21"/>
      <c r="AO496" s="21"/>
      <c r="AP496" s="21">
        <v>5</v>
      </c>
      <c r="AQ496" s="21"/>
      <c r="AR496" s="21"/>
      <c r="AS496" s="21"/>
      <c r="AT496" s="12" t="str">
        <f>HYPERLINK("http://www.openstreetmap.org/?mlat=33.4601&amp;mlon=44.2518&amp;zoom=12#map=12/33.4601/44.2518","Maplink1")</f>
        <v>Maplink1</v>
      </c>
      <c r="AU496" s="12" t="str">
        <f>HYPERLINK("https://www.google.iq/maps/search/+33.4601,44.2518/@33.4601,44.2518,14z?hl=en","Maplink2")</f>
        <v>Maplink2</v>
      </c>
      <c r="AV496" s="12" t="str">
        <f>HYPERLINK("http://www.bing.com/maps/?lvl=14&amp;sty=h&amp;cp=33.4601~44.2518&amp;sp=point.33.4601_44.2518","Maplink3")</f>
        <v>Maplink3</v>
      </c>
    </row>
    <row r="497" spans="1:48" ht="15" customHeight="1" x14ac:dyDescent="0.25">
      <c r="A497" s="19">
        <v>25185</v>
      </c>
      <c r="B497" s="20" t="s">
        <v>11</v>
      </c>
      <c r="C497" s="20" t="s">
        <v>945</v>
      </c>
      <c r="D497" s="20" t="s">
        <v>5939</v>
      </c>
      <c r="E497" s="20" t="s">
        <v>5940</v>
      </c>
      <c r="F497" s="20">
        <v>33.554491462500003</v>
      </c>
      <c r="G497" s="20">
        <v>44.194429686699998</v>
      </c>
      <c r="H497" s="22">
        <v>10</v>
      </c>
      <c r="I497" s="22">
        <v>60</v>
      </c>
      <c r="J497" s="21">
        <v>10</v>
      </c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>
        <v>3</v>
      </c>
      <c r="AD497" s="21"/>
      <c r="AE497" s="21"/>
      <c r="AF497" s="21"/>
      <c r="AG497" s="21"/>
      <c r="AH497" s="21">
        <v>7</v>
      </c>
      <c r="AI497" s="21"/>
      <c r="AJ497" s="21"/>
      <c r="AK497" s="21"/>
      <c r="AL497" s="21">
        <v>2</v>
      </c>
      <c r="AM497" s="21"/>
      <c r="AN497" s="21"/>
      <c r="AO497" s="21">
        <v>8</v>
      </c>
      <c r="AP497" s="21"/>
      <c r="AQ497" s="21"/>
      <c r="AR497" s="21"/>
      <c r="AS497" s="21"/>
      <c r="AT497" s="12" t="str">
        <f>HYPERLINK("http://www.openstreetmap.org/?mlat=33.5545&amp;mlon=44.1944&amp;zoom=12#map=12/33.5545/44.1944","Maplink1")</f>
        <v>Maplink1</v>
      </c>
      <c r="AU497" s="12" t="str">
        <f>HYPERLINK("https://www.google.iq/maps/search/+33.5545,44.1944/@33.5545,44.1944,14z?hl=en","Maplink2")</f>
        <v>Maplink2</v>
      </c>
      <c r="AV497" s="12" t="str">
        <f>HYPERLINK("http://www.bing.com/maps/?lvl=14&amp;sty=h&amp;cp=33.5545~44.1944&amp;sp=point.33.5545_44.1944","Maplink3")</f>
        <v>Maplink3</v>
      </c>
    </row>
    <row r="498" spans="1:48" ht="15" customHeight="1" x14ac:dyDescent="0.25">
      <c r="A498" s="19">
        <v>25188</v>
      </c>
      <c r="B498" s="20" t="s">
        <v>11</v>
      </c>
      <c r="C498" s="20" t="s">
        <v>945</v>
      </c>
      <c r="D498" s="20" t="s">
        <v>1010</v>
      </c>
      <c r="E498" s="20" t="s">
        <v>1011</v>
      </c>
      <c r="F498" s="20">
        <v>33.516482269699999</v>
      </c>
      <c r="G498" s="20">
        <v>44.196862164700001</v>
      </c>
      <c r="H498" s="22">
        <v>8</v>
      </c>
      <c r="I498" s="22">
        <v>48</v>
      </c>
      <c r="J498" s="21">
        <v>8</v>
      </c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>
        <v>6</v>
      </c>
      <c r="AD498" s="21"/>
      <c r="AE498" s="21"/>
      <c r="AF498" s="21"/>
      <c r="AG498" s="21"/>
      <c r="AH498" s="21">
        <v>2</v>
      </c>
      <c r="AI498" s="21"/>
      <c r="AJ498" s="21"/>
      <c r="AK498" s="21"/>
      <c r="AL498" s="21"/>
      <c r="AM498" s="21"/>
      <c r="AN498" s="21">
        <v>5</v>
      </c>
      <c r="AO498" s="21">
        <v>3</v>
      </c>
      <c r="AP498" s="21"/>
      <c r="AQ498" s="21"/>
      <c r="AR498" s="21"/>
      <c r="AS498" s="21"/>
      <c r="AT498" s="12" t="str">
        <f>HYPERLINK("http://www.openstreetmap.org/?mlat=33.5165&amp;mlon=44.1969&amp;zoom=12#map=12/33.5165/44.1969","Maplink1")</f>
        <v>Maplink1</v>
      </c>
      <c r="AU498" s="12" t="str">
        <f>HYPERLINK("https://www.google.iq/maps/search/+33.5165,44.1969/@33.5165,44.1969,14z?hl=en","Maplink2")</f>
        <v>Maplink2</v>
      </c>
      <c r="AV498" s="12" t="str">
        <f>HYPERLINK("http://www.bing.com/maps/?lvl=14&amp;sty=h&amp;cp=33.5165~44.1969&amp;sp=point.33.5165_44.1969","Maplink3")</f>
        <v>Maplink3</v>
      </c>
    </row>
    <row r="499" spans="1:48" ht="15" customHeight="1" x14ac:dyDescent="0.25">
      <c r="A499" s="19">
        <v>25182</v>
      </c>
      <c r="B499" s="20" t="s">
        <v>11</v>
      </c>
      <c r="C499" s="20" t="s">
        <v>945</v>
      </c>
      <c r="D499" s="20" t="s">
        <v>1012</v>
      </c>
      <c r="E499" s="20" t="s">
        <v>1013</v>
      </c>
      <c r="F499" s="20">
        <v>33.492077012999999</v>
      </c>
      <c r="G499" s="20">
        <v>44.166651782599999</v>
      </c>
      <c r="H499" s="22">
        <v>8</v>
      </c>
      <c r="I499" s="22">
        <v>48</v>
      </c>
      <c r="J499" s="21">
        <v>8</v>
      </c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>
        <v>3</v>
      </c>
      <c r="AD499" s="21"/>
      <c r="AE499" s="21"/>
      <c r="AF499" s="21"/>
      <c r="AG499" s="21"/>
      <c r="AH499" s="21">
        <v>5</v>
      </c>
      <c r="AI499" s="21"/>
      <c r="AJ499" s="21"/>
      <c r="AK499" s="21"/>
      <c r="AL499" s="21"/>
      <c r="AM499" s="21"/>
      <c r="AN499" s="21"/>
      <c r="AO499" s="21">
        <v>3</v>
      </c>
      <c r="AP499" s="21">
        <v>5</v>
      </c>
      <c r="AQ499" s="21"/>
      <c r="AR499" s="21"/>
      <c r="AS499" s="21"/>
      <c r="AT499" s="12" t="str">
        <f>HYPERLINK("http://www.openstreetmap.org/?mlat=33.4921&amp;mlon=44.1667&amp;zoom=12#map=12/33.4921/44.1667","Maplink1")</f>
        <v>Maplink1</v>
      </c>
      <c r="AU499" s="12" t="str">
        <f>HYPERLINK("https://www.google.iq/maps/search/+33.4921,44.1667/@33.4921,44.1667,14z?hl=en","Maplink2")</f>
        <v>Maplink2</v>
      </c>
      <c r="AV499" s="12" t="str">
        <f>HYPERLINK("http://www.bing.com/maps/?lvl=14&amp;sty=h&amp;cp=33.4921~44.1667&amp;sp=point.33.4921_44.1667","Maplink3")</f>
        <v>Maplink3</v>
      </c>
    </row>
    <row r="500" spans="1:48" ht="15" customHeight="1" x14ac:dyDescent="0.25">
      <c r="A500" s="19">
        <v>25195</v>
      </c>
      <c r="B500" s="20" t="s">
        <v>11</v>
      </c>
      <c r="C500" s="20" t="s">
        <v>945</v>
      </c>
      <c r="D500" s="20" t="s">
        <v>1014</v>
      </c>
      <c r="E500" s="20" t="s">
        <v>1015</v>
      </c>
      <c r="F500" s="20">
        <v>33.547229999999999</v>
      </c>
      <c r="G500" s="20">
        <v>44.19753</v>
      </c>
      <c r="H500" s="22">
        <v>11</v>
      </c>
      <c r="I500" s="22">
        <v>66</v>
      </c>
      <c r="J500" s="21">
        <v>11</v>
      </c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>
        <v>7</v>
      </c>
      <c r="AD500" s="21"/>
      <c r="AE500" s="21"/>
      <c r="AF500" s="21"/>
      <c r="AG500" s="21"/>
      <c r="AH500" s="21">
        <v>4</v>
      </c>
      <c r="AI500" s="21"/>
      <c r="AJ500" s="21"/>
      <c r="AK500" s="21"/>
      <c r="AL500" s="21">
        <v>11</v>
      </c>
      <c r="AM500" s="21"/>
      <c r="AN500" s="21"/>
      <c r="AO500" s="21"/>
      <c r="AP500" s="21"/>
      <c r="AQ500" s="21"/>
      <c r="AR500" s="21"/>
      <c r="AS500" s="21"/>
      <c r="AT500" s="12" t="str">
        <f>HYPERLINK("http://www.openstreetmap.org/?mlat=33.5472&amp;mlon=44.1975&amp;zoom=12#map=12/33.5472/44.1975","Maplink1")</f>
        <v>Maplink1</v>
      </c>
      <c r="AU500" s="12" t="str">
        <f>HYPERLINK("https://www.google.iq/maps/search/+33.5472,44.1975/@33.5472,44.1975,14z?hl=en","Maplink2")</f>
        <v>Maplink2</v>
      </c>
      <c r="AV500" s="12" t="str">
        <f>HYPERLINK("http://www.bing.com/maps/?lvl=14&amp;sty=h&amp;cp=33.5472~44.1975&amp;sp=point.33.5472_44.1975","Maplink3")</f>
        <v>Maplink3</v>
      </c>
    </row>
    <row r="501" spans="1:48" ht="15" customHeight="1" x14ac:dyDescent="0.25">
      <c r="A501" s="19">
        <v>28405</v>
      </c>
      <c r="B501" s="20" t="s">
        <v>11</v>
      </c>
      <c r="C501" s="20" t="s">
        <v>945</v>
      </c>
      <c r="D501" s="20" t="s">
        <v>1016</v>
      </c>
      <c r="E501" s="20" t="s">
        <v>1017</v>
      </c>
      <c r="F501" s="20">
        <v>33.566549999999999</v>
      </c>
      <c r="G501" s="20">
        <v>44.175260000000002</v>
      </c>
      <c r="H501" s="22">
        <v>12</v>
      </c>
      <c r="I501" s="22">
        <v>72</v>
      </c>
      <c r="J501" s="21">
        <v>12</v>
      </c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>
        <v>6</v>
      </c>
      <c r="AD501" s="21"/>
      <c r="AE501" s="21"/>
      <c r="AF501" s="21"/>
      <c r="AG501" s="21"/>
      <c r="AH501" s="21">
        <v>6</v>
      </c>
      <c r="AI501" s="21"/>
      <c r="AJ501" s="21"/>
      <c r="AK501" s="21"/>
      <c r="AL501" s="21"/>
      <c r="AM501" s="21"/>
      <c r="AN501" s="21"/>
      <c r="AO501" s="21">
        <v>7</v>
      </c>
      <c r="AP501" s="21">
        <v>5</v>
      </c>
      <c r="AQ501" s="21"/>
      <c r="AR501" s="21"/>
      <c r="AS501" s="21"/>
      <c r="AT501" s="12" t="str">
        <f>HYPERLINK("http://www.openstreetmap.org/?mlat=33.5665&amp;mlon=44.1753&amp;zoom=12#map=12/33.5665/44.1753","Maplink1")</f>
        <v>Maplink1</v>
      </c>
      <c r="AU501" s="12" t="str">
        <f>HYPERLINK("https://www.google.iq/maps/search/+33.5665,44.1753/@33.5665,44.1753,14z?hl=en","Maplink2")</f>
        <v>Maplink2</v>
      </c>
      <c r="AV501" s="12" t="str">
        <f>HYPERLINK("http://www.bing.com/maps/?lvl=14&amp;sty=h&amp;cp=33.5665~44.1753&amp;sp=point.33.5665_44.1753","Maplink3")</f>
        <v>Maplink3</v>
      </c>
    </row>
    <row r="502" spans="1:48" ht="15" customHeight="1" x14ac:dyDescent="0.25">
      <c r="A502" s="19">
        <v>23641</v>
      </c>
      <c r="B502" s="20" t="s">
        <v>11</v>
      </c>
      <c r="C502" s="20" t="s">
        <v>945</v>
      </c>
      <c r="D502" s="20" t="s">
        <v>1018</v>
      </c>
      <c r="E502" s="20" t="s">
        <v>121</v>
      </c>
      <c r="F502" s="20">
        <v>33.463006700000001</v>
      </c>
      <c r="G502" s="20">
        <v>44.236731140000003</v>
      </c>
      <c r="H502" s="22">
        <v>8</v>
      </c>
      <c r="I502" s="22">
        <v>48</v>
      </c>
      <c r="J502" s="21">
        <v>8</v>
      </c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>
        <v>8</v>
      </c>
      <c r="AI502" s="21"/>
      <c r="AJ502" s="21"/>
      <c r="AK502" s="21"/>
      <c r="AL502" s="21"/>
      <c r="AM502" s="21">
        <v>2</v>
      </c>
      <c r="AN502" s="21">
        <v>3</v>
      </c>
      <c r="AO502" s="21"/>
      <c r="AP502" s="21">
        <v>3</v>
      </c>
      <c r="AQ502" s="21"/>
      <c r="AR502" s="21"/>
      <c r="AS502" s="21"/>
      <c r="AT502" s="12" t="str">
        <f>HYPERLINK("http://www.openstreetmap.org/?mlat=33.463&amp;mlon=44.2367&amp;zoom=12#map=12/33.463/44.2367","Maplink1")</f>
        <v>Maplink1</v>
      </c>
      <c r="AU502" s="12" t="str">
        <f>HYPERLINK("https://www.google.iq/maps/search/+33.463,44.2367/@33.463,44.2367,14z?hl=en","Maplink2")</f>
        <v>Maplink2</v>
      </c>
      <c r="AV502" s="12" t="str">
        <f>HYPERLINK("http://www.bing.com/maps/?lvl=14&amp;sty=h&amp;cp=33.463~44.2367&amp;sp=point.33.463_44.2367","Maplink3")</f>
        <v>Maplink3</v>
      </c>
    </row>
    <row r="503" spans="1:48" ht="15" customHeight="1" x14ac:dyDescent="0.25">
      <c r="A503" s="19">
        <v>23581</v>
      </c>
      <c r="B503" s="20" t="s">
        <v>11</v>
      </c>
      <c r="C503" s="20" t="s">
        <v>945</v>
      </c>
      <c r="D503" s="20" t="s">
        <v>1019</v>
      </c>
      <c r="E503" s="20" t="s">
        <v>1020</v>
      </c>
      <c r="F503" s="20">
        <v>33.471848020000003</v>
      </c>
      <c r="G503" s="20">
        <v>44.245866319999998</v>
      </c>
      <c r="H503" s="22">
        <v>5</v>
      </c>
      <c r="I503" s="22">
        <v>30</v>
      </c>
      <c r="J503" s="21">
        <v>5</v>
      </c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>
        <v>5</v>
      </c>
      <c r="AI503" s="21"/>
      <c r="AJ503" s="21"/>
      <c r="AK503" s="21"/>
      <c r="AL503" s="21"/>
      <c r="AM503" s="21"/>
      <c r="AN503" s="21">
        <v>3</v>
      </c>
      <c r="AO503" s="21">
        <v>2</v>
      </c>
      <c r="AP503" s="21"/>
      <c r="AQ503" s="21"/>
      <c r="AR503" s="21"/>
      <c r="AS503" s="21"/>
      <c r="AT503" s="12" t="str">
        <f>HYPERLINK("http://www.openstreetmap.org/?mlat=33.4718&amp;mlon=44.2459&amp;zoom=12#map=12/33.4718/44.2459","Maplink1")</f>
        <v>Maplink1</v>
      </c>
      <c r="AU503" s="12" t="str">
        <f>HYPERLINK("https://www.google.iq/maps/search/+33.4718,44.2459/@33.4718,44.2459,14z?hl=en","Maplink2")</f>
        <v>Maplink2</v>
      </c>
      <c r="AV503" s="12" t="str">
        <f>HYPERLINK("http://www.bing.com/maps/?lvl=14&amp;sty=h&amp;cp=33.4718~44.2459&amp;sp=point.33.4718_44.2459","Maplink3")</f>
        <v>Maplink3</v>
      </c>
    </row>
    <row r="504" spans="1:48" ht="15" customHeight="1" x14ac:dyDescent="0.25">
      <c r="A504" s="19">
        <v>7285</v>
      </c>
      <c r="B504" s="20" t="s">
        <v>11</v>
      </c>
      <c r="C504" s="20" t="s">
        <v>945</v>
      </c>
      <c r="D504" s="20" t="s">
        <v>1021</v>
      </c>
      <c r="E504" s="20" t="s">
        <v>1022</v>
      </c>
      <c r="F504" s="20">
        <v>33.375212410000003</v>
      </c>
      <c r="G504" s="20">
        <v>44.30869182</v>
      </c>
      <c r="H504" s="22">
        <v>15</v>
      </c>
      <c r="I504" s="22">
        <v>90</v>
      </c>
      <c r="J504" s="21">
        <v>5</v>
      </c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>
        <v>7</v>
      </c>
      <c r="W504" s="21"/>
      <c r="X504" s="21">
        <v>3</v>
      </c>
      <c r="Y504" s="21"/>
      <c r="Z504" s="21"/>
      <c r="AA504" s="21"/>
      <c r="AB504" s="21"/>
      <c r="AC504" s="21"/>
      <c r="AD504" s="21"/>
      <c r="AE504" s="21"/>
      <c r="AF504" s="21"/>
      <c r="AG504" s="21"/>
      <c r="AH504" s="21">
        <v>15</v>
      </c>
      <c r="AI504" s="21"/>
      <c r="AJ504" s="21"/>
      <c r="AK504" s="21"/>
      <c r="AL504" s="21"/>
      <c r="AM504" s="21"/>
      <c r="AN504" s="21">
        <v>7</v>
      </c>
      <c r="AO504" s="21">
        <v>8</v>
      </c>
      <c r="AP504" s="21"/>
      <c r="AQ504" s="21"/>
      <c r="AR504" s="21"/>
      <c r="AS504" s="21"/>
      <c r="AT504" s="12" t="str">
        <f>HYPERLINK("http://www.openstreetmap.org/?mlat=33.3752&amp;mlon=44.3087&amp;zoom=12#map=12/33.3752/44.3087","Maplink1")</f>
        <v>Maplink1</v>
      </c>
      <c r="AU504" s="12" t="str">
        <f>HYPERLINK("https://www.google.iq/maps/search/+33.3752,44.3087/@33.3752,44.3087,14z?hl=en","Maplink2")</f>
        <v>Maplink2</v>
      </c>
      <c r="AV504" s="12" t="str">
        <f>HYPERLINK("http://www.bing.com/maps/?lvl=14&amp;sty=h&amp;cp=33.3752~44.3087&amp;sp=point.33.3752_44.3087","Maplink3")</f>
        <v>Maplink3</v>
      </c>
    </row>
    <row r="505" spans="1:48" ht="15" customHeight="1" x14ac:dyDescent="0.25">
      <c r="A505" s="19">
        <v>27407</v>
      </c>
      <c r="B505" s="20" t="s">
        <v>11</v>
      </c>
      <c r="C505" s="20" t="s">
        <v>945</v>
      </c>
      <c r="D505" s="20" t="s">
        <v>1023</v>
      </c>
      <c r="E505" s="20" t="s">
        <v>1024</v>
      </c>
      <c r="F505" s="20">
        <v>33.369318749999998</v>
      </c>
      <c r="G505" s="20">
        <v>44.306417940000003</v>
      </c>
      <c r="H505" s="22">
        <v>20</v>
      </c>
      <c r="I505" s="22">
        <v>120</v>
      </c>
      <c r="J505" s="21">
        <v>4</v>
      </c>
      <c r="K505" s="21"/>
      <c r="L505" s="21"/>
      <c r="M505" s="21"/>
      <c r="N505" s="21"/>
      <c r="O505" s="21"/>
      <c r="P505" s="21"/>
      <c r="Q505" s="21"/>
      <c r="R505" s="21">
        <v>6</v>
      </c>
      <c r="S505" s="21"/>
      <c r="T505" s="21"/>
      <c r="U505" s="21"/>
      <c r="V505" s="21">
        <v>8</v>
      </c>
      <c r="W505" s="21"/>
      <c r="X505" s="21">
        <v>2</v>
      </c>
      <c r="Y505" s="21"/>
      <c r="Z505" s="21"/>
      <c r="AA505" s="21"/>
      <c r="AB505" s="21"/>
      <c r="AC505" s="21">
        <v>9</v>
      </c>
      <c r="AD505" s="21"/>
      <c r="AE505" s="21"/>
      <c r="AF505" s="21"/>
      <c r="AG505" s="21"/>
      <c r="AH505" s="21">
        <v>11</v>
      </c>
      <c r="AI505" s="21"/>
      <c r="AJ505" s="21"/>
      <c r="AK505" s="21"/>
      <c r="AL505" s="21"/>
      <c r="AM505" s="21"/>
      <c r="AN505" s="21">
        <v>16</v>
      </c>
      <c r="AO505" s="21">
        <v>4</v>
      </c>
      <c r="AP505" s="21"/>
      <c r="AQ505" s="21"/>
      <c r="AR505" s="21"/>
      <c r="AS505" s="21"/>
      <c r="AT505" s="12" t="str">
        <f>HYPERLINK("http://www.openstreetmap.org/?mlat=33.3693&amp;mlon=44.3064&amp;zoom=12#map=12/33.3693/44.3064","Maplink1")</f>
        <v>Maplink1</v>
      </c>
      <c r="AU505" s="12" t="str">
        <f>HYPERLINK("https://www.google.iq/maps/search/+33.3693,44.3064/@33.3693,44.3064,14z?hl=en","Maplink2")</f>
        <v>Maplink2</v>
      </c>
      <c r="AV505" s="12" t="str">
        <f>HYPERLINK("http://www.bing.com/maps/?lvl=14&amp;sty=h&amp;cp=33.3693~44.3064&amp;sp=point.33.3693_44.3064","Maplink3")</f>
        <v>Maplink3</v>
      </c>
    </row>
    <row r="506" spans="1:48" ht="15" customHeight="1" x14ac:dyDescent="0.25">
      <c r="A506" s="19">
        <v>27408</v>
      </c>
      <c r="B506" s="20" t="s">
        <v>11</v>
      </c>
      <c r="C506" s="20" t="s">
        <v>945</v>
      </c>
      <c r="D506" s="20" t="s">
        <v>1025</v>
      </c>
      <c r="E506" s="20" t="s">
        <v>1026</v>
      </c>
      <c r="F506" s="20">
        <v>33.378822960000001</v>
      </c>
      <c r="G506" s="20">
        <v>44.301502319999997</v>
      </c>
      <c r="H506" s="22">
        <v>7</v>
      </c>
      <c r="I506" s="22">
        <v>42</v>
      </c>
      <c r="J506" s="21">
        <v>2</v>
      </c>
      <c r="K506" s="21"/>
      <c r="L506" s="21"/>
      <c r="M506" s="21"/>
      <c r="N506" s="21"/>
      <c r="O506" s="21"/>
      <c r="P506" s="21"/>
      <c r="Q506" s="21"/>
      <c r="R506" s="21">
        <v>1</v>
      </c>
      <c r="S506" s="21"/>
      <c r="T506" s="21"/>
      <c r="U506" s="21"/>
      <c r="V506" s="21">
        <v>4</v>
      </c>
      <c r="W506" s="21"/>
      <c r="X506" s="21"/>
      <c r="Y506" s="21"/>
      <c r="Z506" s="21"/>
      <c r="AA506" s="21"/>
      <c r="AB506" s="21"/>
      <c r="AC506" s="21">
        <v>2</v>
      </c>
      <c r="AD506" s="21"/>
      <c r="AE506" s="21"/>
      <c r="AF506" s="21"/>
      <c r="AG506" s="21"/>
      <c r="AH506" s="21">
        <v>5</v>
      </c>
      <c r="AI506" s="21"/>
      <c r="AJ506" s="21"/>
      <c r="AK506" s="21"/>
      <c r="AL506" s="21"/>
      <c r="AM506" s="21">
        <v>5</v>
      </c>
      <c r="AN506" s="21"/>
      <c r="AO506" s="21"/>
      <c r="AP506" s="21">
        <v>2</v>
      </c>
      <c r="AQ506" s="21"/>
      <c r="AR506" s="21"/>
      <c r="AS506" s="21"/>
      <c r="AT506" s="12" t="str">
        <f>HYPERLINK("http://www.openstreetmap.org/?mlat=33.3788&amp;mlon=44.3015&amp;zoom=12#map=12/33.3788/44.3015","Maplink1")</f>
        <v>Maplink1</v>
      </c>
      <c r="AU506" s="12" t="str">
        <f>HYPERLINK("https://www.google.iq/maps/search/+33.3788,44.3015/@33.3788,44.3015,14z?hl=en","Maplink2")</f>
        <v>Maplink2</v>
      </c>
      <c r="AV506" s="12" t="str">
        <f>HYPERLINK("http://www.bing.com/maps/?lvl=14&amp;sty=h&amp;cp=33.3788~44.3015&amp;sp=point.33.3788_44.3015","Maplink3")</f>
        <v>Maplink3</v>
      </c>
    </row>
    <row r="507" spans="1:48" ht="15" customHeight="1" x14ac:dyDescent="0.25">
      <c r="A507" s="19">
        <v>20784</v>
      </c>
      <c r="B507" s="20" t="s">
        <v>11</v>
      </c>
      <c r="C507" s="20" t="s">
        <v>945</v>
      </c>
      <c r="D507" s="20" t="s">
        <v>1027</v>
      </c>
      <c r="E507" s="20" t="s">
        <v>1028</v>
      </c>
      <c r="F507" s="20">
        <v>33.498466270000002</v>
      </c>
      <c r="G507" s="20">
        <v>44.256498360000002</v>
      </c>
      <c r="H507" s="22">
        <v>7</v>
      </c>
      <c r="I507" s="22">
        <v>42</v>
      </c>
      <c r="J507" s="21">
        <v>7</v>
      </c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>
        <v>2</v>
      </c>
      <c r="AD507" s="21"/>
      <c r="AE507" s="21"/>
      <c r="AF507" s="21"/>
      <c r="AG507" s="21"/>
      <c r="AH507" s="21">
        <v>5</v>
      </c>
      <c r="AI507" s="21"/>
      <c r="AJ507" s="21"/>
      <c r="AK507" s="21"/>
      <c r="AL507" s="21"/>
      <c r="AM507" s="21"/>
      <c r="AN507" s="21"/>
      <c r="AO507" s="21">
        <v>7</v>
      </c>
      <c r="AP507" s="21"/>
      <c r="AQ507" s="21"/>
      <c r="AR507" s="21"/>
      <c r="AS507" s="21"/>
      <c r="AT507" s="12" t="str">
        <f>HYPERLINK("http://www.openstreetmap.org/?mlat=33.4985&amp;mlon=44.2565&amp;zoom=12#map=12/33.4985/44.2565","Maplink1")</f>
        <v>Maplink1</v>
      </c>
      <c r="AU507" s="12" t="str">
        <f>HYPERLINK("https://www.google.iq/maps/search/+33.4985,44.2565/@33.4985,44.2565,14z?hl=en","Maplink2")</f>
        <v>Maplink2</v>
      </c>
      <c r="AV507" s="12" t="str">
        <f>HYPERLINK("http://www.bing.com/maps/?lvl=14&amp;sty=h&amp;cp=33.4985~44.2565&amp;sp=point.33.4985_44.2565","Maplink3")</f>
        <v>Maplink3</v>
      </c>
    </row>
    <row r="508" spans="1:48" ht="15" customHeight="1" x14ac:dyDescent="0.25">
      <c r="A508" s="19">
        <v>27377</v>
      </c>
      <c r="B508" s="20" t="s">
        <v>11</v>
      </c>
      <c r="C508" s="20" t="s">
        <v>945</v>
      </c>
      <c r="D508" s="20" t="s">
        <v>1029</v>
      </c>
      <c r="E508" s="20" t="s">
        <v>1030</v>
      </c>
      <c r="F508" s="20">
        <v>33.462400000000002</v>
      </c>
      <c r="G508" s="20">
        <v>44.235100000000003</v>
      </c>
      <c r="H508" s="22">
        <v>10</v>
      </c>
      <c r="I508" s="22">
        <v>60</v>
      </c>
      <c r="J508" s="21">
        <v>10</v>
      </c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>
        <v>6</v>
      </c>
      <c r="AD508" s="21"/>
      <c r="AE508" s="21"/>
      <c r="AF508" s="21"/>
      <c r="AG508" s="21"/>
      <c r="AH508" s="21">
        <v>4</v>
      </c>
      <c r="AI508" s="21"/>
      <c r="AJ508" s="21"/>
      <c r="AK508" s="21"/>
      <c r="AL508" s="21"/>
      <c r="AM508" s="21"/>
      <c r="AN508" s="21"/>
      <c r="AO508" s="21">
        <v>5</v>
      </c>
      <c r="AP508" s="21">
        <v>5</v>
      </c>
      <c r="AQ508" s="21"/>
      <c r="AR508" s="21"/>
      <c r="AS508" s="21"/>
      <c r="AT508" s="12" t="str">
        <f>HYPERLINK("http://www.openstreetmap.org/?mlat=33.4624&amp;mlon=44.2351&amp;zoom=12#map=12/33.4624/44.2351","Maplink1")</f>
        <v>Maplink1</v>
      </c>
      <c r="AU508" s="12" t="str">
        <f>HYPERLINK("https://www.google.iq/maps/search/+33.4624,44.2351/@33.4624,44.2351,14z?hl=en","Maplink2")</f>
        <v>Maplink2</v>
      </c>
      <c r="AV508" s="12" t="str">
        <f>HYPERLINK("http://www.bing.com/maps/?lvl=14&amp;sty=h&amp;cp=33.4624~44.2351&amp;sp=point.33.4624_44.2351","Maplink3")</f>
        <v>Maplink3</v>
      </c>
    </row>
    <row r="509" spans="1:48" ht="15" customHeight="1" x14ac:dyDescent="0.25">
      <c r="A509" s="19">
        <v>25173</v>
      </c>
      <c r="B509" s="20" t="s">
        <v>11</v>
      </c>
      <c r="C509" s="20" t="s">
        <v>945</v>
      </c>
      <c r="D509" s="20" t="s">
        <v>1031</v>
      </c>
      <c r="E509" s="20" t="s">
        <v>1032</v>
      </c>
      <c r="F509" s="20">
        <v>33.462993529999999</v>
      </c>
      <c r="G509" s="20">
        <v>44.218980870000003</v>
      </c>
      <c r="H509" s="22">
        <v>5</v>
      </c>
      <c r="I509" s="22">
        <v>30</v>
      </c>
      <c r="J509" s="21">
        <v>5</v>
      </c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>
        <v>3</v>
      </c>
      <c r="AD509" s="21"/>
      <c r="AE509" s="21"/>
      <c r="AF509" s="21"/>
      <c r="AG509" s="21"/>
      <c r="AH509" s="21">
        <v>2</v>
      </c>
      <c r="AI509" s="21"/>
      <c r="AJ509" s="21"/>
      <c r="AK509" s="21"/>
      <c r="AL509" s="21"/>
      <c r="AM509" s="21"/>
      <c r="AN509" s="21"/>
      <c r="AO509" s="21"/>
      <c r="AP509" s="21">
        <v>5</v>
      </c>
      <c r="AQ509" s="21"/>
      <c r="AR509" s="21"/>
      <c r="AS509" s="21"/>
      <c r="AT509" s="12" t="str">
        <f>HYPERLINK("http://www.openstreetmap.org/?mlat=33.463&amp;mlon=44.219&amp;zoom=12#map=12/33.463/44.219","Maplink1")</f>
        <v>Maplink1</v>
      </c>
      <c r="AU509" s="12" t="str">
        <f>HYPERLINK("https://www.google.iq/maps/search/+33.463,44.219/@33.463,44.219,14z?hl=en","Maplink2")</f>
        <v>Maplink2</v>
      </c>
      <c r="AV509" s="12" t="str">
        <f>HYPERLINK("http://www.bing.com/maps/?lvl=14&amp;sty=h&amp;cp=33.463~44.219&amp;sp=point.33.463_44.219","Maplink3")</f>
        <v>Maplink3</v>
      </c>
    </row>
    <row r="510" spans="1:48" ht="15" customHeight="1" x14ac:dyDescent="0.25">
      <c r="A510" s="19">
        <v>25172</v>
      </c>
      <c r="B510" s="20" t="s">
        <v>11</v>
      </c>
      <c r="C510" s="20" t="s">
        <v>945</v>
      </c>
      <c r="D510" s="20" t="s">
        <v>1033</v>
      </c>
      <c r="E510" s="20" t="s">
        <v>1034</v>
      </c>
      <c r="F510" s="20">
        <v>33.461580480000002</v>
      </c>
      <c r="G510" s="20">
        <v>44.231428700000002</v>
      </c>
      <c r="H510" s="22">
        <v>5</v>
      </c>
      <c r="I510" s="22">
        <v>30</v>
      </c>
      <c r="J510" s="21">
        <v>5</v>
      </c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>
        <v>5</v>
      </c>
      <c r="AI510" s="21"/>
      <c r="AJ510" s="21"/>
      <c r="AK510" s="21"/>
      <c r="AL510" s="21"/>
      <c r="AM510" s="21"/>
      <c r="AN510" s="21"/>
      <c r="AO510" s="21"/>
      <c r="AP510" s="21">
        <v>4</v>
      </c>
      <c r="AQ510" s="21">
        <v>1</v>
      </c>
      <c r="AR510" s="21"/>
      <c r="AS510" s="21"/>
      <c r="AT510" s="12" t="str">
        <f>HYPERLINK("http://www.openstreetmap.org/?mlat=33.4616&amp;mlon=44.2314&amp;zoom=12#map=12/33.4616/44.2314","Maplink1")</f>
        <v>Maplink1</v>
      </c>
      <c r="AU510" s="12" t="str">
        <f>HYPERLINK("https://www.google.iq/maps/search/+33.4616,44.2314/@33.4616,44.2314,14z?hl=en","Maplink2")</f>
        <v>Maplink2</v>
      </c>
      <c r="AV510" s="12" t="str">
        <f>HYPERLINK("http://www.bing.com/maps/?lvl=14&amp;sty=h&amp;cp=33.4616~44.2314&amp;sp=point.33.4616_44.2314","Maplink3")</f>
        <v>Maplink3</v>
      </c>
    </row>
    <row r="511" spans="1:48" ht="15" customHeight="1" x14ac:dyDescent="0.25">
      <c r="A511" s="19">
        <v>25189</v>
      </c>
      <c r="B511" s="20" t="s">
        <v>11</v>
      </c>
      <c r="C511" s="20" t="s">
        <v>945</v>
      </c>
      <c r="D511" s="20" t="s">
        <v>1035</v>
      </c>
      <c r="E511" s="20" t="s">
        <v>1036</v>
      </c>
      <c r="F511" s="20">
        <v>33.494680000000002</v>
      </c>
      <c r="G511" s="20">
        <v>44.27657</v>
      </c>
      <c r="H511" s="22">
        <v>9</v>
      </c>
      <c r="I511" s="22">
        <v>54</v>
      </c>
      <c r="J511" s="21">
        <v>9</v>
      </c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>
        <v>6</v>
      </c>
      <c r="AD511" s="21"/>
      <c r="AE511" s="21"/>
      <c r="AF511" s="21"/>
      <c r="AG511" s="21"/>
      <c r="AH511" s="21">
        <v>3</v>
      </c>
      <c r="AI511" s="21"/>
      <c r="AJ511" s="21"/>
      <c r="AK511" s="21"/>
      <c r="AL511" s="21"/>
      <c r="AM511" s="21"/>
      <c r="AN511" s="21"/>
      <c r="AO511" s="21"/>
      <c r="AP511" s="21">
        <v>9</v>
      </c>
      <c r="AQ511" s="21"/>
      <c r="AR511" s="21"/>
      <c r="AS511" s="21"/>
      <c r="AT511" s="12" t="str">
        <f>HYPERLINK("http://www.openstreetmap.org/?mlat=33.4947&amp;mlon=44.2766&amp;zoom=12#map=12/33.4947/44.2766","Maplink1")</f>
        <v>Maplink1</v>
      </c>
      <c r="AU511" s="12" t="str">
        <f>HYPERLINK("https://www.google.iq/maps/search/+33.4947,44.2766/@33.4947,44.2766,14z?hl=en","Maplink2")</f>
        <v>Maplink2</v>
      </c>
      <c r="AV511" s="12" t="str">
        <f>HYPERLINK("http://www.bing.com/maps/?lvl=14&amp;sty=h&amp;cp=33.4947~44.2766&amp;sp=point.33.4947_44.2766","Maplink3")</f>
        <v>Maplink3</v>
      </c>
    </row>
    <row r="512" spans="1:48" ht="15" customHeight="1" x14ac:dyDescent="0.25">
      <c r="A512" s="19">
        <v>25194</v>
      </c>
      <c r="B512" s="20" t="s">
        <v>11</v>
      </c>
      <c r="C512" s="20" t="s">
        <v>945</v>
      </c>
      <c r="D512" s="20" t="s">
        <v>1037</v>
      </c>
      <c r="E512" s="20" t="s">
        <v>1038</v>
      </c>
      <c r="F512" s="20">
        <v>33.469499999999996</v>
      </c>
      <c r="G512" s="20">
        <v>44.198399999999999</v>
      </c>
      <c r="H512" s="22">
        <v>7</v>
      </c>
      <c r="I512" s="22">
        <v>42</v>
      </c>
      <c r="J512" s="21">
        <v>7</v>
      </c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>
        <v>5</v>
      </c>
      <c r="AD512" s="21"/>
      <c r="AE512" s="21"/>
      <c r="AF512" s="21"/>
      <c r="AG512" s="21"/>
      <c r="AH512" s="21">
        <v>2</v>
      </c>
      <c r="AI512" s="21"/>
      <c r="AJ512" s="21"/>
      <c r="AK512" s="21"/>
      <c r="AL512" s="21">
        <v>7</v>
      </c>
      <c r="AM512" s="21"/>
      <c r="AN512" s="21"/>
      <c r="AO512" s="21"/>
      <c r="AP512" s="21"/>
      <c r="AQ512" s="21"/>
      <c r="AR512" s="21"/>
      <c r="AS512" s="21"/>
      <c r="AT512" s="12" t="str">
        <f>HYPERLINK("http://www.openstreetmap.org/?mlat=33.4695&amp;mlon=44.1984&amp;zoom=12#map=12/33.4695/44.1984","Maplink1")</f>
        <v>Maplink1</v>
      </c>
      <c r="AU512" s="12" t="str">
        <f>HYPERLINK("https://www.google.iq/maps/search/+33.4695,44.1984/@33.4695,44.1984,14z?hl=en","Maplink2")</f>
        <v>Maplink2</v>
      </c>
      <c r="AV512" s="12" t="str">
        <f>HYPERLINK("http://www.bing.com/maps/?lvl=14&amp;sty=h&amp;cp=33.4695~44.1984&amp;sp=point.33.4695_44.1984","Maplink3")</f>
        <v>Maplink3</v>
      </c>
    </row>
    <row r="513" spans="1:48" ht="15" customHeight="1" x14ac:dyDescent="0.25">
      <c r="A513" s="19">
        <v>28399</v>
      </c>
      <c r="B513" s="20" t="s">
        <v>11</v>
      </c>
      <c r="C513" s="20" t="s">
        <v>945</v>
      </c>
      <c r="D513" s="20" t="s">
        <v>1039</v>
      </c>
      <c r="E513" s="20" t="s">
        <v>1040</v>
      </c>
      <c r="F513" s="20">
        <v>33.440864810000001</v>
      </c>
      <c r="G513" s="20">
        <v>44.269825679999997</v>
      </c>
      <c r="H513" s="22">
        <v>10</v>
      </c>
      <c r="I513" s="22">
        <v>60</v>
      </c>
      <c r="J513" s="21">
        <v>3</v>
      </c>
      <c r="K513" s="21"/>
      <c r="L513" s="21">
        <v>5</v>
      </c>
      <c r="M513" s="21"/>
      <c r="N513" s="21"/>
      <c r="O513" s="21"/>
      <c r="P513" s="21"/>
      <c r="Q513" s="21"/>
      <c r="R513" s="21"/>
      <c r="S513" s="21"/>
      <c r="T513" s="21"/>
      <c r="U513" s="21"/>
      <c r="V513" s="21">
        <v>2</v>
      </c>
      <c r="W513" s="21"/>
      <c r="X513" s="21"/>
      <c r="Y513" s="21"/>
      <c r="Z513" s="21"/>
      <c r="AA513" s="21"/>
      <c r="AB513" s="21"/>
      <c r="AC513" s="21">
        <v>3</v>
      </c>
      <c r="AD513" s="21"/>
      <c r="AE513" s="21"/>
      <c r="AF513" s="21"/>
      <c r="AG513" s="21"/>
      <c r="AH513" s="21">
        <v>7</v>
      </c>
      <c r="AI513" s="21"/>
      <c r="AJ513" s="21"/>
      <c r="AK513" s="21"/>
      <c r="AL513" s="21">
        <v>5</v>
      </c>
      <c r="AM513" s="21"/>
      <c r="AN513" s="21">
        <v>5</v>
      </c>
      <c r="AO513" s="21"/>
      <c r="AP513" s="21"/>
      <c r="AQ513" s="21"/>
      <c r="AR513" s="21"/>
      <c r="AS513" s="21"/>
      <c r="AT513" s="12" t="str">
        <f>HYPERLINK("http://www.openstreetmap.org/?mlat=33.4409&amp;mlon=44.2698&amp;zoom=12#map=12/33.4409/44.2698","Maplink1")</f>
        <v>Maplink1</v>
      </c>
      <c r="AU513" s="12" t="str">
        <f>HYPERLINK("https://www.google.iq/maps/search/+33.4409,44.2698/@33.4409,44.2698,14z?hl=en","Maplink2")</f>
        <v>Maplink2</v>
      </c>
      <c r="AV513" s="12" t="str">
        <f>HYPERLINK("http://www.bing.com/maps/?lvl=14&amp;sty=h&amp;cp=33.4409~44.2698&amp;sp=point.33.4409_44.2698","Maplink3")</f>
        <v>Maplink3</v>
      </c>
    </row>
    <row r="514" spans="1:48" ht="15" customHeight="1" x14ac:dyDescent="0.25">
      <c r="A514" s="19">
        <v>28402</v>
      </c>
      <c r="B514" s="20" t="s">
        <v>11</v>
      </c>
      <c r="C514" s="20" t="s">
        <v>945</v>
      </c>
      <c r="D514" s="20" t="s">
        <v>1041</v>
      </c>
      <c r="E514" s="20" t="s">
        <v>1042</v>
      </c>
      <c r="F514" s="20">
        <v>33.421718540000001</v>
      </c>
      <c r="G514" s="20">
        <v>44.294527080000002</v>
      </c>
      <c r="H514" s="22">
        <v>6</v>
      </c>
      <c r="I514" s="22">
        <v>36</v>
      </c>
      <c r="J514" s="21">
        <v>3</v>
      </c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>
        <v>3</v>
      </c>
      <c r="W514" s="21"/>
      <c r="X514" s="21"/>
      <c r="Y514" s="21"/>
      <c r="Z514" s="21"/>
      <c r="AA514" s="21"/>
      <c r="AB514" s="21"/>
      <c r="AC514" s="21">
        <v>3</v>
      </c>
      <c r="AD514" s="21"/>
      <c r="AE514" s="21"/>
      <c r="AF514" s="21"/>
      <c r="AG514" s="21"/>
      <c r="AH514" s="21">
        <v>3</v>
      </c>
      <c r="AI514" s="21"/>
      <c r="AJ514" s="21"/>
      <c r="AK514" s="21"/>
      <c r="AL514" s="21"/>
      <c r="AM514" s="21">
        <v>3</v>
      </c>
      <c r="AN514" s="21">
        <v>3</v>
      </c>
      <c r="AO514" s="21"/>
      <c r="AP514" s="21"/>
      <c r="AQ514" s="21"/>
      <c r="AR514" s="21"/>
      <c r="AS514" s="21"/>
      <c r="AT514" s="12" t="str">
        <f>HYPERLINK("http://www.openstreetmap.org/?mlat=33.4217&amp;mlon=44.2945&amp;zoom=12#map=12/33.4217/44.2945","Maplink1")</f>
        <v>Maplink1</v>
      </c>
      <c r="AU514" s="12" t="str">
        <f>HYPERLINK("https://www.google.iq/maps/search/+33.4217,44.2945/@33.4217,44.2945,14z?hl=en","Maplink2")</f>
        <v>Maplink2</v>
      </c>
      <c r="AV514" s="12" t="str">
        <f>HYPERLINK("http://www.bing.com/maps/?lvl=14&amp;sty=h&amp;cp=33.4217~44.2945&amp;sp=point.33.4217_44.2945","Maplink3")</f>
        <v>Maplink3</v>
      </c>
    </row>
    <row r="515" spans="1:48" ht="15" customHeight="1" x14ac:dyDescent="0.25">
      <c r="A515" s="19">
        <v>28400</v>
      </c>
      <c r="B515" s="20" t="s">
        <v>11</v>
      </c>
      <c r="C515" s="20" t="s">
        <v>945</v>
      </c>
      <c r="D515" s="20" t="s">
        <v>1043</v>
      </c>
      <c r="E515" s="20" t="s">
        <v>1044</v>
      </c>
      <c r="F515" s="20">
        <v>33.446424749999998</v>
      </c>
      <c r="G515" s="20">
        <v>44.26940604</v>
      </c>
      <c r="H515" s="22">
        <v>9</v>
      </c>
      <c r="I515" s="22">
        <v>54</v>
      </c>
      <c r="J515" s="21">
        <v>2</v>
      </c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>
        <v>3</v>
      </c>
      <c r="W515" s="21"/>
      <c r="X515" s="21">
        <v>4</v>
      </c>
      <c r="Y515" s="21"/>
      <c r="Z515" s="21"/>
      <c r="AA515" s="21"/>
      <c r="AB515" s="21"/>
      <c r="AC515" s="21">
        <v>3</v>
      </c>
      <c r="AD515" s="21"/>
      <c r="AE515" s="21"/>
      <c r="AF515" s="21"/>
      <c r="AG515" s="21"/>
      <c r="AH515" s="21">
        <v>6</v>
      </c>
      <c r="AI515" s="21"/>
      <c r="AJ515" s="21"/>
      <c r="AK515" s="21"/>
      <c r="AL515" s="21"/>
      <c r="AM515" s="21"/>
      <c r="AN515" s="21">
        <v>4</v>
      </c>
      <c r="AO515" s="21"/>
      <c r="AP515" s="21">
        <v>2</v>
      </c>
      <c r="AQ515" s="21"/>
      <c r="AR515" s="21">
        <v>3</v>
      </c>
      <c r="AS515" s="21"/>
      <c r="AT515" s="12" t="str">
        <f>HYPERLINK("http://www.openstreetmap.org/?mlat=33.4464&amp;mlon=44.2694&amp;zoom=12#map=12/33.4464/44.2694","Maplink1")</f>
        <v>Maplink1</v>
      </c>
      <c r="AU515" s="12" t="str">
        <f>HYPERLINK("https://www.google.iq/maps/search/+33.4464,44.2694/@33.4464,44.2694,14z?hl=en","Maplink2")</f>
        <v>Maplink2</v>
      </c>
      <c r="AV515" s="12" t="str">
        <f>HYPERLINK("http://www.bing.com/maps/?lvl=14&amp;sty=h&amp;cp=33.4464~44.2694&amp;sp=point.33.4464_44.2694","Maplink3")</f>
        <v>Maplink3</v>
      </c>
    </row>
    <row r="516" spans="1:48" ht="15" customHeight="1" x14ac:dyDescent="0.25">
      <c r="A516" s="19">
        <v>28401</v>
      </c>
      <c r="B516" s="20" t="s">
        <v>11</v>
      </c>
      <c r="C516" s="20" t="s">
        <v>945</v>
      </c>
      <c r="D516" s="20" t="s">
        <v>1045</v>
      </c>
      <c r="E516" s="20" t="s">
        <v>1046</v>
      </c>
      <c r="F516" s="20">
        <v>33.423089079999997</v>
      </c>
      <c r="G516" s="20">
        <v>44.317484950000001</v>
      </c>
      <c r="H516" s="22">
        <v>10</v>
      </c>
      <c r="I516" s="22">
        <v>60</v>
      </c>
      <c r="J516" s="21"/>
      <c r="K516" s="21"/>
      <c r="L516" s="21"/>
      <c r="M516" s="21"/>
      <c r="N516" s="21"/>
      <c r="O516" s="21"/>
      <c r="P516" s="21"/>
      <c r="Q516" s="21"/>
      <c r="R516" s="21">
        <v>4</v>
      </c>
      <c r="S516" s="21"/>
      <c r="T516" s="21"/>
      <c r="U516" s="21"/>
      <c r="V516" s="21">
        <v>2</v>
      </c>
      <c r="W516" s="21"/>
      <c r="X516" s="21">
        <v>4</v>
      </c>
      <c r="Y516" s="21"/>
      <c r="Z516" s="21"/>
      <c r="AA516" s="21"/>
      <c r="AB516" s="21"/>
      <c r="AC516" s="21">
        <v>6</v>
      </c>
      <c r="AD516" s="21"/>
      <c r="AE516" s="21"/>
      <c r="AF516" s="21"/>
      <c r="AG516" s="21"/>
      <c r="AH516" s="21">
        <v>4</v>
      </c>
      <c r="AI516" s="21"/>
      <c r="AJ516" s="21"/>
      <c r="AK516" s="21"/>
      <c r="AL516" s="21"/>
      <c r="AM516" s="21">
        <v>5</v>
      </c>
      <c r="AN516" s="21">
        <v>2</v>
      </c>
      <c r="AO516" s="21"/>
      <c r="AP516" s="21">
        <v>3</v>
      </c>
      <c r="AQ516" s="21"/>
      <c r="AR516" s="21"/>
      <c r="AS516" s="21"/>
      <c r="AT516" s="12" t="str">
        <f>HYPERLINK("http://www.openstreetmap.org/?mlat=33.4231&amp;mlon=44.3175&amp;zoom=12#map=12/33.4231/44.3175","Maplink1")</f>
        <v>Maplink1</v>
      </c>
      <c r="AU516" s="12" t="str">
        <f>HYPERLINK("https://www.google.iq/maps/search/+33.4231,44.3175/@33.4231,44.3175,14z?hl=en","Maplink2")</f>
        <v>Maplink2</v>
      </c>
      <c r="AV516" s="12" t="str">
        <f>HYPERLINK("http://www.bing.com/maps/?lvl=14&amp;sty=h&amp;cp=33.4231~44.3175&amp;sp=point.33.4231_44.3175","Maplink3")</f>
        <v>Maplink3</v>
      </c>
    </row>
    <row r="517" spans="1:48" ht="15" customHeight="1" x14ac:dyDescent="0.25">
      <c r="A517" s="19">
        <v>25183</v>
      </c>
      <c r="B517" s="20" t="s">
        <v>11</v>
      </c>
      <c r="C517" s="20" t="s">
        <v>945</v>
      </c>
      <c r="D517" s="20" t="s">
        <v>1047</v>
      </c>
      <c r="E517" s="20" t="s">
        <v>1048</v>
      </c>
      <c r="F517" s="20">
        <v>33.493731513500002</v>
      </c>
      <c r="G517" s="20">
        <v>44.196357605599999</v>
      </c>
      <c r="H517" s="22">
        <v>12</v>
      </c>
      <c r="I517" s="22">
        <v>72</v>
      </c>
      <c r="J517" s="21">
        <v>12</v>
      </c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>
        <v>5</v>
      </c>
      <c r="AD517" s="21"/>
      <c r="AE517" s="21"/>
      <c r="AF517" s="21"/>
      <c r="AG517" s="21"/>
      <c r="AH517" s="21">
        <v>7</v>
      </c>
      <c r="AI517" s="21"/>
      <c r="AJ517" s="21"/>
      <c r="AK517" s="21"/>
      <c r="AL517" s="21"/>
      <c r="AM517" s="21"/>
      <c r="AN517" s="21">
        <v>4</v>
      </c>
      <c r="AO517" s="21"/>
      <c r="AP517" s="21">
        <v>8</v>
      </c>
      <c r="AQ517" s="21"/>
      <c r="AR517" s="21"/>
      <c r="AS517" s="21"/>
      <c r="AT517" s="12" t="str">
        <f>HYPERLINK("http://www.openstreetmap.org/?mlat=33.4937&amp;mlon=44.1964&amp;zoom=12#map=12/33.4937/44.1964","Maplink1")</f>
        <v>Maplink1</v>
      </c>
      <c r="AU517" s="12" t="str">
        <f>HYPERLINK("https://www.google.iq/maps/search/+33.4937,44.1964/@33.4937,44.1964,14z?hl=en","Maplink2")</f>
        <v>Maplink2</v>
      </c>
      <c r="AV517" s="12" t="str">
        <f>HYPERLINK("http://www.bing.com/maps/?lvl=14&amp;sty=h&amp;cp=33.4937~44.1964&amp;sp=point.33.4937_44.1964","Maplink3")</f>
        <v>Maplink3</v>
      </c>
    </row>
    <row r="518" spans="1:48" ht="15" customHeight="1" x14ac:dyDescent="0.25">
      <c r="A518" s="19">
        <v>26043</v>
      </c>
      <c r="B518" s="20" t="s">
        <v>11</v>
      </c>
      <c r="C518" s="20" t="s">
        <v>945</v>
      </c>
      <c r="D518" s="20" t="s">
        <v>1049</v>
      </c>
      <c r="E518" s="20" t="s">
        <v>1050</v>
      </c>
      <c r="F518" s="20">
        <v>33.43673604</v>
      </c>
      <c r="G518" s="20">
        <v>44.242720290000001</v>
      </c>
      <c r="H518" s="22">
        <v>9</v>
      </c>
      <c r="I518" s="22">
        <v>54</v>
      </c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>
        <v>6</v>
      </c>
      <c r="W518" s="21"/>
      <c r="X518" s="21">
        <v>3</v>
      </c>
      <c r="Y518" s="21"/>
      <c r="Z518" s="21"/>
      <c r="AA518" s="21"/>
      <c r="AB518" s="21"/>
      <c r="AC518" s="21">
        <v>4</v>
      </c>
      <c r="AD518" s="21"/>
      <c r="AE518" s="21"/>
      <c r="AF518" s="21"/>
      <c r="AG518" s="21"/>
      <c r="AH518" s="21">
        <v>5</v>
      </c>
      <c r="AI518" s="21"/>
      <c r="AJ518" s="21"/>
      <c r="AK518" s="21"/>
      <c r="AL518" s="21"/>
      <c r="AM518" s="21"/>
      <c r="AN518" s="21"/>
      <c r="AO518" s="21"/>
      <c r="AP518" s="21">
        <v>6</v>
      </c>
      <c r="AQ518" s="21">
        <v>3</v>
      </c>
      <c r="AR518" s="21"/>
      <c r="AS518" s="21"/>
      <c r="AT518" s="12" t="str">
        <f>HYPERLINK("http://www.openstreetmap.org/?mlat=33.4367&amp;mlon=44.2427&amp;zoom=12#map=12/33.4367/44.2427","Maplink1")</f>
        <v>Maplink1</v>
      </c>
      <c r="AU518" s="12" t="str">
        <f>HYPERLINK("https://www.google.iq/maps/search/+33.4367,44.2427/@33.4367,44.2427,14z?hl=en","Maplink2")</f>
        <v>Maplink2</v>
      </c>
      <c r="AV518" s="12" t="str">
        <f>HYPERLINK("http://www.bing.com/maps/?lvl=14&amp;sty=h&amp;cp=33.4367~44.2427&amp;sp=point.33.4367_44.2427","Maplink3")</f>
        <v>Maplink3</v>
      </c>
    </row>
    <row r="519" spans="1:48" ht="15" customHeight="1" x14ac:dyDescent="0.25">
      <c r="A519" s="19">
        <v>25167</v>
      </c>
      <c r="B519" s="20" t="s">
        <v>11</v>
      </c>
      <c r="C519" s="20" t="s">
        <v>945</v>
      </c>
      <c r="D519" s="20" t="s">
        <v>1051</v>
      </c>
      <c r="E519" s="20" t="s">
        <v>1052</v>
      </c>
      <c r="F519" s="20">
        <v>33.452355616600002</v>
      </c>
      <c r="G519" s="20">
        <v>44.167196085400001</v>
      </c>
      <c r="H519" s="22">
        <v>5</v>
      </c>
      <c r="I519" s="22">
        <v>30</v>
      </c>
      <c r="J519" s="21">
        <v>5</v>
      </c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>
        <v>5</v>
      </c>
      <c r="AI519" s="21"/>
      <c r="AJ519" s="21"/>
      <c r="AK519" s="21"/>
      <c r="AL519" s="21">
        <v>3</v>
      </c>
      <c r="AM519" s="21"/>
      <c r="AN519" s="21"/>
      <c r="AO519" s="21"/>
      <c r="AP519" s="21">
        <v>2</v>
      </c>
      <c r="AQ519" s="21"/>
      <c r="AR519" s="21"/>
      <c r="AS519" s="21"/>
      <c r="AT519" s="12" t="str">
        <f>HYPERLINK("http://www.openstreetmap.org/?mlat=33.4524&amp;mlon=44.1672&amp;zoom=12#map=12/33.4524/44.1672","Maplink1")</f>
        <v>Maplink1</v>
      </c>
      <c r="AU519" s="12" t="str">
        <f>HYPERLINK("https://www.google.iq/maps/search/+33.4524,44.1672/@33.4524,44.1672,14z?hl=en","Maplink2")</f>
        <v>Maplink2</v>
      </c>
      <c r="AV519" s="12" t="str">
        <f>HYPERLINK("http://www.bing.com/maps/?lvl=14&amp;sty=h&amp;cp=33.4524~44.1672&amp;sp=point.33.4524_44.1672","Maplink3")</f>
        <v>Maplink3</v>
      </c>
    </row>
    <row r="520" spans="1:48" ht="15" customHeight="1" x14ac:dyDescent="0.25">
      <c r="A520" s="19">
        <v>22541</v>
      </c>
      <c r="B520" s="20" t="s">
        <v>11</v>
      </c>
      <c r="C520" s="20" t="s">
        <v>945</v>
      </c>
      <c r="D520" s="20" t="s">
        <v>1053</v>
      </c>
      <c r="E520" s="20" t="s">
        <v>1054</v>
      </c>
      <c r="F520" s="20">
        <v>33.458902930000001</v>
      </c>
      <c r="G520" s="20">
        <v>44.170784099999999</v>
      </c>
      <c r="H520" s="22">
        <v>14</v>
      </c>
      <c r="I520" s="22">
        <v>84</v>
      </c>
      <c r="J520" s="21">
        <v>14</v>
      </c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>
        <v>6</v>
      </c>
      <c r="AD520" s="21"/>
      <c r="AE520" s="21"/>
      <c r="AF520" s="21"/>
      <c r="AG520" s="21"/>
      <c r="AH520" s="21">
        <v>8</v>
      </c>
      <c r="AI520" s="21"/>
      <c r="AJ520" s="21"/>
      <c r="AK520" s="21"/>
      <c r="AL520" s="21"/>
      <c r="AM520" s="21"/>
      <c r="AN520" s="21">
        <v>7</v>
      </c>
      <c r="AO520" s="21">
        <v>3</v>
      </c>
      <c r="AP520" s="21">
        <v>4</v>
      </c>
      <c r="AQ520" s="21"/>
      <c r="AR520" s="21"/>
      <c r="AS520" s="21"/>
      <c r="AT520" s="12" t="str">
        <f>HYPERLINK("http://www.openstreetmap.org/?mlat=33.4589&amp;mlon=44.1708&amp;zoom=12#map=12/33.4589/44.1708","Maplink1")</f>
        <v>Maplink1</v>
      </c>
      <c r="AU520" s="12" t="str">
        <f>HYPERLINK("https://www.google.iq/maps/search/+33.4589,44.1708/@33.4589,44.1708,14z?hl=en","Maplink2")</f>
        <v>Maplink2</v>
      </c>
      <c r="AV520" s="12" t="str">
        <f>HYPERLINK("http://www.bing.com/maps/?lvl=14&amp;sty=h&amp;cp=33.4589~44.1708&amp;sp=point.33.4589_44.1708","Maplink3")</f>
        <v>Maplink3</v>
      </c>
    </row>
    <row r="521" spans="1:48" ht="15" customHeight="1" x14ac:dyDescent="0.25">
      <c r="A521" s="19">
        <v>22611</v>
      </c>
      <c r="B521" s="20" t="s">
        <v>11</v>
      </c>
      <c r="C521" s="20" t="s">
        <v>945</v>
      </c>
      <c r="D521" s="20" t="s">
        <v>1055</v>
      </c>
      <c r="E521" s="20" t="s">
        <v>1056</v>
      </c>
      <c r="F521" s="20">
        <v>33.468362140000004</v>
      </c>
      <c r="G521" s="20">
        <v>44.169403809999999</v>
      </c>
      <c r="H521" s="22">
        <v>19</v>
      </c>
      <c r="I521" s="22">
        <v>114</v>
      </c>
      <c r="J521" s="21">
        <v>19</v>
      </c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>
        <v>10</v>
      </c>
      <c r="AD521" s="21"/>
      <c r="AE521" s="21"/>
      <c r="AF521" s="21"/>
      <c r="AG521" s="21"/>
      <c r="AH521" s="21">
        <v>9</v>
      </c>
      <c r="AI521" s="21"/>
      <c r="AJ521" s="21"/>
      <c r="AK521" s="21"/>
      <c r="AL521" s="21">
        <v>4</v>
      </c>
      <c r="AM521" s="21">
        <v>6</v>
      </c>
      <c r="AN521" s="21"/>
      <c r="AO521" s="21"/>
      <c r="AP521" s="21">
        <v>7</v>
      </c>
      <c r="AQ521" s="21">
        <v>2</v>
      </c>
      <c r="AR521" s="21"/>
      <c r="AS521" s="21"/>
      <c r="AT521" s="12" t="str">
        <f>HYPERLINK("http://www.openstreetmap.org/?mlat=33.4684&amp;mlon=44.1694&amp;zoom=12#map=12/33.4684/44.1694","Maplink1")</f>
        <v>Maplink1</v>
      </c>
      <c r="AU521" s="12" t="str">
        <f>HYPERLINK("https://www.google.iq/maps/search/+33.4684,44.1694/@33.4684,44.1694,14z?hl=en","Maplink2")</f>
        <v>Maplink2</v>
      </c>
      <c r="AV521" s="12" t="str">
        <f>HYPERLINK("http://www.bing.com/maps/?lvl=14&amp;sty=h&amp;cp=33.4684~44.1694&amp;sp=point.33.4684_44.1694","Maplink3")</f>
        <v>Maplink3</v>
      </c>
    </row>
    <row r="522" spans="1:48" ht="15" customHeight="1" x14ac:dyDescent="0.25">
      <c r="A522" s="19">
        <v>25168</v>
      </c>
      <c r="B522" s="20" t="s">
        <v>11</v>
      </c>
      <c r="C522" s="20" t="s">
        <v>945</v>
      </c>
      <c r="D522" s="20" t="s">
        <v>1057</v>
      </c>
      <c r="E522" s="20" t="s">
        <v>1058</v>
      </c>
      <c r="F522" s="20">
        <v>33.47085981</v>
      </c>
      <c r="G522" s="20">
        <v>44.165869559999997</v>
      </c>
      <c r="H522" s="22">
        <v>15</v>
      </c>
      <c r="I522" s="22">
        <v>90</v>
      </c>
      <c r="J522" s="21">
        <v>4</v>
      </c>
      <c r="K522" s="21"/>
      <c r="L522" s="21"/>
      <c r="M522" s="21"/>
      <c r="N522" s="21"/>
      <c r="O522" s="21"/>
      <c r="P522" s="21"/>
      <c r="Q522" s="21"/>
      <c r="R522" s="21">
        <v>8</v>
      </c>
      <c r="S522" s="21"/>
      <c r="T522" s="21"/>
      <c r="U522" s="21"/>
      <c r="V522" s="21"/>
      <c r="W522" s="21"/>
      <c r="X522" s="21">
        <v>3</v>
      </c>
      <c r="Y522" s="21"/>
      <c r="Z522" s="21"/>
      <c r="AA522" s="21"/>
      <c r="AB522" s="21"/>
      <c r="AC522" s="21">
        <v>3</v>
      </c>
      <c r="AD522" s="21"/>
      <c r="AE522" s="21"/>
      <c r="AF522" s="21"/>
      <c r="AG522" s="21"/>
      <c r="AH522" s="21">
        <v>12</v>
      </c>
      <c r="AI522" s="21"/>
      <c r="AJ522" s="21"/>
      <c r="AK522" s="21"/>
      <c r="AL522" s="21"/>
      <c r="AM522" s="21"/>
      <c r="AN522" s="21"/>
      <c r="AO522" s="21">
        <v>3</v>
      </c>
      <c r="AP522" s="21">
        <v>4</v>
      </c>
      <c r="AQ522" s="21"/>
      <c r="AR522" s="21"/>
      <c r="AS522" s="21">
        <v>8</v>
      </c>
      <c r="AT522" s="12" t="str">
        <f>HYPERLINK("http://www.openstreetmap.org/?mlat=33.4709&amp;mlon=44.1659&amp;zoom=12#map=12/33.4709/44.1659","Maplink1")</f>
        <v>Maplink1</v>
      </c>
      <c r="AU522" s="12" t="str">
        <f>HYPERLINK("https://www.google.iq/maps/search/+33.4709,44.1659/@33.4709,44.1659,14z?hl=en","Maplink2")</f>
        <v>Maplink2</v>
      </c>
      <c r="AV522" s="12" t="str">
        <f>HYPERLINK("http://www.bing.com/maps/?lvl=14&amp;sty=h&amp;cp=33.4709~44.1659&amp;sp=point.33.4709_44.1659","Maplink3")</f>
        <v>Maplink3</v>
      </c>
    </row>
    <row r="523" spans="1:48" ht="15" customHeight="1" x14ac:dyDescent="0.25">
      <c r="A523" s="19">
        <v>25169</v>
      </c>
      <c r="B523" s="20" t="s">
        <v>11</v>
      </c>
      <c r="C523" s="20" t="s">
        <v>945</v>
      </c>
      <c r="D523" s="20" t="s">
        <v>1059</v>
      </c>
      <c r="E523" s="20" t="s">
        <v>1060</v>
      </c>
      <c r="F523" s="20">
        <v>33.454687901100002</v>
      </c>
      <c r="G523" s="20">
        <v>44.157873365900002</v>
      </c>
      <c r="H523" s="22">
        <v>9</v>
      </c>
      <c r="I523" s="22">
        <v>54</v>
      </c>
      <c r="J523" s="21">
        <v>9</v>
      </c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>
        <v>4</v>
      </c>
      <c r="AD523" s="21"/>
      <c r="AE523" s="21"/>
      <c r="AF523" s="21"/>
      <c r="AG523" s="21"/>
      <c r="AH523" s="21">
        <v>5</v>
      </c>
      <c r="AI523" s="21"/>
      <c r="AJ523" s="21"/>
      <c r="AK523" s="21"/>
      <c r="AL523" s="21"/>
      <c r="AM523" s="21"/>
      <c r="AN523" s="21"/>
      <c r="AO523" s="21"/>
      <c r="AP523" s="21">
        <v>9</v>
      </c>
      <c r="AQ523" s="21"/>
      <c r="AR523" s="21"/>
      <c r="AS523" s="21"/>
      <c r="AT523" s="12" t="str">
        <f>HYPERLINK("http://www.openstreetmap.org/?mlat=33.4547&amp;mlon=44.1579&amp;zoom=12#map=12/33.4547/44.1579","Maplink1")</f>
        <v>Maplink1</v>
      </c>
      <c r="AU523" s="12" t="str">
        <f>HYPERLINK("https://www.google.iq/maps/search/+33.4547,44.1579/@33.4547,44.1579,14z?hl=en","Maplink2")</f>
        <v>Maplink2</v>
      </c>
      <c r="AV523" s="12" t="str">
        <f>HYPERLINK("http://www.bing.com/maps/?lvl=14&amp;sty=h&amp;cp=33.4547~44.1579&amp;sp=point.33.4547_44.1579","Maplink3")</f>
        <v>Maplink3</v>
      </c>
    </row>
    <row r="524" spans="1:48" ht="15" customHeight="1" x14ac:dyDescent="0.25">
      <c r="A524" s="19">
        <v>25326</v>
      </c>
      <c r="B524" s="20" t="s">
        <v>11</v>
      </c>
      <c r="C524" s="20" t="s">
        <v>945</v>
      </c>
      <c r="D524" s="20" t="s">
        <v>1061</v>
      </c>
      <c r="E524" s="20" t="s">
        <v>1062</v>
      </c>
      <c r="F524" s="20">
        <v>33.461878779999999</v>
      </c>
      <c r="G524" s="20">
        <v>44.171883999999999</v>
      </c>
      <c r="H524" s="22">
        <v>10</v>
      </c>
      <c r="I524" s="22">
        <v>60</v>
      </c>
      <c r="J524" s="21">
        <v>10</v>
      </c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>
        <v>4</v>
      </c>
      <c r="AD524" s="21"/>
      <c r="AE524" s="21"/>
      <c r="AF524" s="21"/>
      <c r="AG524" s="21"/>
      <c r="AH524" s="21">
        <v>6</v>
      </c>
      <c r="AI524" s="21"/>
      <c r="AJ524" s="21"/>
      <c r="AK524" s="21"/>
      <c r="AL524" s="21"/>
      <c r="AM524" s="21"/>
      <c r="AN524" s="21"/>
      <c r="AO524" s="21"/>
      <c r="AP524" s="21">
        <v>10</v>
      </c>
      <c r="AQ524" s="21"/>
      <c r="AR524" s="21"/>
      <c r="AS524" s="21"/>
      <c r="AT524" s="12" t="str">
        <f>HYPERLINK("http://www.openstreetmap.org/?mlat=33.4619&amp;mlon=44.1719&amp;zoom=12#map=12/33.4619/44.1719","Maplink1")</f>
        <v>Maplink1</v>
      </c>
      <c r="AU524" s="12" t="str">
        <f>HYPERLINK("https://www.google.iq/maps/search/+33.4619,44.1719/@33.4619,44.1719,14z?hl=en","Maplink2")</f>
        <v>Maplink2</v>
      </c>
      <c r="AV524" s="12" t="str">
        <f>HYPERLINK("http://www.bing.com/maps/?lvl=14&amp;sty=h&amp;cp=33.4619~44.1719&amp;sp=point.33.4619_44.1719","Maplink3")</f>
        <v>Maplink3</v>
      </c>
    </row>
    <row r="525" spans="1:48" ht="15" customHeight="1" x14ac:dyDescent="0.25">
      <c r="A525" s="19">
        <v>25164</v>
      </c>
      <c r="B525" s="20" t="s">
        <v>11</v>
      </c>
      <c r="C525" s="20" t="s">
        <v>945</v>
      </c>
      <c r="D525" s="20" t="s">
        <v>1063</v>
      </c>
      <c r="E525" s="20" t="s">
        <v>1064</v>
      </c>
      <c r="F525" s="20">
        <v>33.456556646000003</v>
      </c>
      <c r="G525" s="20">
        <v>44.157171557300003</v>
      </c>
      <c r="H525" s="22">
        <v>14</v>
      </c>
      <c r="I525" s="22">
        <v>84</v>
      </c>
      <c r="J525" s="21">
        <v>7</v>
      </c>
      <c r="K525" s="21"/>
      <c r="L525" s="21"/>
      <c r="M525" s="21"/>
      <c r="N525" s="21"/>
      <c r="O525" s="21">
        <v>7</v>
      </c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>
        <v>14</v>
      </c>
      <c r="AI525" s="21"/>
      <c r="AJ525" s="21"/>
      <c r="AK525" s="21"/>
      <c r="AL525" s="21"/>
      <c r="AM525" s="21"/>
      <c r="AN525" s="21">
        <v>8</v>
      </c>
      <c r="AO525" s="21"/>
      <c r="AP525" s="21">
        <v>6</v>
      </c>
      <c r="AQ525" s="21"/>
      <c r="AR525" s="21"/>
      <c r="AS525" s="21"/>
      <c r="AT525" s="12" t="str">
        <f>HYPERLINK("http://www.openstreetmap.org/?mlat=33.4566&amp;mlon=44.1572&amp;zoom=12#map=12/33.4566/44.1572","Maplink1")</f>
        <v>Maplink1</v>
      </c>
      <c r="AU525" s="12" t="str">
        <f>HYPERLINK("https://www.google.iq/maps/search/+33.4566,44.1572/@33.4566,44.1572,14z?hl=en","Maplink2")</f>
        <v>Maplink2</v>
      </c>
      <c r="AV525" s="12" t="str">
        <f>HYPERLINK("http://www.bing.com/maps/?lvl=14&amp;sty=h&amp;cp=33.4566~44.1572&amp;sp=point.33.4566_44.1572","Maplink3")</f>
        <v>Maplink3</v>
      </c>
    </row>
    <row r="526" spans="1:48" ht="15" customHeight="1" x14ac:dyDescent="0.25">
      <c r="A526" s="19">
        <v>25165</v>
      </c>
      <c r="B526" s="20" t="s">
        <v>11</v>
      </c>
      <c r="C526" s="20" t="s">
        <v>945</v>
      </c>
      <c r="D526" s="20" t="s">
        <v>1065</v>
      </c>
      <c r="E526" s="20" t="s">
        <v>1066</v>
      </c>
      <c r="F526" s="20">
        <v>33.455334453299997</v>
      </c>
      <c r="G526" s="20">
        <v>44.156637023499997</v>
      </c>
      <c r="H526" s="22">
        <v>11</v>
      </c>
      <c r="I526" s="22">
        <v>66</v>
      </c>
      <c r="J526" s="21">
        <v>11</v>
      </c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>
        <v>2</v>
      </c>
      <c r="AD526" s="21"/>
      <c r="AE526" s="21"/>
      <c r="AF526" s="21"/>
      <c r="AG526" s="21"/>
      <c r="AH526" s="21">
        <v>9</v>
      </c>
      <c r="AI526" s="21"/>
      <c r="AJ526" s="21"/>
      <c r="AK526" s="21"/>
      <c r="AL526" s="21"/>
      <c r="AM526" s="21"/>
      <c r="AN526" s="21"/>
      <c r="AO526" s="21">
        <v>5</v>
      </c>
      <c r="AP526" s="21">
        <v>6</v>
      </c>
      <c r="AQ526" s="21"/>
      <c r="AR526" s="21"/>
      <c r="AS526" s="21"/>
      <c r="AT526" s="12" t="str">
        <f>HYPERLINK("http://www.openstreetmap.org/?mlat=33.4553&amp;mlon=44.1566&amp;zoom=12#map=12/33.4553/44.1566","Maplink1")</f>
        <v>Maplink1</v>
      </c>
      <c r="AU526" s="12" t="str">
        <f>HYPERLINK("https://www.google.iq/maps/search/+33.4553,44.1566/@33.4553,44.1566,14z?hl=en","Maplink2")</f>
        <v>Maplink2</v>
      </c>
      <c r="AV526" s="12" t="str">
        <f>HYPERLINK("http://www.bing.com/maps/?lvl=14&amp;sty=h&amp;cp=33.4553~44.1566&amp;sp=point.33.4553_44.1566","Maplink3")</f>
        <v>Maplink3</v>
      </c>
    </row>
    <row r="527" spans="1:48" ht="15" customHeight="1" x14ac:dyDescent="0.25">
      <c r="A527" s="19">
        <v>29501</v>
      </c>
      <c r="B527" s="20" t="s">
        <v>11</v>
      </c>
      <c r="C527" s="20" t="s">
        <v>945</v>
      </c>
      <c r="D527" s="20" t="s">
        <v>1067</v>
      </c>
      <c r="E527" s="20" t="s">
        <v>1068</v>
      </c>
      <c r="F527" s="20">
        <v>33.467309999999998</v>
      </c>
      <c r="G527" s="20">
        <v>44.10257</v>
      </c>
      <c r="H527" s="22">
        <v>10</v>
      </c>
      <c r="I527" s="22">
        <v>60</v>
      </c>
      <c r="J527" s="21">
        <v>10</v>
      </c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>
        <v>4</v>
      </c>
      <c r="AD527" s="21"/>
      <c r="AE527" s="21"/>
      <c r="AF527" s="21"/>
      <c r="AG527" s="21"/>
      <c r="AH527" s="21">
        <v>6</v>
      </c>
      <c r="AI527" s="21"/>
      <c r="AJ527" s="21"/>
      <c r="AK527" s="21"/>
      <c r="AL527" s="21"/>
      <c r="AM527" s="21"/>
      <c r="AN527" s="21"/>
      <c r="AO527" s="21"/>
      <c r="AP527" s="21">
        <v>10</v>
      </c>
      <c r="AQ527" s="21"/>
      <c r="AR527" s="21"/>
      <c r="AS527" s="21"/>
      <c r="AT527" s="12" t="str">
        <f>HYPERLINK("http://www.openstreetmap.org/?mlat=33.4673&amp;mlon=44.1026&amp;zoom=12#map=12/33.4673/44.1026","Maplink1")</f>
        <v>Maplink1</v>
      </c>
      <c r="AU527" s="12" t="str">
        <f>HYPERLINK("https://www.google.iq/maps/search/+33.4673,44.1026/@33.4673,44.1026,14z?hl=en","Maplink2")</f>
        <v>Maplink2</v>
      </c>
      <c r="AV527" s="12" t="str">
        <f>HYPERLINK("http://www.bing.com/maps/?lvl=14&amp;sty=h&amp;cp=33.4673~44.1026&amp;sp=point.33.4673_44.1026","Maplink3")</f>
        <v>Maplink3</v>
      </c>
    </row>
    <row r="528" spans="1:48" ht="15" customHeight="1" x14ac:dyDescent="0.25">
      <c r="A528" s="19">
        <v>29500</v>
      </c>
      <c r="B528" s="20" t="s">
        <v>11</v>
      </c>
      <c r="C528" s="20" t="s">
        <v>945</v>
      </c>
      <c r="D528" s="20" t="s">
        <v>5870</v>
      </c>
      <c r="E528" s="20" t="s">
        <v>5871</v>
      </c>
      <c r="F528" s="20">
        <v>33.46519</v>
      </c>
      <c r="G528" s="20">
        <v>44.129809999999999</v>
      </c>
      <c r="H528" s="22">
        <v>7</v>
      </c>
      <c r="I528" s="22">
        <v>42</v>
      </c>
      <c r="J528" s="21">
        <v>7</v>
      </c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>
        <v>4</v>
      </c>
      <c r="AD528" s="21"/>
      <c r="AE528" s="21"/>
      <c r="AF528" s="21"/>
      <c r="AG528" s="21"/>
      <c r="AH528" s="21">
        <v>3</v>
      </c>
      <c r="AI528" s="21"/>
      <c r="AJ528" s="21"/>
      <c r="AK528" s="21"/>
      <c r="AL528" s="21"/>
      <c r="AM528" s="21"/>
      <c r="AN528" s="21"/>
      <c r="AO528" s="21"/>
      <c r="AP528" s="21">
        <v>7</v>
      </c>
      <c r="AQ528" s="21"/>
      <c r="AR528" s="21"/>
      <c r="AS528" s="21"/>
      <c r="AT528" s="12" t="str">
        <f>HYPERLINK("http://www.openstreetmap.org/?mlat=33.4652&amp;mlon=44.1298&amp;zoom=12#map=12/33.4652/44.1298","Maplink1")</f>
        <v>Maplink1</v>
      </c>
      <c r="AU528" s="12" t="str">
        <f>HYPERLINK("https://www.google.iq/maps/search/+33.4652,44.1298/@33.4652,44.1298,14z?hl=en","Maplink2")</f>
        <v>Maplink2</v>
      </c>
      <c r="AV528" s="12" t="str">
        <f>HYPERLINK("http://www.bing.com/maps/?lvl=14&amp;sty=h&amp;cp=33.4652~44.1298&amp;sp=point.33.4652_44.1298","Maplink3")</f>
        <v>Maplink3</v>
      </c>
    </row>
    <row r="529" spans="1:48" ht="15" customHeight="1" x14ac:dyDescent="0.25">
      <c r="A529" s="19">
        <v>27378</v>
      </c>
      <c r="B529" s="20" t="s">
        <v>11</v>
      </c>
      <c r="C529" s="20" t="s">
        <v>945</v>
      </c>
      <c r="D529" s="20" t="s">
        <v>1069</v>
      </c>
      <c r="E529" s="20" t="s">
        <v>1070</v>
      </c>
      <c r="F529" s="20">
        <v>33.56765</v>
      </c>
      <c r="G529" s="20">
        <v>44.173690000000001</v>
      </c>
      <c r="H529" s="22">
        <v>11</v>
      </c>
      <c r="I529" s="22">
        <v>66</v>
      </c>
      <c r="J529" s="21">
        <v>11</v>
      </c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>
        <v>6</v>
      </c>
      <c r="AD529" s="21"/>
      <c r="AE529" s="21"/>
      <c r="AF529" s="21"/>
      <c r="AG529" s="21"/>
      <c r="AH529" s="21">
        <v>5</v>
      </c>
      <c r="AI529" s="21"/>
      <c r="AJ529" s="21"/>
      <c r="AK529" s="21"/>
      <c r="AL529" s="21"/>
      <c r="AM529" s="21"/>
      <c r="AN529" s="21"/>
      <c r="AO529" s="21">
        <v>6</v>
      </c>
      <c r="AP529" s="21">
        <v>5</v>
      </c>
      <c r="AQ529" s="21"/>
      <c r="AR529" s="21"/>
      <c r="AS529" s="21"/>
      <c r="AT529" s="12" t="str">
        <f>HYPERLINK("http://www.openstreetmap.org/?mlat=33.5677&amp;mlon=44.1737&amp;zoom=12#map=12/33.5677/44.1737","Maplink1")</f>
        <v>Maplink1</v>
      </c>
      <c r="AU529" s="12" t="str">
        <f>HYPERLINK("https://www.google.iq/maps/search/+33.5677,44.1737/@33.5677,44.1737,14z?hl=en","Maplink2")</f>
        <v>Maplink2</v>
      </c>
      <c r="AV529" s="12" t="str">
        <f>HYPERLINK("http://www.bing.com/maps/?lvl=14&amp;sty=h&amp;cp=33.5677~44.1737&amp;sp=point.33.5677_44.1737","Maplink3")</f>
        <v>Maplink3</v>
      </c>
    </row>
    <row r="530" spans="1:48" ht="15" customHeight="1" x14ac:dyDescent="0.25">
      <c r="A530" s="19">
        <v>25186</v>
      </c>
      <c r="B530" s="20" t="s">
        <v>11</v>
      </c>
      <c r="C530" s="20" t="s">
        <v>945</v>
      </c>
      <c r="D530" s="20" t="s">
        <v>1071</v>
      </c>
      <c r="E530" s="20" t="s">
        <v>1072</v>
      </c>
      <c r="F530" s="20">
        <v>33.496180000000003</v>
      </c>
      <c r="G530" s="20">
        <v>44.276000000000003</v>
      </c>
      <c r="H530" s="22">
        <v>9</v>
      </c>
      <c r="I530" s="22">
        <v>54</v>
      </c>
      <c r="J530" s="21">
        <v>6</v>
      </c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>
        <v>3</v>
      </c>
      <c r="Y530" s="21"/>
      <c r="Z530" s="21"/>
      <c r="AA530" s="21"/>
      <c r="AB530" s="21"/>
      <c r="AC530" s="21">
        <v>7</v>
      </c>
      <c r="AD530" s="21"/>
      <c r="AE530" s="21"/>
      <c r="AF530" s="21"/>
      <c r="AG530" s="21"/>
      <c r="AH530" s="21">
        <v>2</v>
      </c>
      <c r="AI530" s="21"/>
      <c r="AJ530" s="21"/>
      <c r="AK530" s="21"/>
      <c r="AL530" s="21">
        <v>3</v>
      </c>
      <c r="AM530" s="21"/>
      <c r="AN530" s="21"/>
      <c r="AO530" s="21">
        <v>6</v>
      </c>
      <c r="AP530" s="21"/>
      <c r="AQ530" s="21"/>
      <c r="AR530" s="21"/>
      <c r="AS530" s="21"/>
      <c r="AT530" s="12" t="str">
        <f>HYPERLINK("http://www.openstreetmap.org/?mlat=33.4962&amp;mlon=44.276&amp;zoom=12#map=12/33.4962/44.276","Maplink1")</f>
        <v>Maplink1</v>
      </c>
      <c r="AU530" s="12" t="str">
        <f>HYPERLINK("https://www.google.iq/maps/search/+33.4962,44.276/@33.4962,44.276,14z?hl=en","Maplink2")</f>
        <v>Maplink2</v>
      </c>
      <c r="AV530" s="12" t="str">
        <f>HYPERLINK("http://www.bing.com/maps/?lvl=14&amp;sty=h&amp;cp=33.4962~44.276&amp;sp=point.33.4962_44.276","Maplink3")</f>
        <v>Maplink3</v>
      </c>
    </row>
    <row r="531" spans="1:48" ht="15" customHeight="1" x14ac:dyDescent="0.25">
      <c r="A531" s="19">
        <v>27311</v>
      </c>
      <c r="B531" s="20" t="s">
        <v>11</v>
      </c>
      <c r="C531" s="20" t="s">
        <v>945</v>
      </c>
      <c r="D531" s="20" t="s">
        <v>1073</v>
      </c>
      <c r="E531" s="20" t="s">
        <v>1074</v>
      </c>
      <c r="F531" s="20">
        <v>33.3597730117</v>
      </c>
      <c r="G531" s="20">
        <v>44.283437658899999</v>
      </c>
      <c r="H531" s="22">
        <v>7</v>
      </c>
      <c r="I531" s="22">
        <v>42</v>
      </c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>
        <v>7</v>
      </c>
      <c r="W531" s="21"/>
      <c r="X531" s="21"/>
      <c r="Y531" s="21"/>
      <c r="Z531" s="21"/>
      <c r="AA531" s="21"/>
      <c r="AB531" s="21"/>
      <c r="AC531" s="21">
        <v>7</v>
      </c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>
        <v>7</v>
      </c>
      <c r="AO531" s="21"/>
      <c r="AP531" s="21"/>
      <c r="AQ531" s="21"/>
      <c r="AR531" s="21"/>
      <c r="AS531" s="21"/>
      <c r="AT531" s="12" t="str">
        <f>HYPERLINK("http://www.openstreetmap.org/?mlat=33.3598&amp;mlon=44.2834&amp;zoom=12#map=12/33.3598/44.2834","Maplink1")</f>
        <v>Maplink1</v>
      </c>
      <c r="AU531" s="12" t="str">
        <f>HYPERLINK("https://www.google.iq/maps/search/+33.3598,44.2834/@33.3598,44.2834,14z?hl=en","Maplink2")</f>
        <v>Maplink2</v>
      </c>
      <c r="AV531" s="12" t="str">
        <f>HYPERLINK("http://www.bing.com/maps/?lvl=14&amp;sty=h&amp;cp=33.3598~44.2834&amp;sp=point.33.3598_44.2834","Maplink3")</f>
        <v>Maplink3</v>
      </c>
    </row>
    <row r="532" spans="1:48" ht="15" customHeight="1" x14ac:dyDescent="0.25">
      <c r="A532" s="19">
        <v>27312</v>
      </c>
      <c r="B532" s="20" t="s">
        <v>11</v>
      </c>
      <c r="C532" s="20" t="s">
        <v>945</v>
      </c>
      <c r="D532" s="20" t="s">
        <v>1075</v>
      </c>
      <c r="E532" s="20" t="s">
        <v>1076</v>
      </c>
      <c r="F532" s="20">
        <v>33.360228202800002</v>
      </c>
      <c r="G532" s="20">
        <v>44.295781873599999</v>
      </c>
      <c r="H532" s="22">
        <v>12</v>
      </c>
      <c r="I532" s="22">
        <v>72</v>
      </c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>
        <v>12</v>
      </c>
      <c r="W532" s="21"/>
      <c r="X532" s="21"/>
      <c r="Y532" s="21"/>
      <c r="Z532" s="21"/>
      <c r="AA532" s="21"/>
      <c r="AB532" s="21"/>
      <c r="AC532" s="21">
        <v>7</v>
      </c>
      <c r="AD532" s="21"/>
      <c r="AE532" s="21"/>
      <c r="AF532" s="21"/>
      <c r="AG532" s="21"/>
      <c r="AH532" s="21">
        <v>5</v>
      </c>
      <c r="AI532" s="21"/>
      <c r="AJ532" s="21"/>
      <c r="AK532" s="21"/>
      <c r="AL532" s="21"/>
      <c r="AM532" s="21"/>
      <c r="AN532" s="21">
        <v>10</v>
      </c>
      <c r="AO532" s="21">
        <v>2</v>
      </c>
      <c r="AP532" s="21"/>
      <c r="AQ532" s="21"/>
      <c r="AR532" s="21"/>
      <c r="AS532" s="21"/>
      <c r="AT532" s="12" t="str">
        <f>HYPERLINK("http://www.openstreetmap.org/?mlat=33.3602&amp;mlon=44.2958&amp;zoom=12#map=12/33.3602/44.2958","Maplink1")</f>
        <v>Maplink1</v>
      </c>
      <c r="AU532" s="12" t="str">
        <f>HYPERLINK("https://www.google.iq/maps/search/+33.3602,44.2958/@33.3602,44.2958,14z?hl=en","Maplink2")</f>
        <v>Maplink2</v>
      </c>
      <c r="AV532" s="12" t="str">
        <f>HYPERLINK("http://www.bing.com/maps/?lvl=14&amp;sty=h&amp;cp=33.3602~44.2958&amp;sp=point.33.3602_44.2958","Maplink3")</f>
        <v>Maplink3</v>
      </c>
    </row>
    <row r="533" spans="1:48" ht="15" customHeight="1" x14ac:dyDescent="0.25">
      <c r="A533" s="19">
        <v>27314</v>
      </c>
      <c r="B533" s="20" t="s">
        <v>11</v>
      </c>
      <c r="C533" s="20" t="s">
        <v>945</v>
      </c>
      <c r="D533" s="20" t="s">
        <v>1077</v>
      </c>
      <c r="E533" s="20" t="s">
        <v>1078</v>
      </c>
      <c r="F533" s="20">
        <v>33.363455904200002</v>
      </c>
      <c r="G533" s="20">
        <v>44.289353476400002</v>
      </c>
      <c r="H533" s="22">
        <v>15</v>
      </c>
      <c r="I533" s="22">
        <v>90</v>
      </c>
      <c r="J533" s="21">
        <v>2</v>
      </c>
      <c r="K533" s="21"/>
      <c r="L533" s="21"/>
      <c r="M533" s="21"/>
      <c r="N533" s="21"/>
      <c r="O533" s="21"/>
      <c r="P533" s="21"/>
      <c r="Q533" s="21"/>
      <c r="R533" s="21">
        <v>7</v>
      </c>
      <c r="S533" s="21"/>
      <c r="T533" s="21"/>
      <c r="U533" s="21"/>
      <c r="V533" s="21">
        <v>6</v>
      </c>
      <c r="W533" s="21"/>
      <c r="X533" s="21"/>
      <c r="Y533" s="21"/>
      <c r="Z533" s="21"/>
      <c r="AA533" s="21"/>
      <c r="AB533" s="21"/>
      <c r="AC533" s="21">
        <v>6</v>
      </c>
      <c r="AD533" s="21"/>
      <c r="AE533" s="21"/>
      <c r="AF533" s="21"/>
      <c r="AG533" s="21"/>
      <c r="AH533" s="21">
        <v>9</v>
      </c>
      <c r="AI533" s="21"/>
      <c r="AJ533" s="21"/>
      <c r="AK533" s="21"/>
      <c r="AL533" s="21">
        <v>2</v>
      </c>
      <c r="AM533" s="21"/>
      <c r="AN533" s="21">
        <v>6</v>
      </c>
      <c r="AO533" s="21">
        <v>4</v>
      </c>
      <c r="AP533" s="21">
        <v>3</v>
      </c>
      <c r="AQ533" s="21"/>
      <c r="AR533" s="21"/>
      <c r="AS533" s="21"/>
      <c r="AT533" s="12" t="str">
        <f>HYPERLINK("http://www.openstreetmap.org/?mlat=33.3635&amp;mlon=44.2894&amp;zoom=12#map=12/33.3635/44.2894","Maplink1")</f>
        <v>Maplink1</v>
      </c>
      <c r="AU533" s="12" t="str">
        <f>HYPERLINK("https://www.google.iq/maps/search/+33.3635,44.2894/@33.3635,44.2894,14z?hl=en","Maplink2")</f>
        <v>Maplink2</v>
      </c>
      <c r="AV533" s="12" t="str">
        <f>HYPERLINK("http://www.bing.com/maps/?lvl=14&amp;sty=h&amp;cp=33.3635~44.2894&amp;sp=point.33.3635_44.2894","Maplink3")</f>
        <v>Maplink3</v>
      </c>
    </row>
    <row r="534" spans="1:48" ht="15" customHeight="1" x14ac:dyDescent="0.25">
      <c r="A534" s="19">
        <v>27315</v>
      </c>
      <c r="B534" s="20" t="s">
        <v>11</v>
      </c>
      <c r="C534" s="20" t="s">
        <v>945</v>
      </c>
      <c r="D534" s="20" t="s">
        <v>1079</v>
      </c>
      <c r="E534" s="20" t="s">
        <v>1080</v>
      </c>
      <c r="F534" s="20">
        <v>33.366767019699999</v>
      </c>
      <c r="G534" s="20">
        <v>44.286670787600002</v>
      </c>
      <c r="H534" s="22">
        <v>18</v>
      </c>
      <c r="I534" s="22">
        <v>108</v>
      </c>
      <c r="J534" s="21">
        <v>6</v>
      </c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>
        <v>6</v>
      </c>
      <c r="W534" s="21"/>
      <c r="X534" s="21">
        <v>6</v>
      </c>
      <c r="Y534" s="21"/>
      <c r="Z534" s="21"/>
      <c r="AA534" s="21"/>
      <c r="AB534" s="21"/>
      <c r="AC534" s="21">
        <v>10</v>
      </c>
      <c r="AD534" s="21"/>
      <c r="AE534" s="21"/>
      <c r="AF534" s="21"/>
      <c r="AG534" s="21"/>
      <c r="AH534" s="21">
        <v>8</v>
      </c>
      <c r="AI534" s="21"/>
      <c r="AJ534" s="21"/>
      <c r="AK534" s="21"/>
      <c r="AL534" s="21">
        <v>6</v>
      </c>
      <c r="AM534" s="21"/>
      <c r="AN534" s="21">
        <v>10</v>
      </c>
      <c r="AO534" s="21">
        <v>2</v>
      </c>
      <c r="AP534" s="21"/>
      <c r="AQ534" s="21"/>
      <c r="AR534" s="21"/>
      <c r="AS534" s="21"/>
      <c r="AT534" s="12" t="str">
        <f>HYPERLINK("http://www.openstreetmap.org/?mlat=33.3668&amp;mlon=44.2867&amp;zoom=12#map=12/33.3668/44.2867","Maplink1")</f>
        <v>Maplink1</v>
      </c>
      <c r="AU534" s="12" t="str">
        <f>HYPERLINK("https://www.google.iq/maps/search/+33.3668,44.2867/@33.3668,44.2867,14z?hl=en","Maplink2")</f>
        <v>Maplink2</v>
      </c>
      <c r="AV534" s="12" t="str">
        <f>HYPERLINK("http://www.bing.com/maps/?lvl=14&amp;sty=h&amp;cp=33.3668~44.2867&amp;sp=point.33.3668_44.2867","Maplink3")</f>
        <v>Maplink3</v>
      </c>
    </row>
    <row r="535" spans="1:48" ht="15" customHeight="1" x14ac:dyDescent="0.25">
      <c r="A535" s="19">
        <v>27316</v>
      </c>
      <c r="B535" s="20" t="s">
        <v>11</v>
      </c>
      <c r="C535" s="20" t="s">
        <v>945</v>
      </c>
      <c r="D535" s="20" t="s">
        <v>1081</v>
      </c>
      <c r="E535" s="20" t="s">
        <v>1082</v>
      </c>
      <c r="F535" s="20">
        <v>33.368108700000001</v>
      </c>
      <c r="G535" s="20">
        <v>44.270917420000004</v>
      </c>
      <c r="H535" s="22">
        <v>15</v>
      </c>
      <c r="I535" s="22">
        <v>90</v>
      </c>
      <c r="J535" s="21">
        <v>4</v>
      </c>
      <c r="K535" s="21"/>
      <c r="L535" s="21"/>
      <c r="M535" s="21"/>
      <c r="N535" s="21"/>
      <c r="O535" s="21">
        <v>2</v>
      </c>
      <c r="P535" s="21"/>
      <c r="Q535" s="21"/>
      <c r="R535" s="21"/>
      <c r="S535" s="21"/>
      <c r="T535" s="21"/>
      <c r="U535" s="21"/>
      <c r="V535" s="21">
        <v>6</v>
      </c>
      <c r="W535" s="21"/>
      <c r="X535" s="21">
        <v>3</v>
      </c>
      <c r="Y535" s="21"/>
      <c r="Z535" s="21"/>
      <c r="AA535" s="21"/>
      <c r="AB535" s="21"/>
      <c r="AC535" s="21">
        <v>6</v>
      </c>
      <c r="AD535" s="21"/>
      <c r="AE535" s="21"/>
      <c r="AF535" s="21"/>
      <c r="AG535" s="21"/>
      <c r="AH535" s="21">
        <v>9</v>
      </c>
      <c r="AI535" s="21"/>
      <c r="AJ535" s="21"/>
      <c r="AK535" s="21"/>
      <c r="AL535" s="21"/>
      <c r="AM535" s="21"/>
      <c r="AN535" s="21">
        <v>6</v>
      </c>
      <c r="AO535" s="21">
        <v>9</v>
      </c>
      <c r="AP535" s="21"/>
      <c r="AQ535" s="21"/>
      <c r="AR535" s="21"/>
      <c r="AS535" s="21"/>
      <c r="AT535" s="12" t="str">
        <f>HYPERLINK("http://www.openstreetmap.org/?mlat=33.3681&amp;mlon=44.2709&amp;zoom=12#map=12/33.3681/44.2709","Maplink1")</f>
        <v>Maplink1</v>
      </c>
      <c r="AU535" s="12" t="str">
        <f>HYPERLINK("https://www.google.iq/maps/search/+33.3681,44.2709/@33.3681,44.2709,14z?hl=en","Maplink2")</f>
        <v>Maplink2</v>
      </c>
      <c r="AV535" s="12" t="str">
        <f>HYPERLINK("http://www.bing.com/maps/?lvl=14&amp;sty=h&amp;cp=33.3681~44.2709&amp;sp=point.33.3681_44.2709","Maplink3")</f>
        <v>Maplink3</v>
      </c>
    </row>
    <row r="536" spans="1:48" ht="15" customHeight="1" x14ac:dyDescent="0.25">
      <c r="A536" s="19">
        <v>27317</v>
      </c>
      <c r="B536" s="20" t="s">
        <v>11</v>
      </c>
      <c r="C536" s="20" t="s">
        <v>945</v>
      </c>
      <c r="D536" s="20" t="s">
        <v>1083</v>
      </c>
      <c r="E536" s="20" t="s">
        <v>1084</v>
      </c>
      <c r="F536" s="20">
        <v>33.366470664300003</v>
      </c>
      <c r="G536" s="20">
        <v>44.258031231099999</v>
      </c>
      <c r="H536" s="22">
        <v>18</v>
      </c>
      <c r="I536" s="22">
        <v>108</v>
      </c>
      <c r="J536" s="21">
        <v>2</v>
      </c>
      <c r="K536" s="21"/>
      <c r="L536" s="21"/>
      <c r="M536" s="21"/>
      <c r="N536" s="21"/>
      <c r="O536" s="21"/>
      <c r="P536" s="21"/>
      <c r="Q536" s="21"/>
      <c r="R536" s="21">
        <v>9</v>
      </c>
      <c r="S536" s="21"/>
      <c r="T536" s="21"/>
      <c r="U536" s="21"/>
      <c r="V536" s="21">
        <v>7</v>
      </c>
      <c r="W536" s="21"/>
      <c r="X536" s="21"/>
      <c r="Y536" s="21"/>
      <c r="Z536" s="21"/>
      <c r="AA536" s="21"/>
      <c r="AB536" s="21"/>
      <c r="AC536" s="21">
        <v>7</v>
      </c>
      <c r="AD536" s="21"/>
      <c r="AE536" s="21"/>
      <c r="AF536" s="21"/>
      <c r="AG536" s="21"/>
      <c r="AH536" s="21">
        <v>11</v>
      </c>
      <c r="AI536" s="21"/>
      <c r="AJ536" s="21"/>
      <c r="AK536" s="21"/>
      <c r="AL536" s="21">
        <v>2</v>
      </c>
      <c r="AM536" s="21"/>
      <c r="AN536" s="21">
        <v>7</v>
      </c>
      <c r="AO536" s="21"/>
      <c r="AP536" s="21">
        <v>9</v>
      </c>
      <c r="AQ536" s="21"/>
      <c r="AR536" s="21"/>
      <c r="AS536" s="21"/>
      <c r="AT536" s="12" t="str">
        <f>HYPERLINK("http://www.openstreetmap.org/?mlat=33.3665&amp;mlon=44.258&amp;zoom=12#map=12/33.3665/44.258","Maplink1")</f>
        <v>Maplink1</v>
      </c>
      <c r="AU536" s="12" t="str">
        <f>HYPERLINK("https://www.google.iq/maps/search/+33.3665,44.258/@33.3665,44.258,14z?hl=en","Maplink2")</f>
        <v>Maplink2</v>
      </c>
      <c r="AV536" s="12" t="str">
        <f>HYPERLINK("http://www.bing.com/maps/?lvl=14&amp;sty=h&amp;cp=33.3665~44.258&amp;sp=point.33.3665_44.258","Maplink3")</f>
        <v>Maplink3</v>
      </c>
    </row>
    <row r="537" spans="1:48" ht="15" customHeight="1" x14ac:dyDescent="0.25">
      <c r="A537" s="19">
        <v>27318</v>
      </c>
      <c r="B537" s="20" t="s">
        <v>11</v>
      </c>
      <c r="C537" s="20" t="s">
        <v>945</v>
      </c>
      <c r="D537" s="20" t="s">
        <v>1085</v>
      </c>
      <c r="E537" s="20" t="s">
        <v>1086</v>
      </c>
      <c r="F537" s="20">
        <v>33.364463435600001</v>
      </c>
      <c r="G537" s="20">
        <v>44.253441853799998</v>
      </c>
      <c r="H537" s="22">
        <v>16</v>
      </c>
      <c r="I537" s="22">
        <v>96</v>
      </c>
      <c r="J537" s="21"/>
      <c r="K537" s="21"/>
      <c r="L537" s="21"/>
      <c r="M537" s="21"/>
      <c r="N537" s="21"/>
      <c r="O537" s="21">
        <v>3</v>
      </c>
      <c r="P537" s="21"/>
      <c r="Q537" s="21"/>
      <c r="R537" s="21"/>
      <c r="S537" s="21"/>
      <c r="T537" s="21"/>
      <c r="U537" s="21"/>
      <c r="V537" s="21">
        <v>7</v>
      </c>
      <c r="W537" s="21"/>
      <c r="X537" s="21">
        <v>6</v>
      </c>
      <c r="Y537" s="21"/>
      <c r="Z537" s="21"/>
      <c r="AA537" s="21"/>
      <c r="AB537" s="21"/>
      <c r="AC537" s="21">
        <v>4</v>
      </c>
      <c r="AD537" s="21"/>
      <c r="AE537" s="21"/>
      <c r="AF537" s="21"/>
      <c r="AG537" s="21"/>
      <c r="AH537" s="21">
        <v>12</v>
      </c>
      <c r="AI537" s="21"/>
      <c r="AJ537" s="21"/>
      <c r="AK537" s="21"/>
      <c r="AL537" s="21"/>
      <c r="AM537" s="21"/>
      <c r="AN537" s="21">
        <v>7</v>
      </c>
      <c r="AO537" s="21">
        <v>9</v>
      </c>
      <c r="AP537" s="21"/>
      <c r="AQ537" s="21"/>
      <c r="AR537" s="21"/>
      <c r="AS537" s="21"/>
      <c r="AT537" s="12" t="str">
        <f>HYPERLINK("http://www.openstreetmap.org/?mlat=33.3645&amp;mlon=44.2534&amp;zoom=12#map=12/33.3645/44.2534","Maplink1")</f>
        <v>Maplink1</v>
      </c>
      <c r="AU537" s="12" t="str">
        <f>HYPERLINK("https://www.google.iq/maps/search/+33.3645,44.2534/@33.3645,44.2534,14z?hl=en","Maplink2")</f>
        <v>Maplink2</v>
      </c>
      <c r="AV537" s="12" t="str">
        <f>HYPERLINK("http://www.bing.com/maps/?lvl=14&amp;sty=h&amp;cp=33.3645~44.2534&amp;sp=point.33.3645_44.2534","Maplink3")</f>
        <v>Maplink3</v>
      </c>
    </row>
    <row r="538" spans="1:48" ht="15" customHeight="1" x14ac:dyDescent="0.25">
      <c r="A538" s="19">
        <v>27319</v>
      </c>
      <c r="B538" s="20" t="s">
        <v>11</v>
      </c>
      <c r="C538" s="20" t="s">
        <v>945</v>
      </c>
      <c r="D538" s="20" t="s">
        <v>1087</v>
      </c>
      <c r="E538" s="20" t="s">
        <v>1088</v>
      </c>
      <c r="F538" s="20">
        <v>33.371241560000001</v>
      </c>
      <c r="G538" s="20">
        <v>44.261142149999998</v>
      </c>
      <c r="H538" s="22">
        <v>29</v>
      </c>
      <c r="I538" s="22">
        <v>174</v>
      </c>
      <c r="J538" s="21">
        <v>10</v>
      </c>
      <c r="K538" s="21"/>
      <c r="L538" s="21"/>
      <c r="M538" s="21"/>
      <c r="N538" s="21"/>
      <c r="O538" s="21"/>
      <c r="P538" s="21"/>
      <c r="Q538" s="21"/>
      <c r="R538" s="21">
        <v>3</v>
      </c>
      <c r="S538" s="21"/>
      <c r="T538" s="21"/>
      <c r="U538" s="21"/>
      <c r="V538" s="21">
        <v>10</v>
      </c>
      <c r="W538" s="21"/>
      <c r="X538" s="21">
        <v>6</v>
      </c>
      <c r="Y538" s="21"/>
      <c r="Z538" s="21"/>
      <c r="AA538" s="21"/>
      <c r="AB538" s="21"/>
      <c r="AC538" s="21">
        <v>11</v>
      </c>
      <c r="AD538" s="21"/>
      <c r="AE538" s="21"/>
      <c r="AF538" s="21"/>
      <c r="AG538" s="21"/>
      <c r="AH538" s="21">
        <v>18</v>
      </c>
      <c r="AI538" s="21"/>
      <c r="AJ538" s="21"/>
      <c r="AK538" s="21"/>
      <c r="AL538" s="21">
        <v>10</v>
      </c>
      <c r="AM538" s="21"/>
      <c r="AN538" s="21">
        <v>10</v>
      </c>
      <c r="AO538" s="21">
        <v>9</v>
      </c>
      <c r="AP538" s="21"/>
      <c r="AQ538" s="21"/>
      <c r="AR538" s="21"/>
      <c r="AS538" s="21"/>
      <c r="AT538" s="12" t="str">
        <f>HYPERLINK("http://www.openstreetmap.org/?mlat=33.3712&amp;mlon=44.2611&amp;zoom=12#map=12/33.3712/44.2611","Maplink1")</f>
        <v>Maplink1</v>
      </c>
      <c r="AU538" s="12" t="str">
        <f>HYPERLINK("https://www.google.iq/maps/search/+33.3712,44.2611/@33.3712,44.2611,14z?hl=en","Maplink2")</f>
        <v>Maplink2</v>
      </c>
      <c r="AV538" s="12" t="str">
        <f>HYPERLINK("http://www.bing.com/maps/?lvl=14&amp;sty=h&amp;cp=33.3712~44.2611&amp;sp=point.33.3712_44.2611","Maplink3")</f>
        <v>Maplink3</v>
      </c>
    </row>
    <row r="539" spans="1:48" ht="15" customHeight="1" x14ac:dyDescent="0.25">
      <c r="A539" s="19">
        <v>27320</v>
      </c>
      <c r="B539" s="20" t="s">
        <v>11</v>
      </c>
      <c r="C539" s="20" t="s">
        <v>945</v>
      </c>
      <c r="D539" s="20" t="s">
        <v>1089</v>
      </c>
      <c r="E539" s="20" t="s">
        <v>1090</v>
      </c>
      <c r="F539" s="20">
        <v>33.3566082022</v>
      </c>
      <c r="G539" s="20">
        <v>44.296047018899998</v>
      </c>
      <c r="H539" s="22">
        <v>20</v>
      </c>
      <c r="I539" s="22">
        <v>120</v>
      </c>
      <c r="J539" s="21">
        <v>10</v>
      </c>
      <c r="K539" s="21"/>
      <c r="L539" s="21"/>
      <c r="M539" s="21"/>
      <c r="N539" s="21"/>
      <c r="O539" s="21">
        <v>1</v>
      </c>
      <c r="P539" s="21"/>
      <c r="Q539" s="21"/>
      <c r="R539" s="21">
        <v>2</v>
      </c>
      <c r="S539" s="21"/>
      <c r="T539" s="21"/>
      <c r="U539" s="21"/>
      <c r="V539" s="21">
        <v>4</v>
      </c>
      <c r="W539" s="21"/>
      <c r="X539" s="21">
        <v>3</v>
      </c>
      <c r="Y539" s="21"/>
      <c r="Z539" s="21"/>
      <c r="AA539" s="21"/>
      <c r="AB539" s="21"/>
      <c r="AC539" s="21">
        <v>20</v>
      </c>
      <c r="AD539" s="21"/>
      <c r="AE539" s="21"/>
      <c r="AF539" s="21"/>
      <c r="AG539" s="21"/>
      <c r="AH539" s="21"/>
      <c r="AI539" s="21"/>
      <c r="AJ539" s="21"/>
      <c r="AK539" s="21"/>
      <c r="AL539" s="21">
        <v>10</v>
      </c>
      <c r="AM539" s="21"/>
      <c r="AN539" s="21">
        <v>7</v>
      </c>
      <c r="AO539" s="21">
        <v>3</v>
      </c>
      <c r="AP539" s="21"/>
      <c r="AQ539" s="21"/>
      <c r="AR539" s="21"/>
      <c r="AS539" s="21"/>
      <c r="AT539" s="12" t="str">
        <f>HYPERLINK("http://www.openstreetmap.org/?mlat=33.3566&amp;mlon=44.296&amp;zoom=12#map=12/33.3566/44.296","Maplink1")</f>
        <v>Maplink1</v>
      </c>
      <c r="AU539" s="12" t="str">
        <f>HYPERLINK("https://www.google.iq/maps/search/+33.3566,44.296/@33.3566,44.296,14z?hl=en","Maplink2")</f>
        <v>Maplink2</v>
      </c>
      <c r="AV539" s="12" t="str">
        <f>HYPERLINK("http://www.bing.com/maps/?lvl=14&amp;sty=h&amp;cp=33.3566~44.296&amp;sp=point.33.3566_44.296","Maplink3")</f>
        <v>Maplink3</v>
      </c>
    </row>
    <row r="540" spans="1:48" ht="15" customHeight="1" x14ac:dyDescent="0.25">
      <c r="A540" s="19">
        <v>25190</v>
      </c>
      <c r="B540" s="20" t="s">
        <v>11</v>
      </c>
      <c r="C540" s="20" t="s">
        <v>945</v>
      </c>
      <c r="D540" s="20" t="s">
        <v>1091</v>
      </c>
      <c r="E540" s="20" t="s">
        <v>1092</v>
      </c>
      <c r="F540" s="20">
        <v>33.497599999999998</v>
      </c>
      <c r="G540" s="20">
        <v>44.277200000000001</v>
      </c>
      <c r="H540" s="22">
        <v>7</v>
      </c>
      <c r="I540" s="22">
        <v>42</v>
      </c>
      <c r="J540" s="21">
        <v>7</v>
      </c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>
        <v>7</v>
      </c>
      <c r="AD540" s="21"/>
      <c r="AE540" s="21"/>
      <c r="AF540" s="21"/>
      <c r="AG540" s="21"/>
      <c r="AH540" s="21"/>
      <c r="AI540" s="21"/>
      <c r="AJ540" s="21"/>
      <c r="AK540" s="21"/>
      <c r="AL540" s="21">
        <v>7</v>
      </c>
      <c r="AM540" s="21"/>
      <c r="AN540" s="21"/>
      <c r="AO540" s="21"/>
      <c r="AP540" s="21"/>
      <c r="AQ540" s="21"/>
      <c r="AR540" s="21"/>
      <c r="AS540" s="21"/>
      <c r="AT540" s="12" t="str">
        <f>HYPERLINK("http://www.openstreetmap.org/?mlat=33.4976&amp;mlon=44.2772&amp;zoom=12#map=12/33.4976/44.2772","Maplink1")</f>
        <v>Maplink1</v>
      </c>
      <c r="AU540" s="12" t="str">
        <f>HYPERLINK("https://www.google.iq/maps/search/+33.4976,44.2772/@33.4976,44.2772,14z?hl=en","Maplink2")</f>
        <v>Maplink2</v>
      </c>
      <c r="AV540" s="12" t="str">
        <f>HYPERLINK("http://www.bing.com/maps/?lvl=14&amp;sty=h&amp;cp=33.4976~44.2772&amp;sp=point.33.4976_44.2772","Maplink3")</f>
        <v>Maplink3</v>
      </c>
    </row>
    <row r="541" spans="1:48" ht="15" customHeight="1" x14ac:dyDescent="0.25">
      <c r="A541" s="19">
        <v>25175</v>
      </c>
      <c r="B541" s="20" t="s">
        <v>11</v>
      </c>
      <c r="C541" s="20" t="s">
        <v>945</v>
      </c>
      <c r="D541" s="20" t="s">
        <v>1093</v>
      </c>
      <c r="E541" s="20" t="s">
        <v>1094</v>
      </c>
      <c r="F541" s="20">
        <v>33.469409730000002</v>
      </c>
      <c r="G541" s="20">
        <v>44.22228406</v>
      </c>
      <c r="H541" s="22">
        <v>5</v>
      </c>
      <c r="I541" s="22">
        <v>30</v>
      </c>
      <c r="J541" s="21">
        <v>5</v>
      </c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>
        <v>3</v>
      </c>
      <c r="AD541" s="21"/>
      <c r="AE541" s="21"/>
      <c r="AF541" s="21"/>
      <c r="AG541" s="21"/>
      <c r="AH541" s="21">
        <v>2</v>
      </c>
      <c r="AI541" s="21"/>
      <c r="AJ541" s="21"/>
      <c r="AK541" s="21"/>
      <c r="AL541" s="21">
        <v>4</v>
      </c>
      <c r="AM541" s="21"/>
      <c r="AN541" s="21"/>
      <c r="AO541" s="21">
        <v>1</v>
      </c>
      <c r="AP541" s="21"/>
      <c r="AQ541" s="21"/>
      <c r="AR541" s="21"/>
      <c r="AS541" s="21"/>
      <c r="AT541" s="12" t="str">
        <f>HYPERLINK("http://www.openstreetmap.org/?mlat=33.4694&amp;mlon=44.2223&amp;zoom=12#map=12/33.4694/44.2223","Maplink1")</f>
        <v>Maplink1</v>
      </c>
      <c r="AU541" s="12" t="str">
        <f>HYPERLINK("https://www.google.iq/maps/search/+33.4694,44.2223/@33.4694,44.2223,14z?hl=en","Maplink2")</f>
        <v>Maplink2</v>
      </c>
      <c r="AV541" s="12" t="str">
        <f>HYPERLINK("http://www.bing.com/maps/?lvl=14&amp;sty=h&amp;cp=33.4694~44.2223&amp;sp=point.33.4694_44.2223","Maplink3")</f>
        <v>Maplink3</v>
      </c>
    </row>
    <row r="542" spans="1:48" ht="15" customHeight="1" x14ac:dyDescent="0.25">
      <c r="A542" s="19">
        <v>25402</v>
      </c>
      <c r="B542" s="20" t="s">
        <v>11</v>
      </c>
      <c r="C542" s="20" t="s">
        <v>1095</v>
      </c>
      <c r="D542" s="20" t="s">
        <v>1096</v>
      </c>
      <c r="E542" s="20" t="s">
        <v>1097</v>
      </c>
      <c r="F542" s="20">
        <v>33.216620203700003</v>
      </c>
      <c r="G542" s="20">
        <v>44.3803375894</v>
      </c>
      <c r="H542" s="22">
        <v>17</v>
      </c>
      <c r="I542" s="22">
        <v>102</v>
      </c>
      <c r="J542" s="21">
        <v>4</v>
      </c>
      <c r="K542" s="21"/>
      <c r="L542" s="21"/>
      <c r="M542" s="21"/>
      <c r="N542" s="21"/>
      <c r="O542" s="21">
        <v>2</v>
      </c>
      <c r="P542" s="21"/>
      <c r="Q542" s="21"/>
      <c r="R542" s="21"/>
      <c r="S542" s="21"/>
      <c r="T542" s="21"/>
      <c r="U542" s="21"/>
      <c r="V542" s="21">
        <v>8</v>
      </c>
      <c r="W542" s="21"/>
      <c r="X542" s="21">
        <v>3</v>
      </c>
      <c r="Y542" s="21"/>
      <c r="Z542" s="21"/>
      <c r="AA542" s="21"/>
      <c r="AB542" s="21"/>
      <c r="AC542" s="21">
        <v>12</v>
      </c>
      <c r="AD542" s="21"/>
      <c r="AE542" s="21"/>
      <c r="AF542" s="21"/>
      <c r="AG542" s="21"/>
      <c r="AH542" s="21">
        <v>5</v>
      </c>
      <c r="AI542" s="21"/>
      <c r="AJ542" s="21"/>
      <c r="AK542" s="21"/>
      <c r="AL542" s="21">
        <v>3</v>
      </c>
      <c r="AM542" s="21">
        <v>8</v>
      </c>
      <c r="AN542" s="21">
        <v>4</v>
      </c>
      <c r="AO542" s="21">
        <v>2</v>
      </c>
      <c r="AP542" s="21"/>
      <c r="AQ542" s="21"/>
      <c r="AR542" s="21"/>
      <c r="AS542" s="21"/>
      <c r="AT542" s="12" t="str">
        <f>HYPERLINK("http://www.openstreetmap.org/?mlat=33.2166&amp;mlon=44.3803&amp;zoom=12#map=12/33.2166/44.3803","Maplink1")</f>
        <v>Maplink1</v>
      </c>
      <c r="AU542" s="12" t="str">
        <f>HYPERLINK("https://www.google.iq/maps/search/+33.2166,44.3803/@33.2166,44.3803,14z?hl=en","Maplink2")</f>
        <v>Maplink2</v>
      </c>
      <c r="AV542" s="12" t="str">
        <f>HYPERLINK("http://www.bing.com/maps/?lvl=14&amp;sty=h&amp;cp=33.2166~44.3803&amp;sp=point.33.2166_44.3803","Maplink3")</f>
        <v>Maplink3</v>
      </c>
    </row>
    <row r="543" spans="1:48" ht="15" customHeight="1" x14ac:dyDescent="0.25">
      <c r="A543" s="19">
        <v>25403</v>
      </c>
      <c r="B543" s="20" t="s">
        <v>11</v>
      </c>
      <c r="C543" s="20" t="s">
        <v>1095</v>
      </c>
      <c r="D543" s="20" t="s">
        <v>1098</v>
      </c>
      <c r="E543" s="20" t="s">
        <v>1099</v>
      </c>
      <c r="F543" s="20">
        <v>33.217384657399997</v>
      </c>
      <c r="G543" s="20">
        <v>44.383854674200002</v>
      </c>
      <c r="H543" s="22">
        <v>14</v>
      </c>
      <c r="I543" s="22">
        <v>84</v>
      </c>
      <c r="J543" s="21">
        <v>4</v>
      </c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>
        <v>8</v>
      </c>
      <c r="W543" s="21"/>
      <c r="X543" s="21">
        <v>2</v>
      </c>
      <c r="Y543" s="21"/>
      <c r="Z543" s="21"/>
      <c r="AA543" s="21"/>
      <c r="AB543" s="21"/>
      <c r="AC543" s="21"/>
      <c r="AD543" s="21"/>
      <c r="AE543" s="21"/>
      <c r="AF543" s="21"/>
      <c r="AG543" s="21"/>
      <c r="AH543" s="21">
        <v>14</v>
      </c>
      <c r="AI543" s="21"/>
      <c r="AJ543" s="21"/>
      <c r="AK543" s="21"/>
      <c r="AL543" s="21">
        <v>6</v>
      </c>
      <c r="AM543" s="21">
        <v>6</v>
      </c>
      <c r="AN543" s="21"/>
      <c r="AO543" s="21">
        <v>2</v>
      </c>
      <c r="AP543" s="21"/>
      <c r="AQ543" s="21"/>
      <c r="AR543" s="21"/>
      <c r="AS543" s="21"/>
      <c r="AT543" s="12" t="str">
        <f>HYPERLINK("http://www.openstreetmap.org/?mlat=33.2174&amp;mlon=44.3839&amp;zoom=12#map=12/33.2174/44.3839","Maplink1")</f>
        <v>Maplink1</v>
      </c>
      <c r="AU543" s="12" t="str">
        <f>HYPERLINK("https://www.google.iq/maps/search/+33.2174,44.3839/@33.2174,44.3839,14z?hl=en","Maplink2")</f>
        <v>Maplink2</v>
      </c>
      <c r="AV543" s="12" t="str">
        <f>HYPERLINK("http://www.bing.com/maps/?lvl=14&amp;sty=h&amp;cp=33.2174~44.3839&amp;sp=point.33.2174_44.3839","Maplink3")</f>
        <v>Maplink3</v>
      </c>
    </row>
    <row r="544" spans="1:48" ht="15" customHeight="1" x14ac:dyDescent="0.25">
      <c r="A544" s="19">
        <v>25404</v>
      </c>
      <c r="B544" s="20" t="s">
        <v>11</v>
      </c>
      <c r="C544" s="20" t="s">
        <v>1095</v>
      </c>
      <c r="D544" s="20" t="s">
        <v>1100</v>
      </c>
      <c r="E544" s="20" t="s">
        <v>1101</v>
      </c>
      <c r="F544" s="20">
        <v>33.220717280000002</v>
      </c>
      <c r="G544" s="20">
        <v>44.384416770000001</v>
      </c>
      <c r="H544" s="22">
        <v>10</v>
      </c>
      <c r="I544" s="22">
        <v>60</v>
      </c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>
        <v>7</v>
      </c>
      <c r="W544" s="21"/>
      <c r="X544" s="21">
        <v>3</v>
      </c>
      <c r="Y544" s="21"/>
      <c r="Z544" s="21"/>
      <c r="AA544" s="21"/>
      <c r="AB544" s="21"/>
      <c r="AC544" s="21">
        <v>2</v>
      </c>
      <c r="AD544" s="21"/>
      <c r="AE544" s="21"/>
      <c r="AF544" s="21"/>
      <c r="AG544" s="21"/>
      <c r="AH544" s="21">
        <v>8</v>
      </c>
      <c r="AI544" s="21"/>
      <c r="AJ544" s="21"/>
      <c r="AK544" s="21"/>
      <c r="AL544" s="21"/>
      <c r="AM544" s="21">
        <v>10</v>
      </c>
      <c r="AN544" s="21"/>
      <c r="AO544" s="21"/>
      <c r="AP544" s="21"/>
      <c r="AQ544" s="21"/>
      <c r="AR544" s="21"/>
      <c r="AS544" s="21"/>
      <c r="AT544" s="12" t="str">
        <f>HYPERLINK("http://www.openstreetmap.org/?mlat=33.2207&amp;mlon=44.3844&amp;zoom=12#map=12/33.2207/44.3844","Maplink1")</f>
        <v>Maplink1</v>
      </c>
      <c r="AU544" s="12" t="str">
        <f>HYPERLINK("https://www.google.iq/maps/search/+33.2207,44.3844/@33.2207,44.3844,14z?hl=en","Maplink2")</f>
        <v>Maplink2</v>
      </c>
      <c r="AV544" s="12" t="str">
        <f>HYPERLINK("http://www.bing.com/maps/?lvl=14&amp;sty=h&amp;cp=33.2207~44.3844&amp;sp=point.33.2207_44.3844","Maplink3")</f>
        <v>Maplink3</v>
      </c>
    </row>
    <row r="545" spans="1:48" ht="15" customHeight="1" x14ac:dyDescent="0.25">
      <c r="A545" s="19">
        <v>25405</v>
      </c>
      <c r="B545" s="20" t="s">
        <v>11</v>
      </c>
      <c r="C545" s="20" t="s">
        <v>1095</v>
      </c>
      <c r="D545" s="20" t="s">
        <v>1102</v>
      </c>
      <c r="E545" s="20" t="s">
        <v>1103</v>
      </c>
      <c r="F545" s="20">
        <v>33.214589423500001</v>
      </c>
      <c r="G545" s="20">
        <v>44.401059004700002</v>
      </c>
      <c r="H545" s="22">
        <v>7</v>
      </c>
      <c r="I545" s="22">
        <v>42</v>
      </c>
      <c r="J545" s="21">
        <v>7</v>
      </c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>
        <v>7</v>
      </c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>
        <v>7</v>
      </c>
      <c r="AQ545" s="21"/>
      <c r="AR545" s="21"/>
      <c r="AS545" s="21"/>
      <c r="AT545" s="12" t="str">
        <f>HYPERLINK("http://www.openstreetmap.org/?mlat=33.2146&amp;mlon=44.4011&amp;zoom=12#map=12/33.2146/44.4011","Maplink1")</f>
        <v>Maplink1</v>
      </c>
      <c r="AU545" s="12" t="str">
        <f>HYPERLINK("https://www.google.iq/maps/search/+33.2146,44.4011/@33.2146,44.4011,14z?hl=en","Maplink2")</f>
        <v>Maplink2</v>
      </c>
      <c r="AV545" s="12" t="str">
        <f>HYPERLINK("http://www.bing.com/maps/?lvl=14&amp;sty=h&amp;cp=33.2146~44.4011&amp;sp=point.33.2146_44.4011","Maplink3")</f>
        <v>Maplink3</v>
      </c>
    </row>
    <row r="546" spans="1:48" ht="15" customHeight="1" x14ac:dyDescent="0.25">
      <c r="A546" s="19">
        <v>21451</v>
      </c>
      <c r="B546" s="20" t="s">
        <v>11</v>
      </c>
      <c r="C546" s="20" t="s">
        <v>1095</v>
      </c>
      <c r="D546" s="20" t="s">
        <v>1104</v>
      </c>
      <c r="E546" s="20" t="s">
        <v>1105</v>
      </c>
      <c r="F546" s="20">
        <v>33.299036726799997</v>
      </c>
      <c r="G546" s="20">
        <v>44.292635277700001</v>
      </c>
      <c r="H546" s="22">
        <v>191</v>
      </c>
      <c r="I546" s="22">
        <v>1146</v>
      </c>
      <c r="J546" s="21">
        <v>166</v>
      </c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>
        <v>25</v>
      </c>
      <c r="W546" s="21"/>
      <c r="X546" s="21"/>
      <c r="Y546" s="21"/>
      <c r="Z546" s="21"/>
      <c r="AA546" s="21"/>
      <c r="AB546" s="21"/>
      <c r="AC546" s="21">
        <v>80</v>
      </c>
      <c r="AD546" s="21"/>
      <c r="AE546" s="21"/>
      <c r="AF546" s="21"/>
      <c r="AG546" s="21"/>
      <c r="AH546" s="21">
        <v>111</v>
      </c>
      <c r="AI546" s="21"/>
      <c r="AJ546" s="21"/>
      <c r="AK546" s="21"/>
      <c r="AL546" s="21"/>
      <c r="AM546" s="21">
        <v>25</v>
      </c>
      <c r="AN546" s="21"/>
      <c r="AO546" s="21"/>
      <c r="AP546" s="21">
        <v>157</v>
      </c>
      <c r="AQ546" s="21">
        <v>5</v>
      </c>
      <c r="AR546" s="21">
        <v>4</v>
      </c>
      <c r="AS546" s="21"/>
      <c r="AT546" s="12" t="str">
        <f>HYPERLINK("http://www.openstreetmap.org/?mlat=33.299&amp;mlon=44.2926&amp;zoom=12#map=12/33.299/44.2926","Maplink1")</f>
        <v>Maplink1</v>
      </c>
      <c r="AU546" s="12" t="str">
        <f>HYPERLINK("https://www.google.iq/maps/search/+33.299,44.2926/@33.299,44.2926,14z?hl=en","Maplink2")</f>
        <v>Maplink2</v>
      </c>
      <c r="AV546" s="12" t="str">
        <f>HYPERLINK("http://www.bing.com/maps/?lvl=14&amp;sty=h&amp;cp=33.299~44.2926&amp;sp=point.33.299_44.2926","Maplink3")</f>
        <v>Maplink3</v>
      </c>
    </row>
    <row r="547" spans="1:48" ht="15" customHeight="1" x14ac:dyDescent="0.25">
      <c r="A547" s="19">
        <v>21450</v>
      </c>
      <c r="B547" s="20" t="s">
        <v>11</v>
      </c>
      <c r="C547" s="20" t="s">
        <v>1095</v>
      </c>
      <c r="D547" s="20" t="s">
        <v>1106</v>
      </c>
      <c r="E547" s="20" t="s">
        <v>1107</v>
      </c>
      <c r="F547" s="20">
        <v>33.291088590000001</v>
      </c>
      <c r="G547" s="20">
        <v>44.301241619999999</v>
      </c>
      <c r="H547" s="22">
        <v>129</v>
      </c>
      <c r="I547" s="22">
        <v>774</v>
      </c>
      <c r="J547" s="21">
        <v>112</v>
      </c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>
        <v>17</v>
      </c>
      <c r="W547" s="21"/>
      <c r="X547" s="21"/>
      <c r="Y547" s="21"/>
      <c r="Z547" s="21"/>
      <c r="AA547" s="21"/>
      <c r="AB547" s="21"/>
      <c r="AC547" s="21">
        <v>42</v>
      </c>
      <c r="AD547" s="21"/>
      <c r="AE547" s="21"/>
      <c r="AF547" s="21"/>
      <c r="AG547" s="21"/>
      <c r="AH547" s="21">
        <v>87</v>
      </c>
      <c r="AI547" s="21"/>
      <c r="AJ547" s="21"/>
      <c r="AK547" s="21"/>
      <c r="AL547" s="21"/>
      <c r="AM547" s="21">
        <v>26</v>
      </c>
      <c r="AN547" s="21"/>
      <c r="AO547" s="21">
        <v>16</v>
      </c>
      <c r="AP547" s="21">
        <v>74</v>
      </c>
      <c r="AQ547" s="21">
        <v>8</v>
      </c>
      <c r="AR547" s="21">
        <v>5</v>
      </c>
      <c r="AS547" s="21"/>
      <c r="AT547" s="12" t="str">
        <f>HYPERLINK("http://www.openstreetmap.org/?mlat=33.2911&amp;mlon=44.3012&amp;zoom=12#map=12/33.2911/44.3012","Maplink1")</f>
        <v>Maplink1</v>
      </c>
      <c r="AU547" s="12" t="str">
        <f>HYPERLINK("https://www.google.iq/maps/search/+33.2911,44.3012/@33.2911,44.3012,14z?hl=en","Maplink2")</f>
        <v>Maplink2</v>
      </c>
      <c r="AV547" s="12" t="str">
        <f>HYPERLINK("http://www.bing.com/maps/?lvl=14&amp;sty=h&amp;cp=33.2911~44.3012&amp;sp=point.33.2911_44.3012","Maplink3")</f>
        <v>Maplink3</v>
      </c>
    </row>
    <row r="548" spans="1:48" ht="15" customHeight="1" x14ac:dyDescent="0.25">
      <c r="A548" s="19">
        <v>21452</v>
      </c>
      <c r="B548" s="20" t="s">
        <v>11</v>
      </c>
      <c r="C548" s="20" t="s">
        <v>1095</v>
      </c>
      <c r="D548" s="20" t="s">
        <v>1108</v>
      </c>
      <c r="E548" s="20" t="s">
        <v>1109</v>
      </c>
      <c r="F548" s="20">
        <v>33.298133329999999</v>
      </c>
      <c r="G548" s="20">
        <v>44.284450049999997</v>
      </c>
      <c r="H548" s="22">
        <v>293</v>
      </c>
      <c r="I548" s="22">
        <v>1758</v>
      </c>
      <c r="J548" s="21">
        <v>280</v>
      </c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>
        <v>6</v>
      </c>
      <c r="W548" s="21"/>
      <c r="X548" s="21">
        <v>7</v>
      </c>
      <c r="Y548" s="21"/>
      <c r="Z548" s="21"/>
      <c r="AA548" s="21"/>
      <c r="AB548" s="21"/>
      <c r="AC548" s="21">
        <v>151</v>
      </c>
      <c r="AD548" s="21"/>
      <c r="AE548" s="21"/>
      <c r="AF548" s="21"/>
      <c r="AG548" s="21"/>
      <c r="AH548" s="21">
        <v>142</v>
      </c>
      <c r="AI548" s="21"/>
      <c r="AJ548" s="21"/>
      <c r="AK548" s="21"/>
      <c r="AL548" s="21">
        <v>90</v>
      </c>
      <c r="AM548" s="21">
        <v>102</v>
      </c>
      <c r="AN548" s="21"/>
      <c r="AO548" s="21"/>
      <c r="AP548" s="21">
        <v>90</v>
      </c>
      <c r="AQ548" s="21">
        <v>6</v>
      </c>
      <c r="AR548" s="21">
        <v>5</v>
      </c>
      <c r="AS548" s="21"/>
      <c r="AT548" s="12" t="str">
        <f>HYPERLINK("http://www.openstreetmap.org/?mlat=33.2981&amp;mlon=44.2845&amp;zoom=12#map=12/33.2981/44.2845","Maplink1")</f>
        <v>Maplink1</v>
      </c>
      <c r="AU548" s="12" t="str">
        <f>HYPERLINK("https://www.google.iq/maps/search/+33.2981,44.2845/@33.2981,44.2845,14z?hl=en","Maplink2")</f>
        <v>Maplink2</v>
      </c>
      <c r="AV548" s="12" t="str">
        <f>HYPERLINK("http://www.bing.com/maps/?lvl=14&amp;sty=h&amp;cp=33.2981~44.2845&amp;sp=point.33.2981_44.2845","Maplink3")</f>
        <v>Maplink3</v>
      </c>
    </row>
    <row r="549" spans="1:48" ht="15" customHeight="1" x14ac:dyDescent="0.25">
      <c r="A549" s="19">
        <v>21449</v>
      </c>
      <c r="B549" s="20" t="s">
        <v>11</v>
      </c>
      <c r="C549" s="20" t="s">
        <v>1095</v>
      </c>
      <c r="D549" s="20" t="s">
        <v>1110</v>
      </c>
      <c r="E549" s="20" t="s">
        <v>1111</v>
      </c>
      <c r="F549" s="20">
        <v>33.295655330000002</v>
      </c>
      <c r="G549" s="20">
        <v>44.291176530000001</v>
      </c>
      <c r="H549" s="22">
        <v>179</v>
      </c>
      <c r="I549" s="22">
        <v>1074</v>
      </c>
      <c r="J549" s="21">
        <v>156</v>
      </c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>
        <v>23</v>
      </c>
      <c r="W549" s="21"/>
      <c r="X549" s="21"/>
      <c r="Y549" s="21"/>
      <c r="Z549" s="21"/>
      <c r="AA549" s="21"/>
      <c r="AB549" s="21"/>
      <c r="AC549" s="21">
        <v>73</v>
      </c>
      <c r="AD549" s="21"/>
      <c r="AE549" s="21"/>
      <c r="AF549" s="21"/>
      <c r="AG549" s="21"/>
      <c r="AH549" s="21">
        <v>106</v>
      </c>
      <c r="AI549" s="21"/>
      <c r="AJ549" s="21"/>
      <c r="AK549" s="21"/>
      <c r="AL549" s="21">
        <v>31</v>
      </c>
      <c r="AM549" s="21">
        <v>23</v>
      </c>
      <c r="AN549" s="21"/>
      <c r="AO549" s="21">
        <v>41</v>
      </c>
      <c r="AP549" s="21">
        <v>51</v>
      </c>
      <c r="AQ549" s="21">
        <v>30</v>
      </c>
      <c r="AR549" s="21">
        <v>3</v>
      </c>
      <c r="AS549" s="21"/>
      <c r="AT549" s="12" t="str">
        <f>HYPERLINK("http://www.openstreetmap.org/?mlat=33.2957&amp;mlon=44.2912&amp;zoom=12#map=12/33.2957/44.2912","Maplink1")</f>
        <v>Maplink1</v>
      </c>
      <c r="AU549" s="12" t="str">
        <f>HYPERLINK("https://www.google.iq/maps/search/+33.2957,44.2912/@33.2957,44.2912,14z?hl=en","Maplink2")</f>
        <v>Maplink2</v>
      </c>
      <c r="AV549" s="12" t="str">
        <f>HYPERLINK("http://www.bing.com/maps/?lvl=14&amp;sty=h&amp;cp=33.2957~44.2912&amp;sp=point.33.2957_44.2912","Maplink3")</f>
        <v>Maplink3</v>
      </c>
    </row>
    <row r="550" spans="1:48" ht="15" customHeight="1" x14ac:dyDescent="0.25">
      <c r="A550" s="19">
        <v>21446</v>
      </c>
      <c r="B550" s="20" t="s">
        <v>11</v>
      </c>
      <c r="C550" s="20" t="s">
        <v>1095</v>
      </c>
      <c r="D550" s="20" t="s">
        <v>1112</v>
      </c>
      <c r="E550" s="20" t="s">
        <v>1113</v>
      </c>
      <c r="F550" s="20">
        <v>33.291852390000003</v>
      </c>
      <c r="G550" s="20">
        <v>44.305640099999998</v>
      </c>
      <c r="H550" s="22">
        <v>87</v>
      </c>
      <c r="I550" s="22">
        <v>522</v>
      </c>
      <c r="J550" s="21">
        <v>61</v>
      </c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>
        <v>20</v>
      </c>
      <c r="W550" s="21"/>
      <c r="X550" s="21">
        <v>6</v>
      </c>
      <c r="Y550" s="21"/>
      <c r="Z550" s="21"/>
      <c r="AA550" s="21"/>
      <c r="AB550" s="21"/>
      <c r="AC550" s="21">
        <v>29</v>
      </c>
      <c r="AD550" s="21"/>
      <c r="AE550" s="21"/>
      <c r="AF550" s="21"/>
      <c r="AG550" s="21"/>
      <c r="AH550" s="21">
        <v>58</v>
      </c>
      <c r="AI550" s="21"/>
      <c r="AJ550" s="21"/>
      <c r="AK550" s="21"/>
      <c r="AL550" s="21">
        <v>21</v>
      </c>
      <c r="AM550" s="21">
        <v>9</v>
      </c>
      <c r="AN550" s="21"/>
      <c r="AO550" s="21">
        <v>22</v>
      </c>
      <c r="AP550" s="21">
        <v>30</v>
      </c>
      <c r="AQ550" s="21"/>
      <c r="AR550" s="21">
        <v>5</v>
      </c>
      <c r="AS550" s="21"/>
      <c r="AT550" s="12" t="str">
        <f>HYPERLINK("http://www.openstreetmap.org/?mlat=33.2919&amp;mlon=44.3056&amp;zoom=12#map=12/33.2919/44.3056","Maplink1")</f>
        <v>Maplink1</v>
      </c>
      <c r="AU550" s="12" t="str">
        <f>HYPERLINK("https://www.google.iq/maps/search/+33.2919,44.3056/@33.2919,44.3056,14z?hl=en","Maplink2")</f>
        <v>Maplink2</v>
      </c>
      <c r="AV550" s="12" t="str">
        <f>HYPERLINK("http://www.bing.com/maps/?lvl=14&amp;sty=h&amp;cp=33.2919~44.3056&amp;sp=point.33.2919_44.3056","Maplink3")</f>
        <v>Maplink3</v>
      </c>
    </row>
    <row r="551" spans="1:48" ht="15" customHeight="1" x14ac:dyDescent="0.25">
      <c r="A551" s="19">
        <v>21448</v>
      </c>
      <c r="B551" s="20" t="s">
        <v>11</v>
      </c>
      <c r="C551" s="20" t="s">
        <v>1095</v>
      </c>
      <c r="D551" s="20" t="s">
        <v>1114</v>
      </c>
      <c r="E551" s="20" t="s">
        <v>1115</v>
      </c>
      <c r="F551" s="20">
        <v>33.300889310000002</v>
      </c>
      <c r="G551" s="20">
        <v>44.293492049999998</v>
      </c>
      <c r="H551" s="22">
        <v>87</v>
      </c>
      <c r="I551" s="22">
        <v>522</v>
      </c>
      <c r="J551" s="21">
        <v>72</v>
      </c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>
        <v>8</v>
      </c>
      <c r="W551" s="21"/>
      <c r="X551" s="21">
        <v>7</v>
      </c>
      <c r="Y551" s="21"/>
      <c r="Z551" s="21"/>
      <c r="AA551" s="21"/>
      <c r="AB551" s="21"/>
      <c r="AC551" s="21">
        <v>49</v>
      </c>
      <c r="AD551" s="21"/>
      <c r="AE551" s="21"/>
      <c r="AF551" s="21"/>
      <c r="AG551" s="21"/>
      <c r="AH551" s="21">
        <v>38</v>
      </c>
      <c r="AI551" s="21"/>
      <c r="AJ551" s="21"/>
      <c r="AK551" s="21"/>
      <c r="AL551" s="21">
        <v>21</v>
      </c>
      <c r="AM551" s="21"/>
      <c r="AN551" s="21"/>
      <c r="AO551" s="21">
        <v>28</v>
      </c>
      <c r="AP551" s="21">
        <v>14</v>
      </c>
      <c r="AQ551" s="21">
        <v>9</v>
      </c>
      <c r="AR551" s="21">
        <v>8</v>
      </c>
      <c r="AS551" s="21">
        <v>7</v>
      </c>
      <c r="AT551" s="12" t="str">
        <f>HYPERLINK("http://www.openstreetmap.org/?mlat=33.3009&amp;mlon=44.2935&amp;zoom=12#map=12/33.3009/44.2935","Maplink1")</f>
        <v>Maplink1</v>
      </c>
      <c r="AU551" s="12" t="str">
        <f>HYPERLINK("https://www.google.iq/maps/search/+33.3009,44.2935/@33.3009,44.2935,14z?hl=en","Maplink2")</f>
        <v>Maplink2</v>
      </c>
      <c r="AV551" s="12" t="str">
        <f>HYPERLINK("http://www.bing.com/maps/?lvl=14&amp;sty=h&amp;cp=33.3009~44.2935&amp;sp=point.33.3009_44.2935","Maplink3")</f>
        <v>Maplink3</v>
      </c>
    </row>
    <row r="552" spans="1:48" ht="15" customHeight="1" x14ac:dyDescent="0.25">
      <c r="A552" s="19">
        <v>23737</v>
      </c>
      <c r="B552" s="20" t="s">
        <v>11</v>
      </c>
      <c r="C552" s="20" t="s">
        <v>1095</v>
      </c>
      <c r="D552" s="20" t="s">
        <v>1116</v>
      </c>
      <c r="E552" s="20" t="s">
        <v>1117</v>
      </c>
      <c r="F552" s="20">
        <v>33.326133536299999</v>
      </c>
      <c r="G552" s="20">
        <v>44.333139184799997</v>
      </c>
      <c r="H552" s="22">
        <v>4</v>
      </c>
      <c r="I552" s="22">
        <v>24</v>
      </c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>
        <v>4</v>
      </c>
      <c r="W552" s="21"/>
      <c r="X552" s="21"/>
      <c r="Y552" s="21"/>
      <c r="Z552" s="21"/>
      <c r="AA552" s="21"/>
      <c r="AB552" s="21"/>
      <c r="AC552" s="21">
        <v>2</v>
      </c>
      <c r="AD552" s="21"/>
      <c r="AE552" s="21"/>
      <c r="AF552" s="21"/>
      <c r="AG552" s="21"/>
      <c r="AH552" s="21">
        <v>2</v>
      </c>
      <c r="AI552" s="21"/>
      <c r="AJ552" s="21"/>
      <c r="AK552" s="21"/>
      <c r="AL552" s="21"/>
      <c r="AM552" s="21"/>
      <c r="AN552" s="21"/>
      <c r="AO552" s="21"/>
      <c r="AP552" s="21"/>
      <c r="AQ552" s="21"/>
      <c r="AR552" s="21">
        <v>4</v>
      </c>
      <c r="AS552" s="21"/>
      <c r="AT552" s="12" t="str">
        <f>HYPERLINK("http://www.openstreetmap.org/?mlat=33.3261&amp;mlon=44.3331&amp;zoom=12#map=12/33.3261/44.3331","Maplink1")</f>
        <v>Maplink1</v>
      </c>
      <c r="AU552" s="12" t="str">
        <f>HYPERLINK("https://www.google.iq/maps/search/+33.3261,44.3331/@33.3261,44.3331,14z?hl=en","Maplink2")</f>
        <v>Maplink2</v>
      </c>
      <c r="AV552" s="12" t="str">
        <f>HYPERLINK("http://www.bing.com/maps/?lvl=14&amp;sty=h&amp;cp=33.3261~44.3331&amp;sp=point.33.3261_44.3331","Maplink3")</f>
        <v>Maplink3</v>
      </c>
    </row>
    <row r="553" spans="1:48" ht="15" customHeight="1" x14ac:dyDescent="0.25">
      <c r="A553" s="19">
        <v>26042</v>
      </c>
      <c r="B553" s="20" t="s">
        <v>11</v>
      </c>
      <c r="C553" s="20" t="s">
        <v>1095</v>
      </c>
      <c r="D553" s="20" t="s">
        <v>1118</v>
      </c>
      <c r="E553" s="20" t="s">
        <v>1119</v>
      </c>
      <c r="F553" s="20">
        <v>33.321301689999999</v>
      </c>
      <c r="G553" s="20">
        <v>44.33756391</v>
      </c>
      <c r="H553" s="22">
        <v>10</v>
      </c>
      <c r="I553" s="22">
        <v>60</v>
      </c>
      <c r="J553" s="21">
        <v>10</v>
      </c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>
        <v>5</v>
      </c>
      <c r="AD553" s="21"/>
      <c r="AE553" s="21"/>
      <c r="AF553" s="21"/>
      <c r="AG553" s="21"/>
      <c r="AH553" s="21">
        <v>5</v>
      </c>
      <c r="AI553" s="21"/>
      <c r="AJ553" s="21"/>
      <c r="AK553" s="21"/>
      <c r="AL553" s="21"/>
      <c r="AM553" s="21"/>
      <c r="AN553" s="21">
        <v>7</v>
      </c>
      <c r="AO553" s="21">
        <v>3</v>
      </c>
      <c r="AP553" s="21"/>
      <c r="AQ553" s="21"/>
      <c r="AR553" s="21"/>
      <c r="AS553" s="21"/>
      <c r="AT553" s="12" t="str">
        <f>HYPERLINK("http://www.openstreetmap.org/?mlat=33.3213&amp;mlon=44.3376&amp;zoom=12#map=12/33.3213/44.3376","Maplink1")</f>
        <v>Maplink1</v>
      </c>
      <c r="AU553" s="12" t="str">
        <f>HYPERLINK("https://www.google.iq/maps/search/+33.3213,44.3376/@33.3213,44.3376,14z?hl=en","Maplink2")</f>
        <v>Maplink2</v>
      </c>
      <c r="AV553" s="12" t="str">
        <f>HYPERLINK("http://www.bing.com/maps/?lvl=14&amp;sty=h&amp;cp=33.3213~44.3376&amp;sp=point.33.3213_44.3376","Maplink3")</f>
        <v>Maplink3</v>
      </c>
    </row>
    <row r="554" spans="1:48" ht="15" customHeight="1" x14ac:dyDescent="0.25">
      <c r="A554" s="19">
        <v>24060</v>
      </c>
      <c r="B554" s="20" t="s">
        <v>11</v>
      </c>
      <c r="C554" s="20" t="s">
        <v>1095</v>
      </c>
      <c r="D554" s="20" t="s">
        <v>1120</v>
      </c>
      <c r="E554" s="20" t="s">
        <v>1121</v>
      </c>
      <c r="F554" s="20">
        <v>33.325187100000001</v>
      </c>
      <c r="G554" s="20">
        <v>44.335320379999999</v>
      </c>
      <c r="H554" s="22">
        <v>8</v>
      </c>
      <c r="I554" s="22">
        <v>48</v>
      </c>
      <c r="J554" s="21">
        <v>5</v>
      </c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>
        <v>3</v>
      </c>
      <c r="W554" s="21"/>
      <c r="X554" s="21"/>
      <c r="Y554" s="21"/>
      <c r="Z554" s="21"/>
      <c r="AA554" s="21"/>
      <c r="AB554" s="21"/>
      <c r="AC554" s="21">
        <v>4</v>
      </c>
      <c r="AD554" s="21"/>
      <c r="AE554" s="21"/>
      <c r="AF554" s="21"/>
      <c r="AG554" s="21"/>
      <c r="AH554" s="21">
        <v>4</v>
      </c>
      <c r="AI554" s="21"/>
      <c r="AJ554" s="21"/>
      <c r="AK554" s="21"/>
      <c r="AL554" s="21"/>
      <c r="AM554" s="21">
        <v>8</v>
      </c>
      <c r="AN554" s="21"/>
      <c r="AO554" s="21"/>
      <c r="AP554" s="21"/>
      <c r="AQ554" s="21"/>
      <c r="AR554" s="21"/>
      <c r="AS554" s="21"/>
      <c r="AT554" s="12" t="str">
        <f>HYPERLINK("http://www.openstreetmap.org/?mlat=33.3252&amp;mlon=44.3353&amp;zoom=12#map=12/33.3252/44.3353","Maplink1")</f>
        <v>Maplink1</v>
      </c>
      <c r="AU554" s="12" t="str">
        <f>HYPERLINK("https://www.google.iq/maps/search/+33.3252,44.3353/@33.3252,44.3353,14z?hl=en","Maplink2")</f>
        <v>Maplink2</v>
      </c>
      <c r="AV554" s="12" t="str">
        <f>HYPERLINK("http://www.bing.com/maps/?lvl=14&amp;sty=h&amp;cp=33.3252~44.3353&amp;sp=point.33.3252_44.3353","Maplink3")</f>
        <v>Maplink3</v>
      </c>
    </row>
    <row r="555" spans="1:48" ht="15" customHeight="1" x14ac:dyDescent="0.25">
      <c r="A555" s="19">
        <v>7515</v>
      </c>
      <c r="B555" s="20" t="s">
        <v>11</v>
      </c>
      <c r="C555" s="20" t="s">
        <v>1095</v>
      </c>
      <c r="D555" s="20" t="s">
        <v>1122</v>
      </c>
      <c r="E555" s="20" t="s">
        <v>1123</v>
      </c>
      <c r="F555" s="20">
        <v>33.270348409999997</v>
      </c>
      <c r="G555" s="20">
        <v>44.33975058</v>
      </c>
      <c r="H555" s="22">
        <v>13</v>
      </c>
      <c r="I555" s="22">
        <v>78</v>
      </c>
      <c r="J555" s="21">
        <v>3</v>
      </c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>
        <v>8</v>
      </c>
      <c r="W555" s="21"/>
      <c r="X555" s="21">
        <v>2</v>
      </c>
      <c r="Y555" s="21"/>
      <c r="Z555" s="21"/>
      <c r="AA555" s="21"/>
      <c r="AB555" s="21"/>
      <c r="AC555" s="21">
        <v>3</v>
      </c>
      <c r="AD555" s="21"/>
      <c r="AE555" s="21"/>
      <c r="AF555" s="21"/>
      <c r="AG555" s="21"/>
      <c r="AH555" s="21">
        <v>10</v>
      </c>
      <c r="AI555" s="21"/>
      <c r="AJ555" s="21"/>
      <c r="AK555" s="21"/>
      <c r="AL555" s="21"/>
      <c r="AM555" s="21">
        <v>8</v>
      </c>
      <c r="AN555" s="21">
        <v>3</v>
      </c>
      <c r="AO555" s="21"/>
      <c r="AP555" s="21"/>
      <c r="AQ555" s="21">
        <v>2</v>
      </c>
      <c r="AR555" s="21"/>
      <c r="AS555" s="21"/>
      <c r="AT555" s="12" t="str">
        <f>HYPERLINK("http://www.openstreetmap.org/?mlat=33.2703&amp;mlon=44.3398&amp;zoom=12#map=12/33.2703/44.3398","Maplink1")</f>
        <v>Maplink1</v>
      </c>
      <c r="AU555" s="12" t="str">
        <f>HYPERLINK("https://www.google.iq/maps/search/+33.2703,44.3398/@33.2703,44.3398,14z?hl=en","Maplink2")</f>
        <v>Maplink2</v>
      </c>
      <c r="AV555" s="12" t="str">
        <f>HYPERLINK("http://www.bing.com/maps/?lvl=14&amp;sty=h&amp;cp=33.2703~44.3398&amp;sp=point.33.2703_44.3398","Maplink3")</f>
        <v>Maplink3</v>
      </c>
    </row>
    <row r="556" spans="1:48" ht="15" customHeight="1" x14ac:dyDescent="0.25">
      <c r="A556" s="19">
        <v>25221</v>
      </c>
      <c r="B556" s="20" t="s">
        <v>11</v>
      </c>
      <c r="C556" s="20" t="s">
        <v>1095</v>
      </c>
      <c r="D556" s="20" t="s">
        <v>1124</v>
      </c>
      <c r="E556" s="20" t="s">
        <v>1125</v>
      </c>
      <c r="F556" s="20">
        <v>33.277915499999999</v>
      </c>
      <c r="G556" s="20">
        <v>44.276827160000003</v>
      </c>
      <c r="H556" s="22">
        <v>54</v>
      </c>
      <c r="I556" s="22">
        <v>324</v>
      </c>
      <c r="J556" s="21">
        <v>29</v>
      </c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>
        <v>25</v>
      </c>
      <c r="W556" s="21"/>
      <c r="X556" s="21"/>
      <c r="Y556" s="21"/>
      <c r="Z556" s="21"/>
      <c r="AA556" s="21"/>
      <c r="AB556" s="21"/>
      <c r="AC556" s="21">
        <v>10</v>
      </c>
      <c r="AD556" s="21"/>
      <c r="AE556" s="21"/>
      <c r="AF556" s="21"/>
      <c r="AG556" s="21"/>
      <c r="AH556" s="21">
        <v>22</v>
      </c>
      <c r="AI556" s="21"/>
      <c r="AJ556" s="21">
        <v>22</v>
      </c>
      <c r="AK556" s="21"/>
      <c r="AL556" s="21">
        <v>3</v>
      </c>
      <c r="AM556" s="21">
        <v>14</v>
      </c>
      <c r="AN556" s="21">
        <v>15</v>
      </c>
      <c r="AO556" s="21">
        <v>5</v>
      </c>
      <c r="AP556" s="21">
        <v>15</v>
      </c>
      <c r="AQ556" s="21"/>
      <c r="AR556" s="21"/>
      <c r="AS556" s="21">
        <v>2</v>
      </c>
      <c r="AT556" s="12" t="str">
        <f>HYPERLINK("http://www.openstreetmap.org/?mlat=33.2779&amp;mlon=44.2768&amp;zoom=12#map=12/33.2779/44.2768","Maplink1")</f>
        <v>Maplink1</v>
      </c>
      <c r="AU556" s="12" t="str">
        <f>HYPERLINK("https://www.google.iq/maps/search/+33.2779,44.2768/@33.2779,44.2768,14z?hl=en","Maplink2")</f>
        <v>Maplink2</v>
      </c>
      <c r="AV556" s="12" t="str">
        <f>HYPERLINK("http://www.bing.com/maps/?lvl=14&amp;sty=h&amp;cp=33.2779~44.2768&amp;sp=point.33.2779_44.2768","Maplink3")</f>
        <v>Maplink3</v>
      </c>
    </row>
    <row r="557" spans="1:48" ht="15" customHeight="1" x14ac:dyDescent="0.25">
      <c r="A557" s="19">
        <v>27119</v>
      </c>
      <c r="B557" s="20" t="s">
        <v>11</v>
      </c>
      <c r="C557" s="20" t="s">
        <v>1095</v>
      </c>
      <c r="D557" s="20" t="s">
        <v>1126</v>
      </c>
      <c r="E557" s="20" t="s">
        <v>1127</v>
      </c>
      <c r="F557" s="20">
        <v>33.234460519999999</v>
      </c>
      <c r="G557" s="20">
        <v>44.303715009999998</v>
      </c>
      <c r="H557" s="22">
        <v>7</v>
      </c>
      <c r="I557" s="22">
        <v>42</v>
      </c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>
        <v>7</v>
      </c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>
        <v>7</v>
      </c>
      <c r="AI557" s="21"/>
      <c r="AJ557" s="21"/>
      <c r="AK557" s="21"/>
      <c r="AL557" s="21"/>
      <c r="AM557" s="21"/>
      <c r="AN557" s="21">
        <v>7</v>
      </c>
      <c r="AO557" s="21"/>
      <c r="AP557" s="21"/>
      <c r="AQ557" s="21"/>
      <c r="AR557" s="21"/>
      <c r="AS557" s="21"/>
      <c r="AT557" s="12" t="str">
        <f>HYPERLINK("http://www.openstreetmap.org/?mlat=33.2345&amp;mlon=44.3037&amp;zoom=12#map=12/33.2345/44.3037","Maplink1")</f>
        <v>Maplink1</v>
      </c>
      <c r="AU557" s="12" t="str">
        <f>HYPERLINK("https://www.google.iq/maps/search/+33.2345,44.3037/@33.2345,44.3037,14z?hl=en","Maplink2")</f>
        <v>Maplink2</v>
      </c>
      <c r="AV557" s="12" t="str">
        <f>HYPERLINK("http://www.bing.com/maps/?lvl=14&amp;sty=h&amp;cp=33.2345~44.3037&amp;sp=point.33.2345_44.3037","Maplink3")</f>
        <v>Maplink3</v>
      </c>
    </row>
    <row r="558" spans="1:48" ht="15" customHeight="1" x14ac:dyDescent="0.25">
      <c r="A558" s="19">
        <v>25412</v>
      </c>
      <c r="B558" s="20" t="s">
        <v>11</v>
      </c>
      <c r="C558" s="20" t="s">
        <v>1095</v>
      </c>
      <c r="D558" s="20" t="s">
        <v>1128</v>
      </c>
      <c r="E558" s="20" t="s">
        <v>5970</v>
      </c>
      <c r="F558" s="20">
        <v>33.330061073099998</v>
      </c>
      <c r="G558" s="20">
        <v>44.290528844000001</v>
      </c>
      <c r="H558" s="22">
        <v>36</v>
      </c>
      <c r="I558" s="22">
        <v>216</v>
      </c>
      <c r="J558" s="21">
        <v>32</v>
      </c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>
        <v>4</v>
      </c>
      <c r="Y558" s="21"/>
      <c r="Z558" s="21"/>
      <c r="AA558" s="21"/>
      <c r="AB558" s="21"/>
      <c r="AC558" s="21">
        <v>23</v>
      </c>
      <c r="AD558" s="21"/>
      <c r="AE558" s="21"/>
      <c r="AF558" s="21"/>
      <c r="AG558" s="21"/>
      <c r="AH558" s="21">
        <v>13</v>
      </c>
      <c r="AI558" s="21"/>
      <c r="AJ558" s="21"/>
      <c r="AK558" s="21"/>
      <c r="AL558" s="21">
        <v>9</v>
      </c>
      <c r="AM558" s="21"/>
      <c r="AN558" s="21">
        <v>20</v>
      </c>
      <c r="AO558" s="21"/>
      <c r="AP558" s="21">
        <v>7</v>
      </c>
      <c r="AQ558" s="21"/>
      <c r="AR558" s="21"/>
      <c r="AS558" s="21"/>
      <c r="AT558" s="12" t="str">
        <f>HYPERLINK("http://www.openstreetmap.org/?mlat=33.3301&amp;mlon=44.2905&amp;zoom=12#map=12/33.3301/44.2905","Maplink1")</f>
        <v>Maplink1</v>
      </c>
      <c r="AU558" s="12" t="str">
        <f>HYPERLINK("https://www.google.iq/maps/search/+33.3301,44.2905/@33.3301,44.2905,14z?hl=en","Maplink2")</f>
        <v>Maplink2</v>
      </c>
      <c r="AV558" s="12" t="str">
        <f>HYPERLINK("http://www.bing.com/maps/?lvl=14&amp;sty=h&amp;cp=33.3301~44.2905&amp;sp=point.33.3301_44.2905","Maplink3")</f>
        <v>Maplink3</v>
      </c>
    </row>
    <row r="559" spans="1:48" ht="15" customHeight="1" x14ac:dyDescent="0.25">
      <c r="A559" s="19">
        <v>25413</v>
      </c>
      <c r="B559" s="20" t="s">
        <v>11</v>
      </c>
      <c r="C559" s="20" t="s">
        <v>1095</v>
      </c>
      <c r="D559" s="20" t="s">
        <v>1129</v>
      </c>
      <c r="E559" s="20" t="s">
        <v>5971</v>
      </c>
      <c r="F559" s="20">
        <v>33.333779088999997</v>
      </c>
      <c r="G559" s="20">
        <v>44.278675141400001</v>
      </c>
      <c r="H559" s="22">
        <v>37</v>
      </c>
      <c r="I559" s="22">
        <v>222</v>
      </c>
      <c r="J559" s="21">
        <v>32</v>
      </c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>
        <v>5</v>
      </c>
      <c r="Y559" s="21"/>
      <c r="Z559" s="21"/>
      <c r="AA559" s="21"/>
      <c r="AB559" s="21"/>
      <c r="AC559" s="21">
        <v>15</v>
      </c>
      <c r="AD559" s="21"/>
      <c r="AE559" s="21"/>
      <c r="AF559" s="21"/>
      <c r="AG559" s="21"/>
      <c r="AH559" s="21">
        <v>22</v>
      </c>
      <c r="AI559" s="21"/>
      <c r="AJ559" s="21"/>
      <c r="AK559" s="21"/>
      <c r="AL559" s="21">
        <v>5</v>
      </c>
      <c r="AM559" s="21">
        <v>17</v>
      </c>
      <c r="AN559" s="21"/>
      <c r="AO559" s="21">
        <v>15</v>
      </c>
      <c r="AP559" s="21"/>
      <c r="AQ559" s="21"/>
      <c r="AR559" s="21"/>
      <c r="AS559" s="21"/>
      <c r="AT559" s="12" t="str">
        <f>HYPERLINK("http://www.openstreetmap.org/?mlat=33.3338&amp;mlon=44.2787&amp;zoom=12#map=12/33.3338/44.2787","Maplink1")</f>
        <v>Maplink1</v>
      </c>
      <c r="AU559" s="12" t="str">
        <f>HYPERLINK("https://www.google.iq/maps/search/+33.3338,44.2787/@33.3338,44.2787,14z?hl=en","Maplink2")</f>
        <v>Maplink2</v>
      </c>
      <c r="AV559" s="12" t="str">
        <f>HYPERLINK("http://www.bing.com/maps/?lvl=14&amp;sty=h&amp;cp=33.3338~44.2787&amp;sp=point.33.3338_44.2787","Maplink3")</f>
        <v>Maplink3</v>
      </c>
    </row>
    <row r="560" spans="1:48" ht="15" customHeight="1" x14ac:dyDescent="0.25">
      <c r="A560" s="19">
        <v>25414</v>
      </c>
      <c r="B560" s="20" t="s">
        <v>11</v>
      </c>
      <c r="C560" s="20" t="s">
        <v>1095</v>
      </c>
      <c r="D560" s="20" t="s">
        <v>1130</v>
      </c>
      <c r="E560" s="20" t="s">
        <v>5972</v>
      </c>
      <c r="F560" s="20">
        <v>33.338387637799997</v>
      </c>
      <c r="G560" s="20">
        <v>44.277408759300002</v>
      </c>
      <c r="H560" s="22">
        <v>40</v>
      </c>
      <c r="I560" s="22">
        <v>240</v>
      </c>
      <c r="J560" s="21">
        <v>38</v>
      </c>
      <c r="K560" s="21"/>
      <c r="L560" s="21"/>
      <c r="M560" s="21"/>
      <c r="N560" s="21"/>
      <c r="O560" s="21">
        <v>2</v>
      </c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>
        <v>10</v>
      </c>
      <c r="AD560" s="21"/>
      <c r="AE560" s="21"/>
      <c r="AF560" s="21"/>
      <c r="AG560" s="21"/>
      <c r="AH560" s="21">
        <v>30</v>
      </c>
      <c r="AI560" s="21"/>
      <c r="AJ560" s="21"/>
      <c r="AK560" s="21"/>
      <c r="AL560" s="21">
        <v>22</v>
      </c>
      <c r="AM560" s="21">
        <v>8</v>
      </c>
      <c r="AN560" s="21">
        <v>4</v>
      </c>
      <c r="AO560" s="21">
        <v>4</v>
      </c>
      <c r="AP560" s="21">
        <v>2</v>
      </c>
      <c r="AQ560" s="21"/>
      <c r="AR560" s="21"/>
      <c r="AS560" s="21"/>
      <c r="AT560" s="12" t="str">
        <f>HYPERLINK("http://www.openstreetmap.org/?mlat=33.3384&amp;mlon=44.2774&amp;zoom=12#map=12/33.3384/44.2774","Maplink1")</f>
        <v>Maplink1</v>
      </c>
      <c r="AU560" s="12" t="str">
        <f>HYPERLINK("https://www.google.iq/maps/search/+33.3384,44.2774/@33.3384,44.2774,14z?hl=en","Maplink2")</f>
        <v>Maplink2</v>
      </c>
      <c r="AV560" s="12" t="str">
        <f>HYPERLINK("http://www.bing.com/maps/?lvl=14&amp;sty=h&amp;cp=33.3384~44.2774&amp;sp=point.33.3384_44.2774","Maplink3")</f>
        <v>Maplink3</v>
      </c>
    </row>
    <row r="561" spans="1:48" ht="15" customHeight="1" x14ac:dyDescent="0.25">
      <c r="A561" s="19">
        <v>25415</v>
      </c>
      <c r="B561" s="20" t="s">
        <v>11</v>
      </c>
      <c r="C561" s="20" t="s">
        <v>1095</v>
      </c>
      <c r="D561" s="20" t="s">
        <v>1131</v>
      </c>
      <c r="E561" s="20" t="s">
        <v>5973</v>
      </c>
      <c r="F561" s="20">
        <v>33.338416520000003</v>
      </c>
      <c r="G561" s="20">
        <v>44.271223059999997</v>
      </c>
      <c r="H561" s="22">
        <v>33</v>
      </c>
      <c r="I561" s="22">
        <v>198</v>
      </c>
      <c r="J561" s="21">
        <v>25</v>
      </c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>
        <v>4</v>
      </c>
      <c r="W561" s="21"/>
      <c r="X561" s="21">
        <v>4</v>
      </c>
      <c r="Y561" s="21"/>
      <c r="Z561" s="21"/>
      <c r="AA561" s="21"/>
      <c r="AB561" s="21"/>
      <c r="AC561" s="21">
        <v>13</v>
      </c>
      <c r="AD561" s="21"/>
      <c r="AE561" s="21"/>
      <c r="AF561" s="21"/>
      <c r="AG561" s="21"/>
      <c r="AH561" s="21">
        <v>20</v>
      </c>
      <c r="AI561" s="21"/>
      <c r="AJ561" s="21"/>
      <c r="AK561" s="21"/>
      <c r="AL561" s="21"/>
      <c r="AM561" s="21">
        <v>6</v>
      </c>
      <c r="AN561" s="21">
        <v>6</v>
      </c>
      <c r="AO561" s="21">
        <v>11</v>
      </c>
      <c r="AP561" s="21"/>
      <c r="AQ561" s="21">
        <v>6</v>
      </c>
      <c r="AR561" s="21">
        <v>4</v>
      </c>
      <c r="AS561" s="21"/>
      <c r="AT561" s="12" t="str">
        <f>HYPERLINK("http://www.openstreetmap.org/?mlat=33.3384&amp;mlon=44.2712&amp;zoom=12#map=12/33.3384/44.2712","Maplink1")</f>
        <v>Maplink1</v>
      </c>
      <c r="AU561" s="12" t="str">
        <f>HYPERLINK("https://www.google.iq/maps/search/+33.3384,44.2712/@33.3384,44.2712,14z?hl=en","Maplink2")</f>
        <v>Maplink2</v>
      </c>
      <c r="AV561" s="12" t="str">
        <f>HYPERLINK("http://www.bing.com/maps/?lvl=14&amp;sty=h&amp;cp=33.3384~44.2712&amp;sp=point.33.3384_44.2712","Maplink3")</f>
        <v>Maplink3</v>
      </c>
    </row>
    <row r="562" spans="1:48" ht="15" customHeight="1" x14ac:dyDescent="0.25">
      <c r="A562" s="19">
        <v>25411</v>
      </c>
      <c r="B562" s="20" t="s">
        <v>11</v>
      </c>
      <c r="C562" s="20" t="s">
        <v>1095</v>
      </c>
      <c r="D562" s="20" t="s">
        <v>1132</v>
      </c>
      <c r="E562" s="20" t="s">
        <v>5974</v>
      </c>
      <c r="F562" s="20">
        <v>33.345939779799998</v>
      </c>
      <c r="G562" s="20">
        <v>44.292808077499998</v>
      </c>
      <c r="H562" s="22">
        <v>24</v>
      </c>
      <c r="I562" s="22">
        <v>144</v>
      </c>
      <c r="J562" s="21">
        <v>20</v>
      </c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>
        <v>4</v>
      </c>
      <c r="Y562" s="21"/>
      <c r="Z562" s="21"/>
      <c r="AA562" s="21"/>
      <c r="AB562" s="21"/>
      <c r="AC562" s="21"/>
      <c r="AD562" s="21"/>
      <c r="AE562" s="21"/>
      <c r="AF562" s="21"/>
      <c r="AG562" s="21"/>
      <c r="AH562" s="21">
        <v>24</v>
      </c>
      <c r="AI562" s="21"/>
      <c r="AJ562" s="21"/>
      <c r="AK562" s="21"/>
      <c r="AL562" s="21"/>
      <c r="AM562" s="21"/>
      <c r="AN562" s="21"/>
      <c r="AO562" s="21">
        <v>14</v>
      </c>
      <c r="AP562" s="21">
        <v>4</v>
      </c>
      <c r="AQ562" s="21">
        <v>6</v>
      </c>
      <c r="AR562" s="21"/>
      <c r="AS562" s="21"/>
      <c r="AT562" s="12" t="str">
        <f>HYPERLINK("http://www.openstreetmap.org/?mlat=33.3459&amp;mlon=44.2928&amp;zoom=12#map=12/33.3459/44.2928","Maplink1")</f>
        <v>Maplink1</v>
      </c>
      <c r="AU562" s="12" t="str">
        <f>HYPERLINK("https://www.google.iq/maps/search/+33.3459,44.2928/@33.3459,44.2928,14z?hl=en","Maplink2")</f>
        <v>Maplink2</v>
      </c>
      <c r="AV562" s="12" t="str">
        <f>HYPERLINK("http://www.bing.com/maps/?lvl=14&amp;sty=h&amp;cp=33.3459~44.2928&amp;sp=point.33.3459_44.2928","Maplink3")</f>
        <v>Maplink3</v>
      </c>
    </row>
    <row r="563" spans="1:48" ht="15" customHeight="1" x14ac:dyDescent="0.25">
      <c r="A563" s="19">
        <v>25410</v>
      </c>
      <c r="B563" s="20" t="s">
        <v>11</v>
      </c>
      <c r="C563" s="20" t="s">
        <v>1095</v>
      </c>
      <c r="D563" s="20" t="s">
        <v>1133</v>
      </c>
      <c r="E563" s="20" t="s">
        <v>5975</v>
      </c>
      <c r="F563" s="20">
        <v>33.344466673100001</v>
      </c>
      <c r="G563" s="20">
        <v>44.266387918299998</v>
      </c>
      <c r="H563" s="22">
        <v>20</v>
      </c>
      <c r="I563" s="22">
        <v>120</v>
      </c>
      <c r="J563" s="21">
        <v>20</v>
      </c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>
        <v>20</v>
      </c>
      <c r="AI563" s="21"/>
      <c r="AJ563" s="21"/>
      <c r="AK563" s="21"/>
      <c r="AL563" s="21">
        <v>2</v>
      </c>
      <c r="AM563" s="21">
        <v>8</v>
      </c>
      <c r="AN563" s="21"/>
      <c r="AO563" s="21">
        <v>2</v>
      </c>
      <c r="AP563" s="21">
        <v>8</v>
      </c>
      <c r="AQ563" s="21"/>
      <c r="AR563" s="21"/>
      <c r="AS563" s="21"/>
      <c r="AT563" s="12" t="str">
        <f>HYPERLINK("http://www.openstreetmap.org/?mlat=33.3445&amp;mlon=44.2664&amp;zoom=12#map=12/33.3445/44.2664","Maplink1")</f>
        <v>Maplink1</v>
      </c>
      <c r="AU563" s="12" t="str">
        <f>HYPERLINK("https://www.google.iq/maps/search/+33.3445,44.2664/@33.3445,44.2664,14z?hl=en","Maplink2")</f>
        <v>Maplink2</v>
      </c>
      <c r="AV563" s="12" t="str">
        <f>HYPERLINK("http://www.bing.com/maps/?lvl=14&amp;sty=h&amp;cp=33.3445~44.2664&amp;sp=point.33.3445_44.2664","Maplink3")</f>
        <v>Maplink3</v>
      </c>
    </row>
    <row r="564" spans="1:48" ht="15" customHeight="1" x14ac:dyDescent="0.25">
      <c r="A564" s="19">
        <v>25409</v>
      </c>
      <c r="B564" s="20" t="s">
        <v>11</v>
      </c>
      <c r="C564" s="20" t="s">
        <v>1095</v>
      </c>
      <c r="D564" s="20" t="s">
        <v>1134</v>
      </c>
      <c r="E564" s="20" t="s">
        <v>5976</v>
      </c>
      <c r="F564" s="20">
        <v>33.347468686500001</v>
      </c>
      <c r="G564" s="20">
        <v>44.2649130685</v>
      </c>
      <c r="H564" s="22">
        <v>22</v>
      </c>
      <c r="I564" s="22">
        <v>132</v>
      </c>
      <c r="J564" s="21">
        <v>22</v>
      </c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>
        <v>22</v>
      </c>
      <c r="AI564" s="21"/>
      <c r="AJ564" s="21"/>
      <c r="AK564" s="21"/>
      <c r="AL564" s="21">
        <v>13</v>
      </c>
      <c r="AM564" s="21"/>
      <c r="AN564" s="21"/>
      <c r="AO564" s="21"/>
      <c r="AP564" s="21">
        <v>9</v>
      </c>
      <c r="AQ564" s="21"/>
      <c r="AR564" s="21"/>
      <c r="AS564" s="21"/>
      <c r="AT564" s="12" t="str">
        <f>HYPERLINK("http://www.openstreetmap.org/?mlat=33.3475&amp;mlon=44.2649&amp;zoom=12#map=12/33.3475/44.2649","Maplink1")</f>
        <v>Maplink1</v>
      </c>
      <c r="AU564" s="12" t="str">
        <f>HYPERLINK("https://www.google.iq/maps/search/+33.3475,44.2649/@33.3475,44.2649,14z?hl=en","Maplink2")</f>
        <v>Maplink2</v>
      </c>
      <c r="AV564" s="12" t="str">
        <f>HYPERLINK("http://www.bing.com/maps/?lvl=14&amp;sty=h&amp;cp=33.3475~44.2649&amp;sp=point.33.3475_44.2649","Maplink3")</f>
        <v>Maplink3</v>
      </c>
    </row>
    <row r="565" spans="1:48" ht="15" customHeight="1" x14ac:dyDescent="0.25">
      <c r="A565" s="19">
        <v>23734</v>
      </c>
      <c r="B565" s="20" t="s">
        <v>11</v>
      </c>
      <c r="C565" s="20" t="s">
        <v>1095</v>
      </c>
      <c r="D565" s="20" t="s">
        <v>1135</v>
      </c>
      <c r="E565" s="20" t="s">
        <v>1136</v>
      </c>
      <c r="F565" s="20">
        <v>33.329163948800002</v>
      </c>
      <c r="G565" s="20">
        <v>44.274876033600002</v>
      </c>
      <c r="H565" s="22">
        <v>30</v>
      </c>
      <c r="I565" s="22">
        <v>180</v>
      </c>
      <c r="J565" s="21">
        <v>22</v>
      </c>
      <c r="K565" s="21"/>
      <c r="L565" s="21"/>
      <c r="M565" s="21"/>
      <c r="N565" s="21"/>
      <c r="O565" s="21">
        <v>8</v>
      </c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>
        <v>9</v>
      </c>
      <c r="AD565" s="21"/>
      <c r="AE565" s="21"/>
      <c r="AF565" s="21"/>
      <c r="AG565" s="21">
        <v>9</v>
      </c>
      <c r="AH565" s="21">
        <v>12</v>
      </c>
      <c r="AI565" s="21"/>
      <c r="AJ565" s="21"/>
      <c r="AK565" s="21"/>
      <c r="AL565" s="21"/>
      <c r="AM565" s="21">
        <v>17</v>
      </c>
      <c r="AN565" s="21">
        <v>8</v>
      </c>
      <c r="AO565" s="21"/>
      <c r="AP565" s="21">
        <v>5</v>
      </c>
      <c r="AQ565" s="21"/>
      <c r="AR565" s="21"/>
      <c r="AS565" s="21"/>
      <c r="AT565" s="12" t="str">
        <f>HYPERLINK("http://www.openstreetmap.org/?mlat=33.3292&amp;mlon=44.2749&amp;zoom=12#map=12/33.3292/44.2749","Maplink1")</f>
        <v>Maplink1</v>
      </c>
      <c r="AU565" s="12" t="str">
        <f>HYPERLINK("https://www.google.iq/maps/search/+33.3292,44.2749/@33.3292,44.2749,14z?hl=en","Maplink2")</f>
        <v>Maplink2</v>
      </c>
      <c r="AV565" s="12" t="str">
        <f>HYPERLINK("http://www.bing.com/maps/?lvl=14&amp;sty=h&amp;cp=33.3292~44.2749&amp;sp=point.33.3292_44.2749","Maplink3")</f>
        <v>Maplink3</v>
      </c>
    </row>
    <row r="566" spans="1:48" ht="15" customHeight="1" x14ac:dyDescent="0.25">
      <c r="A566" s="19">
        <v>24065</v>
      </c>
      <c r="B566" s="20" t="s">
        <v>11</v>
      </c>
      <c r="C566" s="20" t="s">
        <v>1095</v>
      </c>
      <c r="D566" s="20" t="s">
        <v>1137</v>
      </c>
      <c r="E566" s="20" t="s">
        <v>1138</v>
      </c>
      <c r="F566" s="20">
        <v>33.331909757299996</v>
      </c>
      <c r="G566" s="20">
        <v>44.268534795199997</v>
      </c>
      <c r="H566" s="22">
        <v>33</v>
      </c>
      <c r="I566" s="22">
        <v>198</v>
      </c>
      <c r="J566" s="21">
        <v>16</v>
      </c>
      <c r="K566" s="21"/>
      <c r="L566" s="21"/>
      <c r="M566" s="21"/>
      <c r="N566" s="21"/>
      <c r="O566" s="21">
        <v>6</v>
      </c>
      <c r="P566" s="21"/>
      <c r="Q566" s="21"/>
      <c r="R566" s="21"/>
      <c r="S566" s="21"/>
      <c r="T566" s="21"/>
      <c r="U566" s="21"/>
      <c r="V566" s="21">
        <v>11</v>
      </c>
      <c r="W566" s="21"/>
      <c r="X566" s="21"/>
      <c r="Y566" s="21"/>
      <c r="Z566" s="21"/>
      <c r="AA566" s="21"/>
      <c r="AB566" s="21"/>
      <c r="AC566" s="21">
        <v>12</v>
      </c>
      <c r="AD566" s="21"/>
      <c r="AE566" s="21"/>
      <c r="AF566" s="21"/>
      <c r="AG566" s="21"/>
      <c r="AH566" s="21">
        <v>21</v>
      </c>
      <c r="AI566" s="21"/>
      <c r="AJ566" s="21"/>
      <c r="AK566" s="21"/>
      <c r="AL566" s="21">
        <v>6</v>
      </c>
      <c r="AM566" s="21">
        <v>16</v>
      </c>
      <c r="AN566" s="21"/>
      <c r="AO566" s="21"/>
      <c r="AP566" s="21">
        <v>11</v>
      </c>
      <c r="AQ566" s="21"/>
      <c r="AR566" s="21"/>
      <c r="AS566" s="21"/>
      <c r="AT566" s="12" t="str">
        <f>HYPERLINK("http://www.openstreetmap.org/?mlat=33.3319&amp;mlon=44.2685&amp;zoom=12#map=12/33.3319/44.2685","Maplink1")</f>
        <v>Maplink1</v>
      </c>
      <c r="AU566" s="12" t="str">
        <f>HYPERLINK("https://www.google.iq/maps/search/+33.3319,44.2685/@33.3319,44.2685,14z?hl=en","Maplink2")</f>
        <v>Maplink2</v>
      </c>
      <c r="AV566" s="12" t="str">
        <f>HYPERLINK("http://www.bing.com/maps/?lvl=14&amp;sty=h&amp;cp=33.3319~44.2685&amp;sp=point.33.3319_44.2685","Maplink3")</f>
        <v>Maplink3</v>
      </c>
    </row>
    <row r="567" spans="1:48" ht="15" customHeight="1" x14ac:dyDescent="0.25">
      <c r="A567" s="19">
        <v>27187</v>
      </c>
      <c r="B567" s="20" t="s">
        <v>11</v>
      </c>
      <c r="C567" s="20" t="s">
        <v>1095</v>
      </c>
      <c r="D567" s="20" t="s">
        <v>1139</v>
      </c>
      <c r="E567" s="20" t="s">
        <v>1140</v>
      </c>
      <c r="F567" s="20">
        <v>33.24799677</v>
      </c>
      <c r="G567" s="20">
        <v>44.335072269999998</v>
      </c>
      <c r="H567" s="22">
        <v>15</v>
      </c>
      <c r="I567" s="22">
        <v>90</v>
      </c>
      <c r="J567" s="21">
        <v>6</v>
      </c>
      <c r="K567" s="21"/>
      <c r="L567" s="21"/>
      <c r="M567" s="21"/>
      <c r="N567" s="21"/>
      <c r="O567" s="21">
        <v>5</v>
      </c>
      <c r="P567" s="21"/>
      <c r="Q567" s="21"/>
      <c r="R567" s="21"/>
      <c r="S567" s="21"/>
      <c r="T567" s="21"/>
      <c r="U567" s="21"/>
      <c r="V567" s="21">
        <v>4</v>
      </c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>
        <v>15</v>
      </c>
      <c r="AI567" s="21"/>
      <c r="AJ567" s="21"/>
      <c r="AK567" s="21"/>
      <c r="AL567" s="21"/>
      <c r="AM567" s="21">
        <v>6</v>
      </c>
      <c r="AN567" s="21"/>
      <c r="AO567" s="21">
        <v>4</v>
      </c>
      <c r="AP567" s="21">
        <v>2</v>
      </c>
      <c r="AQ567" s="21"/>
      <c r="AR567" s="21">
        <v>3</v>
      </c>
      <c r="AS567" s="21"/>
      <c r="AT567" s="12" t="str">
        <f>HYPERLINK("http://www.openstreetmap.org/?mlat=33.248&amp;mlon=44.3351&amp;zoom=12#map=12/33.248/44.3351","Maplink1")</f>
        <v>Maplink1</v>
      </c>
      <c r="AU567" s="12" t="str">
        <f>HYPERLINK("https://www.google.iq/maps/search/+33.248,44.3351/@33.248,44.3351,14z?hl=en","Maplink2")</f>
        <v>Maplink2</v>
      </c>
      <c r="AV567" s="12" t="str">
        <f>HYPERLINK("http://www.bing.com/maps/?lvl=14&amp;sty=h&amp;cp=33.248~44.3351&amp;sp=point.33.248_44.3351","Maplink3")</f>
        <v>Maplink3</v>
      </c>
    </row>
    <row r="568" spans="1:48" ht="15" customHeight="1" x14ac:dyDescent="0.25">
      <c r="A568" s="19">
        <v>27188</v>
      </c>
      <c r="B568" s="20" t="s">
        <v>11</v>
      </c>
      <c r="C568" s="20" t="s">
        <v>1095</v>
      </c>
      <c r="D568" s="20" t="s">
        <v>1141</v>
      </c>
      <c r="E568" s="20" t="s">
        <v>1142</v>
      </c>
      <c r="F568" s="20">
        <v>33.239749770000003</v>
      </c>
      <c r="G568" s="20">
        <v>44.343220459999998</v>
      </c>
      <c r="H568" s="22">
        <v>11</v>
      </c>
      <c r="I568" s="22">
        <v>66</v>
      </c>
      <c r="J568" s="21">
        <v>6</v>
      </c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>
        <v>5</v>
      </c>
      <c r="W568" s="21"/>
      <c r="X568" s="21"/>
      <c r="Y568" s="21"/>
      <c r="Z568" s="21"/>
      <c r="AA568" s="21"/>
      <c r="AB568" s="21"/>
      <c r="AC568" s="21">
        <v>6</v>
      </c>
      <c r="AD568" s="21"/>
      <c r="AE568" s="21"/>
      <c r="AF568" s="21"/>
      <c r="AG568" s="21"/>
      <c r="AH568" s="21">
        <v>5</v>
      </c>
      <c r="AI568" s="21"/>
      <c r="AJ568" s="21"/>
      <c r="AK568" s="21"/>
      <c r="AL568" s="21"/>
      <c r="AM568" s="21">
        <v>6</v>
      </c>
      <c r="AN568" s="21"/>
      <c r="AO568" s="21">
        <v>1</v>
      </c>
      <c r="AP568" s="21">
        <v>4</v>
      </c>
      <c r="AQ568" s="21"/>
      <c r="AR568" s="21"/>
      <c r="AS568" s="21"/>
      <c r="AT568" s="12" t="str">
        <f>HYPERLINK("http://www.openstreetmap.org/?mlat=33.2397&amp;mlon=44.3432&amp;zoom=12#map=12/33.2397/44.3432","Maplink1")</f>
        <v>Maplink1</v>
      </c>
      <c r="AU568" s="12" t="str">
        <f>HYPERLINK("https://www.google.iq/maps/search/+33.2397,44.3432/@33.2397,44.3432,14z?hl=en","Maplink2")</f>
        <v>Maplink2</v>
      </c>
      <c r="AV568" s="12" t="str">
        <f>HYPERLINK("http://www.bing.com/maps/?lvl=14&amp;sty=h&amp;cp=33.2397~44.3432&amp;sp=point.33.2397_44.3432","Maplink3")</f>
        <v>Maplink3</v>
      </c>
    </row>
    <row r="569" spans="1:48" ht="15" customHeight="1" x14ac:dyDescent="0.25">
      <c r="A569" s="19">
        <v>23982</v>
      </c>
      <c r="B569" s="20" t="s">
        <v>11</v>
      </c>
      <c r="C569" s="20" t="s">
        <v>1095</v>
      </c>
      <c r="D569" s="20" t="s">
        <v>1143</v>
      </c>
      <c r="E569" s="20" t="s">
        <v>1144</v>
      </c>
      <c r="F569" s="20">
        <v>33.2420143274</v>
      </c>
      <c r="G569" s="20">
        <v>44.386814015600002</v>
      </c>
      <c r="H569" s="22">
        <v>264</v>
      </c>
      <c r="I569" s="22">
        <v>1584</v>
      </c>
      <c r="J569" s="21">
        <v>243</v>
      </c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>
        <v>10</v>
      </c>
      <c r="W569" s="21"/>
      <c r="X569" s="21">
        <v>11</v>
      </c>
      <c r="Y569" s="21"/>
      <c r="Z569" s="21"/>
      <c r="AA569" s="21"/>
      <c r="AB569" s="21"/>
      <c r="AC569" s="21">
        <v>161</v>
      </c>
      <c r="AD569" s="21"/>
      <c r="AE569" s="21"/>
      <c r="AF569" s="21"/>
      <c r="AG569" s="21"/>
      <c r="AH569" s="21">
        <v>103</v>
      </c>
      <c r="AI569" s="21"/>
      <c r="AJ569" s="21"/>
      <c r="AK569" s="21"/>
      <c r="AL569" s="21">
        <v>65</v>
      </c>
      <c r="AM569" s="21">
        <v>71</v>
      </c>
      <c r="AN569" s="21"/>
      <c r="AO569" s="21">
        <v>71</v>
      </c>
      <c r="AP569" s="21">
        <v>20</v>
      </c>
      <c r="AQ569" s="21">
        <v>18</v>
      </c>
      <c r="AR569" s="21">
        <v>10</v>
      </c>
      <c r="AS569" s="21">
        <v>9</v>
      </c>
      <c r="AT569" s="12" t="str">
        <f>HYPERLINK("http://www.openstreetmap.org/?mlat=33.242&amp;mlon=44.3868&amp;zoom=12#map=12/33.242/44.3868","Maplink1")</f>
        <v>Maplink1</v>
      </c>
      <c r="AU569" s="12" t="str">
        <f>HYPERLINK("https://www.google.iq/maps/search/+33.242,44.3868/@33.242,44.3868,14z?hl=en","Maplink2")</f>
        <v>Maplink2</v>
      </c>
      <c r="AV569" s="12" t="str">
        <f>HYPERLINK("http://www.bing.com/maps/?lvl=14&amp;sty=h&amp;cp=33.242~44.3868&amp;sp=point.33.242_44.3868","Maplink3")</f>
        <v>Maplink3</v>
      </c>
    </row>
    <row r="570" spans="1:48" ht="15" customHeight="1" x14ac:dyDescent="0.25">
      <c r="A570" s="19">
        <v>23727</v>
      </c>
      <c r="B570" s="20" t="s">
        <v>11</v>
      </c>
      <c r="C570" s="20" t="s">
        <v>1095</v>
      </c>
      <c r="D570" s="20" t="s">
        <v>1145</v>
      </c>
      <c r="E570" s="20" t="s">
        <v>1146</v>
      </c>
      <c r="F570" s="20">
        <v>33.310939779999998</v>
      </c>
      <c r="G570" s="20">
        <v>44.326374190000003</v>
      </c>
      <c r="H570" s="22">
        <v>62</v>
      </c>
      <c r="I570" s="22">
        <v>372</v>
      </c>
      <c r="J570" s="21">
        <v>44</v>
      </c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>
        <v>14</v>
      </c>
      <c r="W570" s="21"/>
      <c r="X570" s="21">
        <v>4</v>
      </c>
      <c r="Y570" s="21"/>
      <c r="Z570" s="21"/>
      <c r="AA570" s="21"/>
      <c r="AB570" s="21"/>
      <c r="AC570" s="21">
        <v>20</v>
      </c>
      <c r="AD570" s="21"/>
      <c r="AE570" s="21"/>
      <c r="AF570" s="21"/>
      <c r="AG570" s="21"/>
      <c r="AH570" s="21">
        <v>42</v>
      </c>
      <c r="AI570" s="21"/>
      <c r="AJ570" s="21"/>
      <c r="AK570" s="21"/>
      <c r="AL570" s="21">
        <v>16</v>
      </c>
      <c r="AM570" s="21">
        <v>8</v>
      </c>
      <c r="AN570" s="21"/>
      <c r="AO570" s="21"/>
      <c r="AP570" s="21">
        <v>17</v>
      </c>
      <c r="AQ570" s="21"/>
      <c r="AR570" s="21">
        <v>21</v>
      </c>
      <c r="AS570" s="21"/>
      <c r="AT570" s="12" t="str">
        <f>HYPERLINK("http://www.openstreetmap.org/?mlat=33.3109&amp;mlon=44.3264&amp;zoom=12#map=12/33.3109/44.3264","Maplink1")</f>
        <v>Maplink1</v>
      </c>
      <c r="AU570" s="12" t="str">
        <f>HYPERLINK("https://www.google.iq/maps/search/+33.3109,44.3264/@33.3109,44.3264,14z?hl=en","Maplink2")</f>
        <v>Maplink2</v>
      </c>
      <c r="AV570" s="12" t="str">
        <f>HYPERLINK("http://www.bing.com/maps/?lvl=14&amp;sty=h&amp;cp=33.3109~44.3264&amp;sp=point.33.3109_44.3264","Maplink3")</f>
        <v>Maplink3</v>
      </c>
    </row>
    <row r="571" spans="1:48" ht="15" customHeight="1" x14ac:dyDescent="0.25">
      <c r="A571" s="19">
        <v>23676</v>
      </c>
      <c r="B571" s="20" t="s">
        <v>11</v>
      </c>
      <c r="C571" s="20" t="s">
        <v>1095</v>
      </c>
      <c r="D571" s="20" t="s">
        <v>1147</v>
      </c>
      <c r="E571" s="20" t="s">
        <v>1148</v>
      </c>
      <c r="F571" s="20">
        <v>33.317798140000001</v>
      </c>
      <c r="G571" s="20">
        <v>44.325999349999996</v>
      </c>
      <c r="H571" s="22">
        <v>40</v>
      </c>
      <c r="I571" s="22">
        <v>240</v>
      </c>
      <c r="J571" s="21">
        <v>25</v>
      </c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>
        <v>10</v>
      </c>
      <c r="W571" s="21"/>
      <c r="X571" s="21">
        <v>5</v>
      </c>
      <c r="Y571" s="21"/>
      <c r="Z571" s="21"/>
      <c r="AA571" s="21"/>
      <c r="AB571" s="21"/>
      <c r="AC571" s="21">
        <v>16</v>
      </c>
      <c r="AD571" s="21"/>
      <c r="AE571" s="21"/>
      <c r="AF571" s="21"/>
      <c r="AG571" s="21"/>
      <c r="AH571" s="21">
        <v>24</v>
      </c>
      <c r="AI571" s="21"/>
      <c r="AJ571" s="21"/>
      <c r="AK571" s="21"/>
      <c r="AL571" s="21"/>
      <c r="AM571" s="21"/>
      <c r="AN571" s="21"/>
      <c r="AO571" s="21">
        <v>10</v>
      </c>
      <c r="AP571" s="21">
        <v>9</v>
      </c>
      <c r="AQ571" s="21">
        <v>5</v>
      </c>
      <c r="AR571" s="21">
        <v>16</v>
      </c>
      <c r="AS571" s="21"/>
      <c r="AT571" s="12" t="str">
        <f>HYPERLINK("http://www.openstreetmap.org/?mlat=33.3178&amp;mlon=44.326&amp;zoom=12#map=12/33.3178/44.326","Maplink1")</f>
        <v>Maplink1</v>
      </c>
      <c r="AU571" s="12" t="str">
        <f>HYPERLINK("https://www.google.iq/maps/search/+33.3178,44.326/@33.3178,44.326,14z?hl=en","Maplink2")</f>
        <v>Maplink2</v>
      </c>
      <c r="AV571" s="12" t="str">
        <f>HYPERLINK("http://www.bing.com/maps/?lvl=14&amp;sty=h&amp;cp=33.3178~44.326&amp;sp=point.33.3178_44.326","Maplink3")</f>
        <v>Maplink3</v>
      </c>
    </row>
    <row r="572" spans="1:48" ht="15" customHeight="1" x14ac:dyDescent="0.25">
      <c r="A572" s="19">
        <v>26040</v>
      </c>
      <c r="B572" s="20" t="s">
        <v>11</v>
      </c>
      <c r="C572" s="20" t="s">
        <v>1095</v>
      </c>
      <c r="D572" s="20" t="s">
        <v>1149</v>
      </c>
      <c r="E572" s="20" t="s">
        <v>1150</v>
      </c>
      <c r="F572" s="20">
        <v>33.314851570000002</v>
      </c>
      <c r="G572" s="20">
        <v>44.321401539999997</v>
      </c>
      <c r="H572" s="22">
        <v>166</v>
      </c>
      <c r="I572" s="22">
        <v>996</v>
      </c>
      <c r="J572" s="21">
        <v>156</v>
      </c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>
        <v>10</v>
      </c>
      <c r="W572" s="21"/>
      <c r="X572" s="21"/>
      <c r="Y572" s="21"/>
      <c r="Z572" s="21"/>
      <c r="AA572" s="21"/>
      <c r="AB572" s="21"/>
      <c r="AC572" s="21">
        <v>79</v>
      </c>
      <c r="AD572" s="21"/>
      <c r="AE572" s="21"/>
      <c r="AF572" s="21"/>
      <c r="AG572" s="21"/>
      <c r="AH572" s="21">
        <v>87</v>
      </c>
      <c r="AI572" s="21"/>
      <c r="AJ572" s="21"/>
      <c r="AK572" s="21"/>
      <c r="AL572" s="21"/>
      <c r="AM572" s="21">
        <v>12</v>
      </c>
      <c r="AN572" s="21"/>
      <c r="AO572" s="21">
        <v>52</v>
      </c>
      <c r="AP572" s="21">
        <v>79</v>
      </c>
      <c r="AQ572" s="21">
        <v>3</v>
      </c>
      <c r="AR572" s="21">
        <v>20</v>
      </c>
      <c r="AS572" s="21"/>
      <c r="AT572" s="12" t="str">
        <f>HYPERLINK("http://www.openstreetmap.org/?mlat=33.3149&amp;mlon=44.3214&amp;zoom=12#map=12/33.3149/44.3214","Maplink1")</f>
        <v>Maplink1</v>
      </c>
      <c r="AU572" s="12" t="str">
        <f>HYPERLINK("https://www.google.iq/maps/search/+33.3149,44.3214/@33.3149,44.3214,14z?hl=en","Maplink2")</f>
        <v>Maplink2</v>
      </c>
      <c r="AV572" s="12" t="str">
        <f>HYPERLINK("http://www.bing.com/maps/?lvl=14&amp;sty=h&amp;cp=33.3149~44.3214&amp;sp=point.33.3149_44.3214","Maplink3")</f>
        <v>Maplink3</v>
      </c>
    </row>
    <row r="573" spans="1:48" ht="15" customHeight="1" x14ac:dyDescent="0.25">
      <c r="A573" s="19">
        <v>23730</v>
      </c>
      <c r="B573" s="20" t="s">
        <v>11</v>
      </c>
      <c r="C573" s="20" t="s">
        <v>1095</v>
      </c>
      <c r="D573" s="20" t="s">
        <v>1151</v>
      </c>
      <c r="E573" s="20" t="s">
        <v>1152</v>
      </c>
      <c r="F573" s="20">
        <v>33.319335969999997</v>
      </c>
      <c r="G573" s="20">
        <v>44.305006120000002</v>
      </c>
      <c r="H573" s="22">
        <v>140</v>
      </c>
      <c r="I573" s="22">
        <v>840</v>
      </c>
      <c r="J573" s="21">
        <v>123</v>
      </c>
      <c r="K573" s="21"/>
      <c r="L573" s="21"/>
      <c r="M573" s="21"/>
      <c r="N573" s="21"/>
      <c r="O573" s="21">
        <v>11</v>
      </c>
      <c r="P573" s="21"/>
      <c r="Q573" s="21"/>
      <c r="R573" s="21"/>
      <c r="S573" s="21"/>
      <c r="T573" s="21"/>
      <c r="U573" s="21"/>
      <c r="V573" s="21">
        <v>6</v>
      </c>
      <c r="W573" s="21"/>
      <c r="X573" s="21"/>
      <c r="Y573" s="21"/>
      <c r="Z573" s="21"/>
      <c r="AA573" s="21"/>
      <c r="AB573" s="21"/>
      <c r="AC573" s="21">
        <v>70</v>
      </c>
      <c r="AD573" s="21"/>
      <c r="AE573" s="21"/>
      <c r="AF573" s="21"/>
      <c r="AG573" s="21"/>
      <c r="AH573" s="21">
        <v>70</v>
      </c>
      <c r="AI573" s="21"/>
      <c r="AJ573" s="21"/>
      <c r="AK573" s="21"/>
      <c r="AL573" s="21">
        <v>20</v>
      </c>
      <c r="AM573" s="21">
        <v>51</v>
      </c>
      <c r="AN573" s="21"/>
      <c r="AO573" s="21">
        <v>23</v>
      </c>
      <c r="AP573" s="21">
        <v>15</v>
      </c>
      <c r="AQ573" s="21">
        <v>12</v>
      </c>
      <c r="AR573" s="21">
        <v>7</v>
      </c>
      <c r="AS573" s="21">
        <v>12</v>
      </c>
      <c r="AT573" s="12" t="str">
        <f>HYPERLINK("http://www.openstreetmap.org/?mlat=33.3193&amp;mlon=44.305&amp;zoom=12#map=12/33.3193/44.305","Maplink1")</f>
        <v>Maplink1</v>
      </c>
      <c r="AU573" s="12" t="str">
        <f>HYPERLINK("https://www.google.iq/maps/search/+33.3193,44.305/@33.3193,44.305,14z?hl=en","Maplink2")</f>
        <v>Maplink2</v>
      </c>
      <c r="AV573" s="12" t="str">
        <f>HYPERLINK("http://www.bing.com/maps/?lvl=14&amp;sty=h&amp;cp=33.3193~44.305&amp;sp=point.33.3193_44.305","Maplink3")</f>
        <v>Maplink3</v>
      </c>
    </row>
    <row r="574" spans="1:48" ht="15" customHeight="1" x14ac:dyDescent="0.25">
      <c r="A574" s="19">
        <v>26041</v>
      </c>
      <c r="B574" s="20" t="s">
        <v>11</v>
      </c>
      <c r="C574" s="20" t="s">
        <v>1095</v>
      </c>
      <c r="D574" s="20" t="s">
        <v>1153</v>
      </c>
      <c r="E574" s="20" t="s">
        <v>1154</v>
      </c>
      <c r="F574" s="20">
        <v>33.325019449999999</v>
      </c>
      <c r="G574" s="20">
        <v>44.319360379999999</v>
      </c>
      <c r="H574" s="22">
        <v>119</v>
      </c>
      <c r="I574" s="22">
        <v>714</v>
      </c>
      <c r="J574" s="21">
        <v>110</v>
      </c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>
        <v>5</v>
      </c>
      <c r="W574" s="21"/>
      <c r="X574" s="21">
        <v>4</v>
      </c>
      <c r="Y574" s="21"/>
      <c r="Z574" s="21"/>
      <c r="AA574" s="21"/>
      <c r="AB574" s="21"/>
      <c r="AC574" s="21">
        <v>58</v>
      </c>
      <c r="AD574" s="21"/>
      <c r="AE574" s="21"/>
      <c r="AF574" s="21"/>
      <c r="AG574" s="21"/>
      <c r="AH574" s="21">
        <v>61</v>
      </c>
      <c r="AI574" s="21"/>
      <c r="AJ574" s="21"/>
      <c r="AK574" s="21"/>
      <c r="AL574" s="21">
        <v>42</v>
      </c>
      <c r="AM574" s="21"/>
      <c r="AN574" s="21"/>
      <c r="AO574" s="21">
        <v>30</v>
      </c>
      <c r="AP574" s="21">
        <v>21</v>
      </c>
      <c r="AQ574" s="21">
        <v>6</v>
      </c>
      <c r="AR574" s="21">
        <v>7</v>
      </c>
      <c r="AS574" s="21">
        <v>13</v>
      </c>
      <c r="AT574" s="12" t="str">
        <f>HYPERLINK("http://www.openstreetmap.org/?mlat=33.325&amp;mlon=44.3194&amp;zoom=12#map=12/33.325/44.3194","Maplink1")</f>
        <v>Maplink1</v>
      </c>
      <c r="AU574" s="12" t="str">
        <f>HYPERLINK("https://www.google.iq/maps/search/+33.325,44.3194/@33.325,44.3194,14z?hl=en","Maplink2")</f>
        <v>Maplink2</v>
      </c>
      <c r="AV574" s="12" t="str">
        <f>HYPERLINK("http://www.bing.com/maps/?lvl=14&amp;sty=h&amp;cp=33.325~44.3194&amp;sp=point.33.325_44.3194","Maplink3")</f>
        <v>Maplink3</v>
      </c>
    </row>
    <row r="575" spans="1:48" ht="15" customHeight="1" x14ac:dyDescent="0.25">
      <c r="A575" s="19">
        <v>24074</v>
      </c>
      <c r="B575" s="20" t="s">
        <v>11</v>
      </c>
      <c r="C575" s="20" t="s">
        <v>1095</v>
      </c>
      <c r="D575" s="20" t="s">
        <v>1155</v>
      </c>
      <c r="E575" s="20" t="s">
        <v>1156</v>
      </c>
      <c r="F575" s="20">
        <v>33.256896840000003</v>
      </c>
      <c r="G575" s="20">
        <v>44.407928599999998</v>
      </c>
      <c r="H575" s="22">
        <v>69</v>
      </c>
      <c r="I575" s="22">
        <v>414</v>
      </c>
      <c r="J575" s="21">
        <v>48</v>
      </c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>
        <v>15</v>
      </c>
      <c r="W575" s="21"/>
      <c r="X575" s="21">
        <v>6</v>
      </c>
      <c r="Y575" s="21"/>
      <c r="Z575" s="21"/>
      <c r="AA575" s="21"/>
      <c r="AB575" s="21"/>
      <c r="AC575" s="21">
        <v>36</v>
      </c>
      <c r="AD575" s="21"/>
      <c r="AE575" s="21"/>
      <c r="AF575" s="21"/>
      <c r="AG575" s="21"/>
      <c r="AH575" s="21">
        <v>33</v>
      </c>
      <c r="AI575" s="21"/>
      <c r="AJ575" s="21"/>
      <c r="AK575" s="21"/>
      <c r="AL575" s="21">
        <v>15</v>
      </c>
      <c r="AM575" s="21"/>
      <c r="AN575" s="21">
        <v>16</v>
      </c>
      <c r="AO575" s="21">
        <v>15</v>
      </c>
      <c r="AP575" s="21">
        <v>9</v>
      </c>
      <c r="AQ575" s="21">
        <v>5</v>
      </c>
      <c r="AR575" s="21">
        <v>9</v>
      </c>
      <c r="AS575" s="21"/>
      <c r="AT575" s="12" t="str">
        <f>HYPERLINK("http://www.openstreetmap.org/?mlat=33.2569&amp;mlon=44.4079&amp;zoom=12#map=12/33.2569/44.4079","Maplink1")</f>
        <v>Maplink1</v>
      </c>
      <c r="AU575" s="12" t="str">
        <f>HYPERLINK("https://www.google.iq/maps/search/+33.2569,44.4079/@33.2569,44.4079,14z?hl=en","Maplink2")</f>
        <v>Maplink2</v>
      </c>
      <c r="AV575" s="12" t="str">
        <f>HYPERLINK("http://www.bing.com/maps/?lvl=14&amp;sty=h&amp;cp=33.2569~44.4079&amp;sp=point.33.2569_44.4079","Maplink3")</f>
        <v>Maplink3</v>
      </c>
    </row>
    <row r="576" spans="1:48" ht="15" customHeight="1" x14ac:dyDescent="0.25">
      <c r="A576" s="19">
        <v>24076</v>
      </c>
      <c r="B576" s="20" t="s">
        <v>11</v>
      </c>
      <c r="C576" s="20" t="s">
        <v>1095</v>
      </c>
      <c r="D576" s="20" t="s">
        <v>1157</v>
      </c>
      <c r="E576" s="20" t="s">
        <v>1158</v>
      </c>
      <c r="F576" s="20">
        <v>33.258897959999999</v>
      </c>
      <c r="G576" s="20">
        <v>44.371667440000003</v>
      </c>
      <c r="H576" s="22">
        <v>17</v>
      </c>
      <c r="I576" s="22">
        <v>102</v>
      </c>
      <c r="J576" s="21">
        <v>6</v>
      </c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>
        <v>6</v>
      </c>
      <c r="W576" s="21"/>
      <c r="X576" s="21">
        <v>5</v>
      </c>
      <c r="Y576" s="21"/>
      <c r="Z576" s="21"/>
      <c r="AA576" s="21"/>
      <c r="AB576" s="21"/>
      <c r="AC576" s="21">
        <v>7</v>
      </c>
      <c r="AD576" s="21"/>
      <c r="AE576" s="21"/>
      <c r="AF576" s="21"/>
      <c r="AG576" s="21"/>
      <c r="AH576" s="21">
        <v>10</v>
      </c>
      <c r="AI576" s="21"/>
      <c r="AJ576" s="21"/>
      <c r="AK576" s="21"/>
      <c r="AL576" s="21">
        <v>2</v>
      </c>
      <c r="AM576" s="21">
        <v>10</v>
      </c>
      <c r="AN576" s="21"/>
      <c r="AO576" s="21">
        <v>5</v>
      </c>
      <c r="AP576" s="21"/>
      <c r="AQ576" s="21"/>
      <c r="AR576" s="21"/>
      <c r="AS576" s="21"/>
      <c r="AT576" s="12" t="str">
        <f>HYPERLINK("http://www.openstreetmap.org/?mlat=33.2589&amp;mlon=44.3717&amp;zoom=12#map=12/33.2589/44.3717","Maplink1")</f>
        <v>Maplink1</v>
      </c>
      <c r="AU576" s="12" t="str">
        <f>HYPERLINK("https://www.google.iq/maps/search/+33.2589,44.3717/@33.2589,44.3717,14z?hl=en","Maplink2")</f>
        <v>Maplink2</v>
      </c>
      <c r="AV576" s="12" t="str">
        <f>HYPERLINK("http://www.bing.com/maps/?lvl=14&amp;sty=h&amp;cp=33.2589~44.3717&amp;sp=point.33.2589_44.3717","Maplink3")</f>
        <v>Maplink3</v>
      </c>
    </row>
    <row r="577" spans="1:48" ht="15" customHeight="1" x14ac:dyDescent="0.25">
      <c r="A577" s="19">
        <v>24445</v>
      </c>
      <c r="B577" s="20" t="s">
        <v>11</v>
      </c>
      <c r="C577" s="20" t="s">
        <v>1095</v>
      </c>
      <c r="D577" s="20" t="s">
        <v>1159</v>
      </c>
      <c r="E577" s="20" t="s">
        <v>1160</v>
      </c>
      <c r="F577" s="20">
        <v>33.248815469999997</v>
      </c>
      <c r="G577" s="20">
        <v>44.371247109999999</v>
      </c>
      <c r="H577" s="22">
        <v>19</v>
      </c>
      <c r="I577" s="22">
        <v>114</v>
      </c>
      <c r="J577" s="21">
        <v>19</v>
      </c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>
        <v>19</v>
      </c>
      <c r="AI577" s="21"/>
      <c r="AJ577" s="21"/>
      <c r="AK577" s="21"/>
      <c r="AL577" s="21"/>
      <c r="AM577" s="21"/>
      <c r="AN577" s="21">
        <v>11</v>
      </c>
      <c r="AO577" s="21"/>
      <c r="AP577" s="21">
        <v>8</v>
      </c>
      <c r="AQ577" s="21"/>
      <c r="AR577" s="21"/>
      <c r="AS577" s="21"/>
      <c r="AT577" s="12" t="str">
        <f>HYPERLINK("http://www.openstreetmap.org/?mlat=33.2488&amp;mlon=44.3712&amp;zoom=12#map=12/33.2488/44.3712","Maplink1")</f>
        <v>Maplink1</v>
      </c>
      <c r="AU577" s="12" t="str">
        <f>HYPERLINK("https://www.google.iq/maps/search/+33.2488,44.3712/@33.2488,44.3712,14z?hl=en","Maplink2")</f>
        <v>Maplink2</v>
      </c>
      <c r="AV577" s="12" t="str">
        <f>HYPERLINK("http://www.bing.com/maps/?lvl=14&amp;sty=h&amp;cp=33.2488~44.3712&amp;sp=point.33.2488_44.3712","Maplink3")</f>
        <v>Maplink3</v>
      </c>
    </row>
    <row r="578" spans="1:48" ht="15" customHeight="1" x14ac:dyDescent="0.25">
      <c r="A578" s="19">
        <v>24446</v>
      </c>
      <c r="B578" s="20" t="s">
        <v>11</v>
      </c>
      <c r="C578" s="20" t="s">
        <v>1095</v>
      </c>
      <c r="D578" s="20" t="s">
        <v>1161</v>
      </c>
      <c r="E578" s="20" t="s">
        <v>1162</v>
      </c>
      <c r="F578" s="20">
        <v>33.255012129999997</v>
      </c>
      <c r="G578" s="20">
        <v>44.371822340000001</v>
      </c>
      <c r="H578" s="22">
        <v>30</v>
      </c>
      <c r="I578" s="22">
        <v>180</v>
      </c>
      <c r="J578" s="21">
        <v>30</v>
      </c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>
        <v>10</v>
      </c>
      <c r="AD578" s="21"/>
      <c r="AE578" s="21"/>
      <c r="AF578" s="21"/>
      <c r="AG578" s="21"/>
      <c r="AH578" s="21">
        <v>20</v>
      </c>
      <c r="AI578" s="21"/>
      <c r="AJ578" s="21"/>
      <c r="AK578" s="21"/>
      <c r="AL578" s="21"/>
      <c r="AM578" s="21"/>
      <c r="AN578" s="21">
        <v>15</v>
      </c>
      <c r="AO578" s="21">
        <v>15</v>
      </c>
      <c r="AP578" s="21"/>
      <c r="AQ578" s="21"/>
      <c r="AR578" s="21"/>
      <c r="AS578" s="21"/>
      <c r="AT578" s="12" t="str">
        <f>HYPERLINK("http://www.openstreetmap.org/?mlat=33.255&amp;mlon=44.3718&amp;zoom=12#map=12/33.255/44.3718","Maplink1")</f>
        <v>Maplink1</v>
      </c>
      <c r="AU578" s="12" t="str">
        <f>HYPERLINK("https://www.google.iq/maps/search/+33.255,44.3718/@33.255,44.3718,14z?hl=en","Maplink2")</f>
        <v>Maplink2</v>
      </c>
      <c r="AV578" s="12" t="str">
        <f>HYPERLINK("http://www.bing.com/maps/?lvl=14&amp;sty=h&amp;cp=33.255~44.3718&amp;sp=point.33.255_44.3718","Maplink3")</f>
        <v>Maplink3</v>
      </c>
    </row>
    <row r="579" spans="1:48" ht="15" customHeight="1" x14ac:dyDescent="0.25">
      <c r="A579" s="19">
        <v>24077</v>
      </c>
      <c r="B579" s="20" t="s">
        <v>11</v>
      </c>
      <c r="C579" s="20" t="s">
        <v>1095</v>
      </c>
      <c r="D579" s="20" t="s">
        <v>1163</v>
      </c>
      <c r="E579" s="20" t="s">
        <v>1164</v>
      </c>
      <c r="F579" s="20">
        <v>33.25766548</v>
      </c>
      <c r="G579" s="20">
        <v>44.380794700000003</v>
      </c>
      <c r="H579" s="22">
        <v>16</v>
      </c>
      <c r="I579" s="22">
        <v>96</v>
      </c>
      <c r="J579" s="21">
        <v>8</v>
      </c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>
        <v>8</v>
      </c>
      <c r="W579" s="21"/>
      <c r="X579" s="21"/>
      <c r="Y579" s="21"/>
      <c r="Z579" s="21"/>
      <c r="AA579" s="21"/>
      <c r="AB579" s="21"/>
      <c r="AC579" s="21">
        <v>3</v>
      </c>
      <c r="AD579" s="21"/>
      <c r="AE579" s="21"/>
      <c r="AF579" s="21"/>
      <c r="AG579" s="21"/>
      <c r="AH579" s="21">
        <v>13</v>
      </c>
      <c r="AI579" s="21"/>
      <c r="AJ579" s="21"/>
      <c r="AK579" s="21"/>
      <c r="AL579" s="21">
        <v>3</v>
      </c>
      <c r="AM579" s="21">
        <v>8</v>
      </c>
      <c r="AN579" s="21"/>
      <c r="AO579" s="21"/>
      <c r="AP579" s="21"/>
      <c r="AQ579" s="21">
        <v>5</v>
      </c>
      <c r="AR579" s="21"/>
      <c r="AS579" s="21"/>
      <c r="AT579" s="12" t="str">
        <f>HYPERLINK("http://www.openstreetmap.org/?mlat=33.2577&amp;mlon=44.3808&amp;zoom=12#map=12/33.2577/44.3808","Maplink1")</f>
        <v>Maplink1</v>
      </c>
      <c r="AU579" s="12" t="str">
        <f>HYPERLINK("https://www.google.iq/maps/search/+33.2577,44.3808/@33.2577,44.3808,14z?hl=en","Maplink2")</f>
        <v>Maplink2</v>
      </c>
      <c r="AV579" s="12" t="str">
        <f>HYPERLINK("http://www.bing.com/maps/?lvl=14&amp;sty=h&amp;cp=33.2577~44.3808&amp;sp=point.33.2577_44.3808","Maplink3")</f>
        <v>Maplink3</v>
      </c>
    </row>
    <row r="580" spans="1:48" ht="15" customHeight="1" x14ac:dyDescent="0.25">
      <c r="A580" s="19">
        <v>23983</v>
      </c>
      <c r="B580" s="20" t="s">
        <v>11</v>
      </c>
      <c r="C580" s="20" t="s">
        <v>1095</v>
      </c>
      <c r="D580" s="20" t="s">
        <v>1165</v>
      </c>
      <c r="E580" s="20" t="s">
        <v>1166</v>
      </c>
      <c r="F580" s="20">
        <v>33.256892860000001</v>
      </c>
      <c r="G580" s="20">
        <v>44.383417919999999</v>
      </c>
      <c r="H580" s="22">
        <v>44</v>
      </c>
      <c r="I580" s="22">
        <v>264</v>
      </c>
      <c r="J580" s="21">
        <v>36</v>
      </c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>
        <v>4</v>
      </c>
      <c r="W580" s="21"/>
      <c r="X580" s="21">
        <v>4</v>
      </c>
      <c r="Y580" s="21"/>
      <c r="Z580" s="21"/>
      <c r="AA580" s="21"/>
      <c r="AB580" s="21"/>
      <c r="AC580" s="21">
        <v>16</v>
      </c>
      <c r="AD580" s="21"/>
      <c r="AE580" s="21"/>
      <c r="AF580" s="21"/>
      <c r="AG580" s="21"/>
      <c r="AH580" s="21">
        <v>28</v>
      </c>
      <c r="AI580" s="21"/>
      <c r="AJ580" s="21"/>
      <c r="AK580" s="21"/>
      <c r="AL580" s="21">
        <v>3</v>
      </c>
      <c r="AM580" s="21">
        <v>21</v>
      </c>
      <c r="AN580" s="21">
        <v>2</v>
      </c>
      <c r="AO580" s="21">
        <v>2</v>
      </c>
      <c r="AP580" s="21">
        <v>4</v>
      </c>
      <c r="AQ580" s="21">
        <v>4</v>
      </c>
      <c r="AR580" s="21"/>
      <c r="AS580" s="21">
        <v>8</v>
      </c>
      <c r="AT580" s="12" t="str">
        <f>HYPERLINK("http://www.openstreetmap.org/?mlat=33.2569&amp;mlon=44.3834&amp;zoom=12#map=12/33.2569/44.3834","Maplink1")</f>
        <v>Maplink1</v>
      </c>
      <c r="AU580" s="12" t="str">
        <f>HYPERLINK("https://www.google.iq/maps/search/+33.2569,44.3834/@33.2569,44.3834,14z?hl=en","Maplink2")</f>
        <v>Maplink2</v>
      </c>
      <c r="AV580" s="12" t="str">
        <f>HYPERLINK("http://www.bing.com/maps/?lvl=14&amp;sty=h&amp;cp=33.2569~44.3834&amp;sp=point.33.2569_44.3834","Maplink3")</f>
        <v>Maplink3</v>
      </c>
    </row>
    <row r="581" spans="1:48" ht="15" customHeight="1" x14ac:dyDescent="0.25">
      <c r="A581" s="19">
        <v>25881</v>
      </c>
      <c r="B581" s="20" t="s">
        <v>11</v>
      </c>
      <c r="C581" s="20" t="s">
        <v>1095</v>
      </c>
      <c r="D581" s="20" t="s">
        <v>1167</v>
      </c>
      <c r="E581" s="20" t="s">
        <v>1168</v>
      </c>
      <c r="F581" s="20">
        <v>33.265363180000001</v>
      </c>
      <c r="G581" s="20">
        <v>44.396232500000004</v>
      </c>
      <c r="H581" s="22">
        <v>12</v>
      </c>
      <c r="I581" s="22">
        <v>72</v>
      </c>
      <c r="J581" s="21">
        <v>12</v>
      </c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>
        <v>12</v>
      </c>
      <c r="AI581" s="21"/>
      <c r="AJ581" s="21"/>
      <c r="AK581" s="21"/>
      <c r="AL581" s="21"/>
      <c r="AM581" s="21"/>
      <c r="AN581" s="21">
        <v>2</v>
      </c>
      <c r="AO581" s="21">
        <v>8</v>
      </c>
      <c r="AP581" s="21">
        <v>2</v>
      </c>
      <c r="AQ581" s="21"/>
      <c r="AR581" s="21"/>
      <c r="AS581" s="21"/>
      <c r="AT581" s="12" t="str">
        <f>HYPERLINK("http://www.openstreetmap.org/?mlat=33.2654&amp;mlon=44.3962&amp;zoom=12#map=12/33.2654/44.3962","Maplink1")</f>
        <v>Maplink1</v>
      </c>
      <c r="AU581" s="12" t="str">
        <f>HYPERLINK("https://www.google.iq/maps/search/+33.2654,44.3962/@33.2654,44.3962,14z?hl=en","Maplink2")</f>
        <v>Maplink2</v>
      </c>
      <c r="AV581" s="12" t="str">
        <f>HYPERLINK("http://www.bing.com/maps/?lvl=14&amp;sty=h&amp;cp=33.2654~44.3962&amp;sp=point.33.2654_44.3962","Maplink3")</f>
        <v>Maplink3</v>
      </c>
    </row>
    <row r="582" spans="1:48" ht="15" customHeight="1" x14ac:dyDescent="0.25">
      <c r="A582" s="19">
        <v>26099</v>
      </c>
      <c r="B582" s="20" t="s">
        <v>11</v>
      </c>
      <c r="C582" s="20" t="s">
        <v>1095</v>
      </c>
      <c r="D582" s="20" t="s">
        <v>1169</v>
      </c>
      <c r="E582" s="20" t="s">
        <v>1170</v>
      </c>
      <c r="F582" s="20">
        <v>33.268278648399999</v>
      </c>
      <c r="G582" s="20">
        <v>44.404187129699999</v>
      </c>
      <c r="H582" s="22">
        <v>75</v>
      </c>
      <c r="I582" s="22">
        <v>450</v>
      </c>
      <c r="J582" s="21">
        <v>70</v>
      </c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>
        <v>5</v>
      </c>
      <c r="W582" s="21"/>
      <c r="X582" s="21"/>
      <c r="Y582" s="21"/>
      <c r="Z582" s="21"/>
      <c r="AA582" s="21"/>
      <c r="AB582" s="21"/>
      <c r="AC582" s="21">
        <v>34</v>
      </c>
      <c r="AD582" s="21"/>
      <c r="AE582" s="21"/>
      <c r="AF582" s="21"/>
      <c r="AG582" s="21"/>
      <c r="AH582" s="21">
        <v>41</v>
      </c>
      <c r="AI582" s="21"/>
      <c r="AJ582" s="21"/>
      <c r="AK582" s="21"/>
      <c r="AL582" s="21"/>
      <c r="AM582" s="21"/>
      <c r="AN582" s="21"/>
      <c r="AO582" s="21">
        <v>10</v>
      </c>
      <c r="AP582" s="21">
        <v>40</v>
      </c>
      <c r="AQ582" s="21">
        <v>20</v>
      </c>
      <c r="AR582" s="21">
        <v>5</v>
      </c>
      <c r="AS582" s="21"/>
      <c r="AT582" s="12" t="str">
        <f>HYPERLINK("http://www.openstreetmap.org/?mlat=33.2683&amp;mlon=44.4042&amp;zoom=12#map=12/33.2683/44.4042","Maplink1")</f>
        <v>Maplink1</v>
      </c>
      <c r="AU582" s="12" t="str">
        <f>HYPERLINK("https://www.google.iq/maps/search/+33.2683,44.4042/@33.2683,44.4042,14z?hl=en","Maplink2")</f>
        <v>Maplink2</v>
      </c>
      <c r="AV582" s="12" t="str">
        <f>HYPERLINK("http://www.bing.com/maps/?lvl=14&amp;sty=h&amp;cp=33.2683~44.4042&amp;sp=point.33.2683_44.4042","Maplink3")</f>
        <v>Maplink3</v>
      </c>
    </row>
    <row r="583" spans="1:48" ht="15" customHeight="1" x14ac:dyDescent="0.25">
      <c r="A583" s="19">
        <v>21745</v>
      </c>
      <c r="B583" s="20" t="s">
        <v>11</v>
      </c>
      <c r="C583" s="20" t="s">
        <v>1095</v>
      </c>
      <c r="D583" s="20" t="s">
        <v>1171</v>
      </c>
      <c r="E583" s="20" t="s">
        <v>1172</v>
      </c>
      <c r="F583" s="20">
        <v>33.340014910000001</v>
      </c>
      <c r="G583" s="20">
        <v>44.38092193</v>
      </c>
      <c r="H583" s="22">
        <v>30</v>
      </c>
      <c r="I583" s="22">
        <v>180</v>
      </c>
      <c r="J583" s="21">
        <v>13</v>
      </c>
      <c r="K583" s="21"/>
      <c r="L583" s="21"/>
      <c r="M583" s="21"/>
      <c r="N583" s="21"/>
      <c r="O583" s="21">
        <v>3</v>
      </c>
      <c r="P583" s="21"/>
      <c r="Q583" s="21"/>
      <c r="R583" s="21"/>
      <c r="S583" s="21"/>
      <c r="T583" s="21"/>
      <c r="U583" s="21"/>
      <c r="V583" s="21">
        <v>9</v>
      </c>
      <c r="W583" s="21"/>
      <c r="X583" s="21">
        <v>5</v>
      </c>
      <c r="Y583" s="21"/>
      <c r="Z583" s="21"/>
      <c r="AA583" s="21"/>
      <c r="AB583" s="21"/>
      <c r="AC583" s="21">
        <v>7</v>
      </c>
      <c r="AD583" s="21"/>
      <c r="AE583" s="21"/>
      <c r="AF583" s="21"/>
      <c r="AG583" s="21"/>
      <c r="AH583" s="21">
        <v>12</v>
      </c>
      <c r="AI583" s="21">
        <v>11</v>
      </c>
      <c r="AJ583" s="21"/>
      <c r="AK583" s="21"/>
      <c r="AL583" s="21"/>
      <c r="AM583" s="21"/>
      <c r="AN583" s="21"/>
      <c r="AO583" s="21">
        <v>13</v>
      </c>
      <c r="AP583" s="21">
        <v>14</v>
      </c>
      <c r="AQ583" s="21"/>
      <c r="AR583" s="21">
        <v>3</v>
      </c>
      <c r="AS583" s="21"/>
      <c r="AT583" s="12" t="str">
        <f>HYPERLINK("http://www.openstreetmap.org/?mlat=33.34&amp;mlon=44.3809&amp;zoom=12#map=12/33.34/44.3809","Maplink1")</f>
        <v>Maplink1</v>
      </c>
      <c r="AU583" s="12" t="str">
        <f>HYPERLINK("https://www.google.iq/maps/search/+33.34,44.3809/@33.34,44.3809,14z?hl=en","Maplink2")</f>
        <v>Maplink2</v>
      </c>
      <c r="AV583" s="12" t="str">
        <f>HYPERLINK("http://www.bing.com/maps/?lvl=14&amp;sty=h&amp;cp=33.34~44.3809&amp;sp=point.33.34_44.3809","Maplink3")</f>
        <v>Maplink3</v>
      </c>
    </row>
    <row r="584" spans="1:48" ht="15" customHeight="1" x14ac:dyDescent="0.25">
      <c r="A584" s="19">
        <v>27195</v>
      </c>
      <c r="B584" s="20" t="s">
        <v>11</v>
      </c>
      <c r="C584" s="20" t="s">
        <v>1095</v>
      </c>
      <c r="D584" s="20" t="s">
        <v>1173</v>
      </c>
      <c r="E584" s="20" t="s">
        <v>1174</v>
      </c>
      <c r="F584" s="20">
        <v>33.331635227900001</v>
      </c>
      <c r="G584" s="20">
        <v>44.386223140399998</v>
      </c>
      <c r="H584" s="22">
        <v>9</v>
      </c>
      <c r="I584" s="22">
        <v>54</v>
      </c>
      <c r="J584" s="21">
        <v>2</v>
      </c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>
        <v>4</v>
      </c>
      <c r="W584" s="21"/>
      <c r="X584" s="21">
        <v>3</v>
      </c>
      <c r="Y584" s="21"/>
      <c r="Z584" s="21"/>
      <c r="AA584" s="21"/>
      <c r="AB584" s="21"/>
      <c r="AC584" s="21"/>
      <c r="AD584" s="21"/>
      <c r="AE584" s="21"/>
      <c r="AF584" s="21"/>
      <c r="AG584" s="21"/>
      <c r="AH584" s="21">
        <v>9</v>
      </c>
      <c r="AI584" s="21"/>
      <c r="AJ584" s="21"/>
      <c r="AK584" s="21"/>
      <c r="AL584" s="21"/>
      <c r="AM584" s="21"/>
      <c r="AN584" s="21"/>
      <c r="AO584" s="21">
        <v>7</v>
      </c>
      <c r="AP584" s="21">
        <v>2</v>
      </c>
      <c r="AQ584" s="21"/>
      <c r="AR584" s="21"/>
      <c r="AS584" s="21"/>
      <c r="AT584" s="12" t="str">
        <f>HYPERLINK("http://www.openstreetmap.org/?mlat=33.3316&amp;mlon=44.3862&amp;zoom=12#map=12/33.3316/44.3862","Maplink1")</f>
        <v>Maplink1</v>
      </c>
      <c r="AU584" s="12" t="str">
        <f>HYPERLINK("https://www.google.iq/maps/search/+33.3316,44.3862/@33.3316,44.3862,14z?hl=en","Maplink2")</f>
        <v>Maplink2</v>
      </c>
      <c r="AV584" s="12" t="str">
        <f>HYPERLINK("http://www.bing.com/maps/?lvl=14&amp;sty=h&amp;cp=33.3316~44.3862&amp;sp=point.33.3316_44.3862","Maplink3")</f>
        <v>Maplink3</v>
      </c>
    </row>
    <row r="585" spans="1:48" ht="15" customHeight="1" x14ac:dyDescent="0.25">
      <c r="A585" s="19">
        <v>21460</v>
      </c>
      <c r="B585" s="20" t="s">
        <v>11</v>
      </c>
      <c r="C585" s="20" t="s">
        <v>1095</v>
      </c>
      <c r="D585" s="20" t="s">
        <v>1175</v>
      </c>
      <c r="E585" s="20" t="s">
        <v>1176</v>
      </c>
      <c r="F585" s="20">
        <v>33.316587380000001</v>
      </c>
      <c r="G585" s="20">
        <v>44.297152689999997</v>
      </c>
      <c r="H585" s="22">
        <v>96</v>
      </c>
      <c r="I585" s="22">
        <v>576</v>
      </c>
      <c r="J585" s="21">
        <v>89</v>
      </c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>
        <v>7</v>
      </c>
      <c r="W585" s="21"/>
      <c r="X585" s="21"/>
      <c r="Y585" s="21"/>
      <c r="Z585" s="21"/>
      <c r="AA585" s="21"/>
      <c r="AB585" s="21"/>
      <c r="AC585" s="21">
        <v>26</v>
      </c>
      <c r="AD585" s="21"/>
      <c r="AE585" s="21"/>
      <c r="AF585" s="21"/>
      <c r="AG585" s="21"/>
      <c r="AH585" s="21">
        <v>70</v>
      </c>
      <c r="AI585" s="21"/>
      <c r="AJ585" s="21"/>
      <c r="AK585" s="21"/>
      <c r="AL585" s="21">
        <v>10</v>
      </c>
      <c r="AM585" s="21">
        <v>47</v>
      </c>
      <c r="AN585" s="21"/>
      <c r="AO585" s="21">
        <v>14</v>
      </c>
      <c r="AP585" s="21">
        <v>11</v>
      </c>
      <c r="AQ585" s="21">
        <v>7</v>
      </c>
      <c r="AR585" s="21">
        <v>7</v>
      </c>
      <c r="AS585" s="21"/>
      <c r="AT585" s="12" t="str">
        <f>HYPERLINK("http://www.openstreetmap.org/?mlat=33.3166&amp;mlon=44.2972&amp;zoom=12#map=12/33.3166/44.2972","Maplink1")</f>
        <v>Maplink1</v>
      </c>
      <c r="AU585" s="12" t="str">
        <f>HYPERLINK("https://www.google.iq/maps/search/+33.3166,44.2972/@33.3166,44.2972,14z?hl=en","Maplink2")</f>
        <v>Maplink2</v>
      </c>
      <c r="AV585" s="12" t="str">
        <f>HYPERLINK("http://www.bing.com/maps/?lvl=14&amp;sty=h&amp;cp=33.3166~44.2972&amp;sp=point.33.3166_44.2972","Maplink3")</f>
        <v>Maplink3</v>
      </c>
    </row>
    <row r="586" spans="1:48" ht="15" customHeight="1" x14ac:dyDescent="0.25">
      <c r="A586" s="19">
        <v>25206</v>
      </c>
      <c r="B586" s="20" t="s">
        <v>11</v>
      </c>
      <c r="C586" s="20" t="s">
        <v>1095</v>
      </c>
      <c r="D586" s="20" t="s">
        <v>1177</v>
      </c>
      <c r="E586" s="20" t="s">
        <v>1178</v>
      </c>
      <c r="F586" s="20">
        <v>33.307083878299999</v>
      </c>
      <c r="G586" s="20">
        <v>44.290116961899997</v>
      </c>
      <c r="H586" s="22">
        <v>168</v>
      </c>
      <c r="I586" s="22">
        <v>1008</v>
      </c>
      <c r="J586" s="21">
        <v>160</v>
      </c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>
        <v>8</v>
      </c>
      <c r="W586" s="21"/>
      <c r="X586" s="21"/>
      <c r="Y586" s="21"/>
      <c r="Z586" s="21"/>
      <c r="AA586" s="21"/>
      <c r="AB586" s="21"/>
      <c r="AC586" s="21">
        <v>80</v>
      </c>
      <c r="AD586" s="21"/>
      <c r="AE586" s="21"/>
      <c r="AF586" s="21"/>
      <c r="AG586" s="21"/>
      <c r="AH586" s="21">
        <v>88</v>
      </c>
      <c r="AI586" s="21"/>
      <c r="AJ586" s="21"/>
      <c r="AK586" s="21"/>
      <c r="AL586" s="21"/>
      <c r="AM586" s="21">
        <v>10</v>
      </c>
      <c r="AN586" s="21"/>
      <c r="AO586" s="21">
        <v>65</v>
      </c>
      <c r="AP586" s="21">
        <v>85</v>
      </c>
      <c r="AQ586" s="21">
        <v>8</v>
      </c>
      <c r="AR586" s="21"/>
      <c r="AS586" s="21"/>
      <c r="AT586" s="12" t="str">
        <f>HYPERLINK("http://www.openstreetmap.org/?mlat=33.3071&amp;mlon=44.2901&amp;zoom=12#map=12/33.3071/44.2901","Maplink1")</f>
        <v>Maplink1</v>
      </c>
      <c r="AU586" s="12" t="str">
        <f>HYPERLINK("https://www.google.iq/maps/search/+33.3071,44.2901/@33.3071,44.2901,14z?hl=en","Maplink2")</f>
        <v>Maplink2</v>
      </c>
      <c r="AV586" s="12" t="str">
        <f>HYPERLINK("http://www.bing.com/maps/?lvl=14&amp;sty=h&amp;cp=33.3071~44.2901&amp;sp=point.33.3071_44.2901","Maplink3")</f>
        <v>Maplink3</v>
      </c>
    </row>
    <row r="587" spans="1:48" ht="15" customHeight="1" x14ac:dyDescent="0.25">
      <c r="A587" s="19">
        <v>27185</v>
      </c>
      <c r="B587" s="20" t="s">
        <v>11</v>
      </c>
      <c r="C587" s="20" t="s">
        <v>1095</v>
      </c>
      <c r="D587" s="20" t="s">
        <v>1179</v>
      </c>
      <c r="E587" s="20" t="s">
        <v>1180</v>
      </c>
      <c r="F587" s="20">
        <v>33.216705189999999</v>
      </c>
      <c r="G587" s="20">
        <v>44.33281195</v>
      </c>
      <c r="H587" s="22">
        <v>15</v>
      </c>
      <c r="I587" s="22">
        <v>90</v>
      </c>
      <c r="J587" s="21">
        <v>7</v>
      </c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>
        <v>5</v>
      </c>
      <c r="W587" s="21"/>
      <c r="X587" s="21">
        <v>3</v>
      </c>
      <c r="Y587" s="21"/>
      <c r="Z587" s="21"/>
      <c r="AA587" s="21"/>
      <c r="AB587" s="21"/>
      <c r="AC587" s="21">
        <v>5</v>
      </c>
      <c r="AD587" s="21"/>
      <c r="AE587" s="21"/>
      <c r="AF587" s="21"/>
      <c r="AG587" s="21"/>
      <c r="AH587" s="21">
        <v>10</v>
      </c>
      <c r="AI587" s="21"/>
      <c r="AJ587" s="21"/>
      <c r="AK587" s="21"/>
      <c r="AL587" s="21"/>
      <c r="AM587" s="21">
        <v>5</v>
      </c>
      <c r="AN587" s="21"/>
      <c r="AO587" s="21">
        <v>3</v>
      </c>
      <c r="AP587" s="21">
        <v>7</v>
      </c>
      <c r="AQ587" s="21"/>
      <c r="AR587" s="21"/>
      <c r="AS587" s="21"/>
      <c r="AT587" s="12" t="str">
        <f>HYPERLINK("http://www.openstreetmap.org/?mlat=33.2167&amp;mlon=44.3328&amp;zoom=12#map=12/33.2167/44.3328","Maplink1")</f>
        <v>Maplink1</v>
      </c>
      <c r="AU587" s="12" t="str">
        <f>HYPERLINK("https://www.google.iq/maps/search/+33.2167,44.3328/@33.2167,44.3328,14z?hl=en","Maplink2")</f>
        <v>Maplink2</v>
      </c>
      <c r="AV587" s="12" t="str">
        <f>HYPERLINK("http://www.bing.com/maps/?lvl=14&amp;sty=h&amp;cp=33.2167~44.3328&amp;sp=point.33.2167_44.3328","Maplink3")</f>
        <v>Maplink3</v>
      </c>
    </row>
    <row r="588" spans="1:48" ht="15" customHeight="1" x14ac:dyDescent="0.25">
      <c r="A588" s="19">
        <v>23574</v>
      </c>
      <c r="B588" s="20" t="s">
        <v>11</v>
      </c>
      <c r="C588" s="20" t="s">
        <v>1095</v>
      </c>
      <c r="D588" s="20" t="s">
        <v>1181</v>
      </c>
      <c r="E588" s="20" t="s">
        <v>1182</v>
      </c>
      <c r="F588" s="20">
        <v>33.223936760000001</v>
      </c>
      <c r="G588" s="20">
        <v>44.343480470000003</v>
      </c>
      <c r="H588" s="22">
        <v>10</v>
      </c>
      <c r="I588" s="22">
        <v>60</v>
      </c>
      <c r="J588" s="21">
        <v>5</v>
      </c>
      <c r="K588" s="21"/>
      <c r="L588" s="21"/>
      <c r="M588" s="21"/>
      <c r="N588" s="21"/>
      <c r="O588" s="21">
        <v>1</v>
      </c>
      <c r="P588" s="21"/>
      <c r="Q588" s="21"/>
      <c r="R588" s="21"/>
      <c r="S588" s="21"/>
      <c r="T588" s="21"/>
      <c r="U588" s="21"/>
      <c r="V588" s="21">
        <v>4</v>
      </c>
      <c r="W588" s="21"/>
      <c r="X588" s="21"/>
      <c r="Y588" s="21"/>
      <c r="Z588" s="21"/>
      <c r="AA588" s="21"/>
      <c r="AB588" s="21"/>
      <c r="AC588" s="21">
        <v>3</v>
      </c>
      <c r="AD588" s="21"/>
      <c r="AE588" s="21"/>
      <c r="AF588" s="21"/>
      <c r="AG588" s="21"/>
      <c r="AH588" s="21">
        <v>7</v>
      </c>
      <c r="AI588" s="21"/>
      <c r="AJ588" s="21"/>
      <c r="AK588" s="21"/>
      <c r="AL588" s="21"/>
      <c r="AM588" s="21">
        <v>1</v>
      </c>
      <c r="AN588" s="21">
        <v>5</v>
      </c>
      <c r="AO588" s="21"/>
      <c r="AP588" s="21"/>
      <c r="AQ588" s="21"/>
      <c r="AR588" s="21">
        <v>4</v>
      </c>
      <c r="AS588" s="21"/>
      <c r="AT588" s="12" t="str">
        <f>HYPERLINK("http://www.openstreetmap.org/?mlat=33.2239&amp;mlon=44.3435&amp;zoom=12#map=12/33.2239/44.3435","Maplink1")</f>
        <v>Maplink1</v>
      </c>
      <c r="AU588" s="12" t="str">
        <f>HYPERLINK("https://www.google.iq/maps/search/+33.2239,44.3435/@33.2239,44.3435,14z?hl=en","Maplink2")</f>
        <v>Maplink2</v>
      </c>
      <c r="AV588" s="12" t="str">
        <f>HYPERLINK("http://www.bing.com/maps/?lvl=14&amp;sty=h&amp;cp=33.2239~44.3435&amp;sp=point.33.2239_44.3435","Maplink3")</f>
        <v>Maplink3</v>
      </c>
    </row>
    <row r="589" spans="1:48" ht="15" customHeight="1" x14ac:dyDescent="0.25">
      <c r="A589" s="19">
        <v>24712</v>
      </c>
      <c r="B589" s="20" t="s">
        <v>11</v>
      </c>
      <c r="C589" s="20" t="s">
        <v>1095</v>
      </c>
      <c r="D589" s="20" t="s">
        <v>1183</v>
      </c>
      <c r="E589" s="20" t="s">
        <v>1184</v>
      </c>
      <c r="F589" s="20">
        <v>33.233900820000002</v>
      </c>
      <c r="G589" s="20">
        <v>44.403658890000003</v>
      </c>
      <c r="H589" s="22">
        <v>13</v>
      </c>
      <c r="I589" s="22">
        <v>78</v>
      </c>
      <c r="J589" s="21">
        <v>5</v>
      </c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>
        <v>8</v>
      </c>
      <c r="W589" s="21"/>
      <c r="X589" s="21"/>
      <c r="Y589" s="21"/>
      <c r="Z589" s="21"/>
      <c r="AA589" s="21"/>
      <c r="AB589" s="21"/>
      <c r="AC589" s="21">
        <v>5</v>
      </c>
      <c r="AD589" s="21"/>
      <c r="AE589" s="21"/>
      <c r="AF589" s="21"/>
      <c r="AG589" s="21"/>
      <c r="AH589" s="21">
        <v>8</v>
      </c>
      <c r="AI589" s="21"/>
      <c r="AJ589" s="21"/>
      <c r="AK589" s="21"/>
      <c r="AL589" s="21"/>
      <c r="AM589" s="21">
        <v>8</v>
      </c>
      <c r="AN589" s="21"/>
      <c r="AO589" s="21"/>
      <c r="AP589" s="21">
        <v>5</v>
      </c>
      <c r="AQ589" s="21"/>
      <c r="AR589" s="21"/>
      <c r="AS589" s="21"/>
      <c r="AT589" s="12" t="str">
        <f>HYPERLINK("http://www.openstreetmap.org/?mlat=33.2339&amp;mlon=44.4037&amp;zoom=12#map=12/33.2339/44.4037","Maplink1")</f>
        <v>Maplink1</v>
      </c>
      <c r="AU589" s="12" t="str">
        <f>HYPERLINK("https://www.google.iq/maps/search/+33.2339,44.4037/@33.2339,44.4037,14z?hl=en","Maplink2")</f>
        <v>Maplink2</v>
      </c>
      <c r="AV589" s="12" t="str">
        <f>HYPERLINK("http://www.bing.com/maps/?lvl=14&amp;sty=h&amp;cp=33.2339~44.4037&amp;sp=point.33.2339_44.4037","Maplink3")</f>
        <v>Maplink3</v>
      </c>
    </row>
    <row r="590" spans="1:48" ht="15" customHeight="1" x14ac:dyDescent="0.25">
      <c r="A590" s="19">
        <v>23985</v>
      </c>
      <c r="B590" s="20" t="s">
        <v>11</v>
      </c>
      <c r="C590" s="20" t="s">
        <v>1095</v>
      </c>
      <c r="D590" s="20" t="s">
        <v>1185</v>
      </c>
      <c r="E590" s="20" t="s">
        <v>1186</v>
      </c>
      <c r="F590" s="20">
        <v>33.23575795</v>
      </c>
      <c r="G590" s="20">
        <v>44.39335432</v>
      </c>
      <c r="H590" s="22">
        <v>15</v>
      </c>
      <c r="I590" s="22">
        <v>90</v>
      </c>
      <c r="J590" s="21">
        <v>5</v>
      </c>
      <c r="K590" s="21">
        <v>4</v>
      </c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>
        <v>6</v>
      </c>
      <c r="W590" s="21"/>
      <c r="X590" s="21"/>
      <c r="Y590" s="21"/>
      <c r="Z590" s="21"/>
      <c r="AA590" s="21"/>
      <c r="AB590" s="21"/>
      <c r="AC590" s="21">
        <v>4</v>
      </c>
      <c r="AD590" s="21"/>
      <c r="AE590" s="21"/>
      <c r="AF590" s="21"/>
      <c r="AG590" s="21"/>
      <c r="AH590" s="21">
        <v>11</v>
      </c>
      <c r="AI590" s="21"/>
      <c r="AJ590" s="21"/>
      <c r="AK590" s="21"/>
      <c r="AL590" s="21">
        <v>8</v>
      </c>
      <c r="AM590" s="21">
        <v>4</v>
      </c>
      <c r="AN590" s="21"/>
      <c r="AO590" s="21">
        <v>3</v>
      </c>
      <c r="AP590" s="21"/>
      <c r="AQ590" s="21"/>
      <c r="AR590" s="21"/>
      <c r="AS590" s="21"/>
      <c r="AT590" s="12" t="str">
        <f>HYPERLINK("http://www.openstreetmap.org/?mlat=33.2358&amp;mlon=44.3934&amp;zoom=12#map=12/33.2358/44.3934","Maplink1")</f>
        <v>Maplink1</v>
      </c>
      <c r="AU590" s="12" t="str">
        <f>HYPERLINK("https://www.google.iq/maps/search/+33.2358,44.3934/@33.2358,44.3934,14z?hl=en","Maplink2")</f>
        <v>Maplink2</v>
      </c>
      <c r="AV590" s="12" t="str">
        <f>HYPERLINK("http://www.bing.com/maps/?lvl=14&amp;sty=h&amp;cp=33.2358~44.3934&amp;sp=point.33.2358_44.3934","Maplink3")</f>
        <v>Maplink3</v>
      </c>
    </row>
    <row r="591" spans="1:48" ht="15" customHeight="1" x14ac:dyDescent="0.25">
      <c r="A591" s="19">
        <v>27410</v>
      </c>
      <c r="B591" s="20" t="s">
        <v>11</v>
      </c>
      <c r="C591" s="20" t="s">
        <v>1095</v>
      </c>
      <c r="D591" s="20" t="s">
        <v>1187</v>
      </c>
      <c r="E591" s="20" t="s">
        <v>1188</v>
      </c>
      <c r="F591" s="20">
        <v>33.235812279999998</v>
      </c>
      <c r="G591" s="20">
        <v>44.397183409999997</v>
      </c>
      <c r="H591" s="22">
        <v>8</v>
      </c>
      <c r="I591" s="22">
        <v>48</v>
      </c>
      <c r="J591" s="21">
        <v>6</v>
      </c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>
        <v>2</v>
      </c>
      <c r="W591" s="21"/>
      <c r="X591" s="21"/>
      <c r="Y591" s="21"/>
      <c r="Z591" s="21"/>
      <c r="AA591" s="21"/>
      <c r="AB591" s="21"/>
      <c r="AC591" s="21">
        <v>2</v>
      </c>
      <c r="AD591" s="21"/>
      <c r="AE591" s="21"/>
      <c r="AF591" s="21"/>
      <c r="AG591" s="21"/>
      <c r="AH591" s="21">
        <v>6</v>
      </c>
      <c r="AI591" s="21"/>
      <c r="AJ591" s="21"/>
      <c r="AK591" s="21"/>
      <c r="AL591" s="21"/>
      <c r="AM591" s="21">
        <v>6</v>
      </c>
      <c r="AN591" s="21"/>
      <c r="AO591" s="21"/>
      <c r="AP591" s="21">
        <v>2</v>
      </c>
      <c r="AQ591" s="21"/>
      <c r="AR591" s="21"/>
      <c r="AS591" s="21"/>
      <c r="AT591" s="12" t="str">
        <f>HYPERLINK("http://www.openstreetmap.org/?mlat=33.2358&amp;mlon=44.3972&amp;zoom=12#map=12/33.2358/44.3972","Maplink1")</f>
        <v>Maplink1</v>
      </c>
      <c r="AU591" s="12" t="str">
        <f>HYPERLINK("https://www.google.iq/maps/search/+33.2358,44.3972/@33.2358,44.3972,14z?hl=en","Maplink2")</f>
        <v>Maplink2</v>
      </c>
      <c r="AV591" s="12" t="str">
        <f>HYPERLINK("http://www.bing.com/maps/?lvl=14&amp;sty=h&amp;cp=33.2358~44.3972&amp;sp=point.33.2358_44.3972","Maplink3")</f>
        <v>Maplink3</v>
      </c>
    </row>
    <row r="592" spans="1:48" ht="15" customHeight="1" x14ac:dyDescent="0.25">
      <c r="A592" s="19">
        <v>7732</v>
      </c>
      <c r="B592" s="20" t="s">
        <v>11</v>
      </c>
      <c r="C592" s="20" t="s">
        <v>1095</v>
      </c>
      <c r="D592" s="20" t="s">
        <v>1189</v>
      </c>
      <c r="E592" s="20" t="s">
        <v>1190</v>
      </c>
      <c r="F592" s="20">
        <v>33.235104999999997</v>
      </c>
      <c r="G592" s="20">
        <v>44.316434899999997</v>
      </c>
      <c r="H592" s="22">
        <v>10</v>
      </c>
      <c r="I592" s="22">
        <v>60</v>
      </c>
      <c r="J592" s="21">
        <v>5</v>
      </c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>
        <v>5</v>
      </c>
      <c r="W592" s="21"/>
      <c r="X592" s="21"/>
      <c r="Y592" s="21"/>
      <c r="Z592" s="21"/>
      <c r="AA592" s="21"/>
      <c r="AB592" s="21"/>
      <c r="AC592" s="21">
        <v>2</v>
      </c>
      <c r="AD592" s="21"/>
      <c r="AE592" s="21"/>
      <c r="AF592" s="21"/>
      <c r="AG592" s="21"/>
      <c r="AH592" s="21">
        <v>8</v>
      </c>
      <c r="AI592" s="21"/>
      <c r="AJ592" s="21"/>
      <c r="AK592" s="21"/>
      <c r="AL592" s="21"/>
      <c r="AM592" s="21">
        <v>5</v>
      </c>
      <c r="AN592" s="21"/>
      <c r="AO592" s="21">
        <v>5</v>
      </c>
      <c r="AP592" s="21"/>
      <c r="AQ592" s="21"/>
      <c r="AR592" s="21"/>
      <c r="AS592" s="21"/>
      <c r="AT592" s="12" t="str">
        <f>HYPERLINK("http://www.openstreetmap.org/?mlat=33.2351&amp;mlon=44.3164&amp;zoom=12#map=12/33.2351/44.3164","Maplink1")</f>
        <v>Maplink1</v>
      </c>
      <c r="AU592" s="12" t="str">
        <f>HYPERLINK("https://www.google.iq/maps/search/+33.2351,44.3164/@33.2351,44.3164,14z?hl=en","Maplink2")</f>
        <v>Maplink2</v>
      </c>
      <c r="AV592" s="12" t="str">
        <f>HYPERLINK("http://www.bing.com/maps/?lvl=14&amp;sty=h&amp;cp=33.2351~44.3164&amp;sp=point.33.2351_44.3164","Maplink3")</f>
        <v>Maplink3</v>
      </c>
    </row>
    <row r="593" spans="1:48" ht="15" customHeight="1" x14ac:dyDescent="0.25">
      <c r="A593" s="19">
        <v>25933</v>
      </c>
      <c r="B593" s="20" t="s">
        <v>11</v>
      </c>
      <c r="C593" s="20" t="s">
        <v>1095</v>
      </c>
      <c r="D593" s="20" t="s">
        <v>1191</v>
      </c>
      <c r="E593" s="20" t="s">
        <v>1192</v>
      </c>
      <c r="F593" s="20">
        <v>33.31950612</v>
      </c>
      <c r="G593" s="20">
        <v>44.36168765</v>
      </c>
      <c r="H593" s="22">
        <v>13</v>
      </c>
      <c r="I593" s="22">
        <v>78</v>
      </c>
      <c r="J593" s="21">
        <v>5</v>
      </c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>
        <v>5</v>
      </c>
      <c r="W593" s="21"/>
      <c r="X593" s="21">
        <v>3</v>
      </c>
      <c r="Y593" s="21"/>
      <c r="Z593" s="21"/>
      <c r="AA593" s="21"/>
      <c r="AB593" s="21"/>
      <c r="AC593" s="21">
        <v>8</v>
      </c>
      <c r="AD593" s="21"/>
      <c r="AE593" s="21"/>
      <c r="AF593" s="21"/>
      <c r="AG593" s="21"/>
      <c r="AH593" s="21">
        <v>5</v>
      </c>
      <c r="AI593" s="21"/>
      <c r="AJ593" s="21"/>
      <c r="AK593" s="21"/>
      <c r="AL593" s="21"/>
      <c r="AM593" s="21"/>
      <c r="AN593" s="21"/>
      <c r="AO593" s="21">
        <v>6</v>
      </c>
      <c r="AP593" s="21">
        <v>5</v>
      </c>
      <c r="AQ593" s="21"/>
      <c r="AR593" s="21">
        <v>2</v>
      </c>
      <c r="AS593" s="21"/>
      <c r="AT593" s="12" t="str">
        <f>HYPERLINK("http://www.openstreetmap.org/?mlat=33.3195&amp;mlon=44.3617&amp;zoom=12#map=12/33.3195/44.3617","Maplink1")</f>
        <v>Maplink1</v>
      </c>
      <c r="AU593" s="12" t="str">
        <f>HYPERLINK("https://www.google.iq/maps/search/+33.3195,44.3617/@33.3195,44.3617,14z?hl=en","Maplink2")</f>
        <v>Maplink2</v>
      </c>
      <c r="AV593" s="12" t="str">
        <f>HYPERLINK("http://www.bing.com/maps/?lvl=14&amp;sty=h&amp;cp=33.3195~44.3617&amp;sp=point.33.3195_44.3617","Maplink3")</f>
        <v>Maplink3</v>
      </c>
    </row>
    <row r="594" spans="1:48" ht="15" customHeight="1" x14ac:dyDescent="0.25">
      <c r="A594" s="19">
        <v>25932</v>
      </c>
      <c r="B594" s="20" t="s">
        <v>11</v>
      </c>
      <c r="C594" s="20" t="s">
        <v>1095</v>
      </c>
      <c r="D594" s="20" t="s">
        <v>1193</v>
      </c>
      <c r="E594" s="20" t="s">
        <v>1194</v>
      </c>
      <c r="F594" s="20">
        <v>33.323852940000002</v>
      </c>
      <c r="G594" s="20">
        <v>44.339078669999999</v>
      </c>
      <c r="H594" s="22">
        <v>10</v>
      </c>
      <c r="I594" s="22">
        <v>60</v>
      </c>
      <c r="J594" s="21">
        <v>3</v>
      </c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>
        <v>7</v>
      </c>
      <c r="W594" s="21"/>
      <c r="X594" s="21"/>
      <c r="Y594" s="21"/>
      <c r="Z594" s="21"/>
      <c r="AA594" s="21"/>
      <c r="AB594" s="21"/>
      <c r="AC594" s="21">
        <v>3</v>
      </c>
      <c r="AD594" s="21"/>
      <c r="AE594" s="21"/>
      <c r="AF594" s="21"/>
      <c r="AG594" s="21"/>
      <c r="AH594" s="21">
        <v>7</v>
      </c>
      <c r="AI594" s="21"/>
      <c r="AJ594" s="21"/>
      <c r="AK594" s="21"/>
      <c r="AL594" s="21"/>
      <c r="AM594" s="21"/>
      <c r="AN594" s="21">
        <v>4</v>
      </c>
      <c r="AO594" s="21">
        <v>3</v>
      </c>
      <c r="AP594" s="21">
        <v>3</v>
      </c>
      <c r="AQ594" s="21"/>
      <c r="AR594" s="21"/>
      <c r="AS594" s="21"/>
      <c r="AT594" s="12" t="str">
        <f>HYPERLINK("http://www.openstreetmap.org/?mlat=33.3239&amp;mlon=44.3391&amp;zoom=12#map=12/33.3239/44.3391","Maplink1")</f>
        <v>Maplink1</v>
      </c>
      <c r="AU594" s="12" t="str">
        <f>HYPERLINK("https://www.google.iq/maps/search/+33.3239,44.3391/@33.3239,44.3391,14z?hl=en","Maplink2")</f>
        <v>Maplink2</v>
      </c>
      <c r="AV594" s="12" t="str">
        <f>HYPERLINK("http://www.bing.com/maps/?lvl=14&amp;sty=h&amp;cp=33.3239~44.3391&amp;sp=point.33.3239_44.3391","Maplink3")</f>
        <v>Maplink3</v>
      </c>
    </row>
    <row r="595" spans="1:48" ht="15" customHeight="1" x14ac:dyDescent="0.25">
      <c r="A595" s="19">
        <v>25934</v>
      </c>
      <c r="B595" s="20" t="s">
        <v>11</v>
      </c>
      <c r="C595" s="20" t="s">
        <v>1095</v>
      </c>
      <c r="D595" s="20" t="s">
        <v>1195</v>
      </c>
      <c r="E595" s="20" t="s">
        <v>1196</v>
      </c>
      <c r="F595" s="20">
        <v>33.319581560000003</v>
      </c>
      <c r="G595" s="20">
        <v>44.338363579999999</v>
      </c>
      <c r="H595" s="22">
        <v>9</v>
      </c>
      <c r="I595" s="22">
        <v>54</v>
      </c>
      <c r="J595" s="21">
        <v>1</v>
      </c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>
        <v>8</v>
      </c>
      <c r="W595" s="21"/>
      <c r="X595" s="21"/>
      <c r="Y595" s="21"/>
      <c r="Z595" s="21"/>
      <c r="AA595" s="21"/>
      <c r="AB595" s="21"/>
      <c r="AC595" s="21">
        <v>5</v>
      </c>
      <c r="AD595" s="21"/>
      <c r="AE595" s="21"/>
      <c r="AF595" s="21"/>
      <c r="AG595" s="21"/>
      <c r="AH595" s="21">
        <v>4</v>
      </c>
      <c r="AI595" s="21"/>
      <c r="AJ595" s="21"/>
      <c r="AK595" s="21"/>
      <c r="AL595" s="21"/>
      <c r="AM595" s="21"/>
      <c r="AN595" s="21">
        <v>5</v>
      </c>
      <c r="AO595" s="21">
        <v>1</v>
      </c>
      <c r="AP595" s="21"/>
      <c r="AQ595" s="21"/>
      <c r="AR595" s="21">
        <v>3</v>
      </c>
      <c r="AS595" s="21"/>
      <c r="AT595" s="12" t="str">
        <f>HYPERLINK("http://www.openstreetmap.org/?mlat=33.3196&amp;mlon=44.3384&amp;zoom=12#map=12/33.3196/44.3384","Maplink1")</f>
        <v>Maplink1</v>
      </c>
      <c r="AU595" s="12" t="str">
        <f>HYPERLINK("https://www.google.iq/maps/search/+33.3196,44.3384/@33.3196,44.3384,14z?hl=en","Maplink2")</f>
        <v>Maplink2</v>
      </c>
      <c r="AV595" s="12" t="str">
        <f>HYPERLINK("http://www.bing.com/maps/?lvl=14&amp;sty=h&amp;cp=33.3196~44.3384&amp;sp=point.33.3196_44.3384","Maplink3")</f>
        <v>Maplink3</v>
      </c>
    </row>
    <row r="596" spans="1:48" ht="15" customHeight="1" x14ac:dyDescent="0.25">
      <c r="A596" s="19">
        <v>25935</v>
      </c>
      <c r="B596" s="20" t="s">
        <v>11</v>
      </c>
      <c r="C596" s="20" t="s">
        <v>1095</v>
      </c>
      <c r="D596" s="20" t="s">
        <v>1197</v>
      </c>
      <c r="E596" s="20" t="s">
        <v>1198</v>
      </c>
      <c r="F596" s="20">
        <v>33.325590798199997</v>
      </c>
      <c r="G596" s="20">
        <v>44.345734671000002</v>
      </c>
      <c r="H596" s="22">
        <v>8</v>
      </c>
      <c r="I596" s="22">
        <v>48</v>
      </c>
      <c r="J596" s="21">
        <v>5</v>
      </c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>
        <v>3</v>
      </c>
      <c r="W596" s="21"/>
      <c r="X596" s="21"/>
      <c r="Y596" s="21"/>
      <c r="Z596" s="21"/>
      <c r="AA596" s="21"/>
      <c r="AB596" s="21"/>
      <c r="AC596" s="21">
        <v>5</v>
      </c>
      <c r="AD596" s="21"/>
      <c r="AE596" s="21"/>
      <c r="AF596" s="21"/>
      <c r="AG596" s="21"/>
      <c r="AH596" s="21">
        <v>3</v>
      </c>
      <c r="AI596" s="21"/>
      <c r="AJ596" s="21"/>
      <c r="AK596" s="21"/>
      <c r="AL596" s="21"/>
      <c r="AM596" s="21"/>
      <c r="AN596" s="21">
        <v>4</v>
      </c>
      <c r="AO596" s="21"/>
      <c r="AP596" s="21"/>
      <c r="AQ596" s="21"/>
      <c r="AR596" s="21">
        <v>4</v>
      </c>
      <c r="AS596" s="21"/>
      <c r="AT596" s="12" t="str">
        <f>HYPERLINK("http://www.openstreetmap.org/?mlat=33.3256&amp;mlon=44.3457&amp;zoom=12#map=12/33.3256/44.3457","Maplink1")</f>
        <v>Maplink1</v>
      </c>
      <c r="AU596" s="12" t="str">
        <f>HYPERLINK("https://www.google.iq/maps/search/+33.3256,44.3457/@33.3256,44.3457,14z?hl=en","Maplink2")</f>
        <v>Maplink2</v>
      </c>
      <c r="AV596" s="12" t="str">
        <f>HYPERLINK("http://www.bing.com/maps/?lvl=14&amp;sty=h&amp;cp=33.3256~44.3457&amp;sp=point.33.3256_44.3457","Maplink3")</f>
        <v>Maplink3</v>
      </c>
    </row>
    <row r="597" spans="1:48" ht="15" customHeight="1" x14ac:dyDescent="0.25">
      <c r="A597" s="19">
        <v>25953</v>
      </c>
      <c r="B597" s="20" t="s">
        <v>11</v>
      </c>
      <c r="C597" s="20" t="s">
        <v>1095</v>
      </c>
      <c r="D597" s="20" t="s">
        <v>1199</v>
      </c>
      <c r="E597" s="20" t="s">
        <v>1200</v>
      </c>
      <c r="F597" s="20">
        <v>33.291322229999999</v>
      </c>
      <c r="G597" s="20">
        <v>44.35201309</v>
      </c>
      <c r="H597" s="22">
        <v>20</v>
      </c>
      <c r="I597" s="22">
        <v>120</v>
      </c>
      <c r="J597" s="21">
        <v>17</v>
      </c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>
        <v>3</v>
      </c>
      <c r="W597" s="21"/>
      <c r="X597" s="21"/>
      <c r="Y597" s="21"/>
      <c r="Z597" s="21"/>
      <c r="AA597" s="21"/>
      <c r="AB597" s="21"/>
      <c r="AC597" s="21">
        <v>10</v>
      </c>
      <c r="AD597" s="21"/>
      <c r="AE597" s="21"/>
      <c r="AF597" s="21"/>
      <c r="AG597" s="21"/>
      <c r="AH597" s="21">
        <v>10</v>
      </c>
      <c r="AI597" s="21"/>
      <c r="AJ597" s="21"/>
      <c r="AK597" s="21"/>
      <c r="AL597" s="21"/>
      <c r="AM597" s="21"/>
      <c r="AN597" s="21">
        <v>10</v>
      </c>
      <c r="AO597" s="21"/>
      <c r="AP597" s="21">
        <v>10</v>
      </c>
      <c r="AQ597" s="21"/>
      <c r="AR597" s="21"/>
      <c r="AS597" s="21"/>
      <c r="AT597" s="12" t="str">
        <f>HYPERLINK("http://www.openstreetmap.org/?mlat=33.2913&amp;mlon=44.352&amp;zoom=12#map=12/33.2913/44.352","Maplink1")</f>
        <v>Maplink1</v>
      </c>
      <c r="AU597" s="12" t="str">
        <f>HYPERLINK("https://www.google.iq/maps/search/+33.2913,44.352/@33.2913,44.352,14z?hl=en","Maplink2")</f>
        <v>Maplink2</v>
      </c>
      <c r="AV597" s="12" t="str">
        <f>HYPERLINK("http://www.bing.com/maps/?lvl=14&amp;sty=h&amp;cp=33.2913~44.352&amp;sp=point.33.2913_44.352","Maplink3")</f>
        <v>Maplink3</v>
      </c>
    </row>
    <row r="598" spans="1:48" ht="15" customHeight="1" x14ac:dyDescent="0.25">
      <c r="A598" s="19">
        <v>24064</v>
      </c>
      <c r="B598" s="20" t="s">
        <v>11</v>
      </c>
      <c r="C598" s="20" t="s">
        <v>1095</v>
      </c>
      <c r="D598" s="20" t="s">
        <v>1201</v>
      </c>
      <c r="E598" s="20" t="s">
        <v>1202</v>
      </c>
      <c r="F598" s="20">
        <v>33.284664480000004</v>
      </c>
      <c r="G598" s="20">
        <v>44.35514834</v>
      </c>
      <c r="H598" s="22">
        <v>34</v>
      </c>
      <c r="I598" s="22">
        <v>204</v>
      </c>
      <c r="J598" s="21">
        <v>19</v>
      </c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>
        <v>10</v>
      </c>
      <c r="W598" s="21"/>
      <c r="X598" s="21">
        <v>5</v>
      </c>
      <c r="Y598" s="21"/>
      <c r="Z598" s="21"/>
      <c r="AA598" s="21"/>
      <c r="AB598" s="21"/>
      <c r="AC598" s="21">
        <v>13</v>
      </c>
      <c r="AD598" s="21"/>
      <c r="AE598" s="21"/>
      <c r="AF598" s="21"/>
      <c r="AG598" s="21"/>
      <c r="AH598" s="21">
        <v>21</v>
      </c>
      <c r="AI598" s="21"/>
      <c r="AJ598" s="21"/>
      <c r="AK598" s="21"/>
      <c r="AL598" s="21">
        <v>21</v>
      </c>
      <c r="AM598" s="21"/>
      <c r="AN598" s="21">
        <v>7</v>
      </c>
      <c r="AO598" s="21"/>
      <c r="AP598" s="21">
        <v>6</v>
      </c>
      <c r="AQ598" s="21"/>
      <c r="AR598" s="21"/>
      <c r="AS598" s="21"/>
      <c r="AT598" s="12" t="str">
        <f>HYPERLINK("http://www.openstreetmap.org/?mlat=33.2847&amp;mlon=44.3551&amp;zoom=12#map=12/33.2847/44.3551","Maplink1")</f>
        <v>Maplink1</v>
      </c>
      <c r="AU598" s="12" t="str">
        <f>HYPERLINK("https://www.google.iq/maps/search/+33.2847,44.3551/@33.2847,44.3551,14z?hl=en","Maplink2")</f>
        <v>Maplink2</v>
      </c>
      <c r="AV598" s="12" t="str">
        <f>HYPERLINK("http://www.bing.com/maps/?lvl=14&amp;sty=h&amp;cp=33.2847~44.3551&amp;sp=point.33.2847_44.3551","Maplink3")</f>
        <v>Maplink3</v>
      </c>
    </row>
    <row r="599" spans="1:48" ht="15" customHeight="1" x14ac:dyDescent="0.25">
      <c r="A599" s="19">
        <v>25952</v>
      </c>
      <c r="B599" s="20" t="s">
        <v>11</v>
      </c>
      <c r="C599" s="20" t="s">
        <v>1095</v>
      </c>
      <c r="D599" s="20" t="s">
        <v>1203</v>
      </c>
      <c r="E599" s="20" t="s">
        <v>1204</v>
      </c>
      <c r="F599" s="20">
        <v>33.291034071600002</v>
      </c>
      <c r="G599" s="20">
        <v>44.353836338100002</v>
      </c>
      <c r="H599" s="22">
        <v>18</v>
      </c>
      <c r="I599" s="22">
        <v>108</v>
      </c>
      <c r="J599" s="21">
        <v>8</v>
      </c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>
        <v>7</v>
      </c>
      <c r="W599" s="21"/>
      <c r="X599" s="21">
        <v>3</v>
      </c>
      <c r="Y599" s="21"/>
      <c r="Z599" s="21"/>
      <c r="AA599" s="21"/>
      <c r="AB599" s="21"/>
      <c r="AC599" s="21">
        <v>9</v>
      </c>
      <c r="AD599" s="21"/>
      <c r="AE599" s="21"/>
      <c r="AF599" s="21"/>
      <c r="AG599" s="21"/>
      <c r="AH599" s="21">
        <v>9</v>
      </c>
      <c r="AI599" s="21"/>
      <c r="AJ599" s="21"/>
      <c r="AK599" s="21"/>
      <c r="AL599" s="21"/>
      <c r="AM599" s="21">
        <v>7</v>
      </c>
      <c r="AN599" s="21"/>
      <c r="AO599" s="21">
        <v>3</v>
      </c>
      <c r="AP599" s="21">
        <v>8</v>
      </c>
      <c r="AQ599" s="21"/>
      <c r="AR599" s="21"/>
      <c r="AS599" s="21"/>
      <c r="AT599" s="12" t="str">
        <f>HYPERLINK("http://www.openstreetmap.org/?mlat=33.291&amp;mlon=44.3538&amp;zoom=12#map=12/33.291/44.3538","Maplink1")</f>
        <v>Maplink1</v>
      </c>
      <c r="AU599" s="12" t="str">
        <f>HYPERLINK("https://www.google.iq/maps/search/+33.291,44.3538/@33.291,44.3538,14z?hl=en","Maplink2")</f>
        <v>Maplink2</v>
      </c>
      <c r="AV599" s="12" t="str">
        <f>HYPERLINK("http://www.bing.com/maps/?lvl=14&amp;sty=h&amp;cp=33.291~44.3538&amp;sp=point.33.291_44.3538","Maplink3")</f>
        <v>Maplink3</v>
      </c>
    </row>
    <row r="600" spans="1:48" ht="15" customHeight="1" x14ac:dyDescent="0.25">
      <c r="A600" s="19">
        <v>7587</v>
      </c>
      <c r="B600" s="20" t="s">
        <v>11</v>
      </c>
      <c r="C600" s="20" t="s">
        <v>1095</v>
      </c>
      <c r="D600" s="20" t="s">
        <v>1205</v>
      </c>
      <c r="E600" s="20" t="s">
        <v>1206</v>
      </c>
      <c r="F600" s="20">
        <v>33.142770820000003</v>
      </c>
      <c r="G600" s="20">
        <v>44.306226909999999</v>
      </c>
      <c r="H600" s="22">
        <v>131</v>
      </c>
      <c r="I600" s="22">
        <v>786</v>
      </c>
      <c r="J600" s="21">
        <v>95</v>
      </c>
      <c r="K600" s="21"/>
      <c r="L600" s="21">
        <v>8</v>
      </c>
      <c r="M600" s="21"/>
      <c r="N600" s="21"/>
      <c r="O600" s="21"/>
      <c r="P600" s="21"/>
      <c r="Q600" s="21"/>
      <c r="R600" s="21"/>
      <c r="S600" s="21"/>
      <c r="T600" s="21"/>
      <c r="U600" s="21"/>
      <c r="V600" s="21">
        <v>28</v>
      </c>
      <c r="W600" s="21"/>
      <c r="X600" s="21"/>
      <c r="Y600" s="21"/>
      <c r="Z600" s="21"/>
      <c r="AA600" s="21"/>
      <c r="AB600" s="21"/>
      <c r="AC600" s="21">
        <v>59</v>
      </c>
      <c r="AD600" s="21"/>
      <c r="AE600" s="21"/>
      <c r="AF600" s="21"/>
      <c r="AG600" s="21"/>
      <c r="AH600" s="21">
        <v>72</v>
      </c>
      <c r="AI600" s="21"/>
      <c r="AJ600" s="21"/>
      <c r="AK600" s="21"/>
      <c r="AL600" s="21"/>
      <c r="AM600" s="21">
        <v>95</v>
      </c>
      <c r="AN600" s="21"/>
      <c r="AO600" s="21"/>
      <c r="AP600" s="21">
        <v>33</v>
      </c>
      <c r="AQ600" s="21"/>
      <c r="AR600" s="21">
        <v>3</v>
      </c>
      <c r="AS600" s="21"/>
      <c r="AT600" s="12" t="str">
        <f>HYPERLINK("http://www.openstreetmap.org/?mlat=33.1428&amp;mlon=44.3062&amp;zoom=12#map=12/33.1428/44.3062","Maplink1")</f>
        <v>Maplink1</v>
      </c>
      <c r="AU600" s="12" t="str">
        <f>HYPERLINK("https://www.google.iq/maps/search/+33.1428,44.3062/@33.1428,44.3062,14z?hl=en","Maplink2")</f>
        <v>Maplink2</v>
      </c>
      <c r="AV600" s="12" t="str">
        <f>HYPERLINK("http://www.bing.com/maps/?lvl=14&amp;sty=h&amp;cp=33.1428~44.3062&amp;sp=point.33.1428_44.3062","Maplink3")</f>
        <v>Maplink3</v>
      </c>
    </row>
    <row r="601" spans="1:48" ht="15" customHeight="1" x14ac:dyDescent="0.25">
      <c r="A601" s="19">
        <v>25951</v>
      </c>
      <c r="B601" s="20" t="s">
        <v>11</v>
      </c>
      <c r="C601" s="20" t="s">
        <v>1095</v>
      </c>
      <c r="D601" s="20" t="s">
        <v>1207</v>
      </c>
      <c r="E601" s="20" t="s">
        <v>1208</v>
      </c>
      <c r="F601" s="20">
        <v>33.229100340000002</v>
      </c>
      <c r="G601" s="20">
        <v>44.324886710000001</v>
      </c>
      <c r="H601" s="22">
        <v>25</v>
      </c>
      <c r="I601" s="22">
        <v>150</v>
      </c>
      <c r="J601" s="21">
        <v>5</v>
      </c>
      <c r="K601" s="21">
        <v>2</v>
      </c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>
        <v>16</v>
      </c>
      <c r="W601" s="21"/>
      <c r="X601" s="21">
        <v>2</v>
      </c>
      <c r="Y601" s="21"/>
      <c r="Z601" s="21"/>
      <c r="AA601" s="21"/>
      <c r="AB601" s="21"/>
      <c r="AC601" s="21">
        <v>11</v>
      </c>
      <c r="AD601" s="21"/>
      <c r="AE601" s="21"/>
      <c r="AF601" s="21"/>
      <c r="AG601" s="21"/>
      <c r="AH601" s="21">
        <v>14</v>
      </c>
      <c r="AI601" s="21"/>
      <c r="AJ601" s="21"/>
      <c r="AK601" s="21"/>
      <c r="AL601" s="21"/>
      <c r="AM601" s="21">
        <v>21</v>
      </c>
      <c r="AN601" s="21"/>
      <c r="AO601" s="21">
        <v>2</v>
      </c>
      <c r="AP601" s="21">
        <v>2</v>
      </c>
      <c r="AQ601" s="21"/>
      <c r="AR601" s="21"/>
      <c r="AS601" s="21"/>
      <c r="AT601" s="12" t="str">
        <f>HYPERLINK("http://www.openstreetmap.org/?mlat=33.2291&amp;mlon=44.3249&amp;zoom=12#map=12/33.2291/44.3249","Maplink1")</f>
        <v>Maplink1</v>
      </c>
      <c r="AU601" s="12" t="str">
        <f>HYPERLINK("https://www.google.iq/maps/search/+33.2291,44.3249/@33.2291,44.3249,14z?hl=en","Maplink2")</f>
        <v>Maplink2</v>
      </c>
      <c r="AV601" s="12" t="str">
        <f>HYPERLINK("http://www.bing.com/maps/?lvl=14&amp;sty=h&amp;cp=33.2291~44.3249&amp;sp=point.33.2291_44.3249","Maplink3")</f>
        <v>Maplink3</v>
      </c>
    </row>
    <row r="602" spans="1:48" ht="15" customHeight="1" x14ac:dyDescent="0.25">
      <c r="A602" s="19">
        <v>27189</v>
      </c>
      <c r="B602" s="20" t="s">
        <v>11</v>
      </c>
      <c r="C602" s="20" t="s">
        <v>1095</v>
      </c>
      <c r="D602" s="20" t="s">
        <v>1209</v>
      </c>
      <c r="E602" s="20" t="s">
        <v>1210</v>
      </c>
      <c r="F602" s="20">
        <v>33.256068069999998</v>
      </c>
      <c r="G602" s="20">
        <v>44.336859029999999</v>
      </c>
      <c r="H602" s="22">
        <v>12</v>
      </c>
      <c r="I602" s="22">
        <v>72</v>
      </c>
      <c r="J602" s="21">
        <v>6</v>
      </c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>
        <v>6</v>
      </c>
      <c r="W602" s="21"/>
      <c r="X602" s="21"/>
      <c r="Y602" s="21"/>
      <c r="Z602" s="21"/>
      <c r="AA602" s="21"/>
      <c r="AB602" s="21"/>
      <c r="AC602" s="21">
        <v>3</v>
      </c>
      <c r="AD602" s="21"/>
      <c r="AE602" s="21"/>
      <c r="AF602" s="21"/>
      <c r="AG602" s="21"/>
      <c r="AH602" s="21">
        <v>9</v>
      </c>
      <c r="AI602" s="21"/>
      <c r="AJ602" s="21"/>
      <c r="AK602" s="21"/>
      <c r="AL602" s="21"/>
      <c r="AM602" s="21">
        <v>12</v>
      </c>
      <c r="AN602" s="21"/>
      <c r="AO602" s="21"/>
      <c r="AP602" s="21"/>
      <c r="AQ602" s="21"/>
      <c r="AR602" s="21"/>
      <c r="AS602" s="21"/>
      <c r="AT602" s="12" t="str">
        <f>HYPERLINK("http://www.openstreetmap.org/?mlat=33.2561&amp;mlon=44.3369&amp;zoom=12#map=12/33.2561/44.3369","Maplink1")</f>
        <v>Maplink1</v>
      </c>
      <c r="AU602" s="12" t="str">
        <f>HYPERLINK("https://www.google.iq/maps/search/+33.2561,44.3369/@33.2561,44.3369,14z?hl=en","Maplink2")</f>
        <v>Maplink2</v>
      </c>
      <c r="AV602" s="12" t="str">
        <f>HYPERLINK("http://www.bing.com/maps/?lvl=14&amp;sty=h&amp;cp=33.2561~44.3369&amp;sp=point.33.2561_44.3369","Maplink3")</f>
        <v>Maplink3</v>
      </c>
    </row>
    <row r="603" spans="1:48" ht="15" customHeight="1" x14ac:dyDescent="0.25">
      <c r="A603" s="19">
        <v>24447</v>
      </c>
      <c r="B603" s="20" t="s">
        <v>11</v>
      </c>
      <c r="C603" s="20" t="s">
        <v>1095</v>
      </c>
      <c r="D603" s="20" t="s">
        <v>1211</v>
      </c>
      <c r="E603" s="20" t="s">
        <v>1212</v>
      </c>
      <c r="F603" s="20">
        <v>33.256071609999999</v>
      </c>
      <c r="G603" s="20">
        <v>44.333235500000001</v>
      </c>
      <c r="H603" s="22">
        <v>14</v>
      </c>
      <c r="I603" s="22">
        <v>84</v>
      </c>
      <c r="J603" s="21">
        <v>4</v>
      </c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>
        <v>10</v>
      </c>
      <c r="W603" s="21"/>
      <c r="X603" s="21"/>
      <c r="Y603" s="21"/>
      <c r="Z603" s="21"/>
      <c r="AA603" s="21"/>
      <c r="AB603" s="21"/>
      <c r="AC603" s="21">
        <v>6</v>
      </c>
      <c r="AD603" s="21"/>
      <c r="AE603" s="21"/>
      <c r="AF603" s="21"/>
      <c r="AG603" s="21"/>
      <c r="AH603" s="21">
        <v>8</v>
      </c>
      <c r="AI603" s="21"/>
      <c r="AJ603" s="21"/>
      <c r="AK603" s="21"/>
      <c r="AL603" s="21"/>
      <c r="AM603" s="21">
        <v>10</v>
      </c>
      <c r="AN603" s="21"/>
      <c r="AO603" s="21"/>
      <c r="AP603" s="21">
        <v>4</v>
      </c>
      <c r="AQ603" s="21"/>
      <c r="AR603" s="21"/>
      <c r="AS603" s="21"/>
      <c r="AT603" s="12" t="str">
        <f>HYPERLINK("http://www.openstreetmap.org/?mlat=33.2561&amp;mlon=44.3332&amp;zoom=12#map=12/33.2561/44.3332","Maplink1")</f>
        <v>Maplink1</v>
      </c>
      <c r="AU603" s="12" t="str">
        <f>HYPERLINK("https://www.google.iq/maps/search/+33.2561,44.3332/@33.2561,44.3332,14z?hl=en","Maplink2")</f>
        <v>Maplink2</v>
      </c>
      <c r="AV603" s="12" t="str">
        <f>HYPERLINK("http://www.bing.com/maps/?lvl=14&amp;sty=h&amp;cp=33.2561~44.3332&amp;sp=point.33.2561_44.3332","Maplink3")</f>
        <v>Maplink3</v>
      </c>
    </row>
    <row r="604" spans="1:48" ht="15" customHeight="1" x14ac:dyDescent="0.25">
      <c r="A604" s="19">
        <v>27190</v>
      </c>
      <c r="B604" s="20" t="s">
        <v>11</v>
      </c>
      <c r="C604" s="20" t="s">
        <v>1095</v>
      </c>
      <c r="D604" s="20" t="s">
        <v>1213</v>
      </c>
      <c r="E604" s="20" t="s">
        <v>1214</v>
      </c>
      <c r="F604" s="20">
        <v>33.241515249999999</v>
      </c>
      <c r="G604" s="20">
        <v>44.324469759999999</v>
      </c>
      <c r="H604" s="22">
        <v>10</v>
      </c>
      <c r="I604" s="22">
        <v>60</v>
      </c>
      <c r="J604" s="21">
        <v>4</v>
      </c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>
        <v>5</v>
      </c>
      <c r="W604" s="21"/>
      <c r="X604" s="21">
        <v>1</v>
      </c>
      <c r="Y604" s="21"/>
      <c r="Z604" s="21"/>
      <c r="AA604" s="21"/>
      <c r="AB604" s="21"/>
      <c r="AC604" s="21">
        <v>2</v>
      </c>
      <c r="AD604" s="21"/>
      <c r="AE604" s="21"/>
      <c r="AF604" s="21"/>
      <c r="AG604" s="21"/>
      <c r="AH604" s="21">
        <v>8</v>
      </c>
      <c r="AI604" s="21"/>
      <c r="AJ604" s="21"/>
      <c r="AK604" s="21"/>
      <c r="AL604" s="21"/>
      <c r="AM604" s="21">
        <v>4</v>
      </c>
      <c r="AN604" s="21"/>
      <c r="AO604" s="21">
        <v>1</v>
      </c>
      <c r="AP604" s="21">
        <v>5</v>
      </c>
      <c r="AQ604" s="21"/>
      <c r="AR604" s="21"/>
      <c r="AS604" s="21"/>
      <c r="AT604" s="12" t="str">
        <f>HYPERLINK("http://www.openstreetmap.org/?mlat=33.2415&amp;mlon=44.3245&amp;zoom=12#map=12/33.2415/44.3245","Maplink1")</f>
        <v>Maplink1</v>
      </c>
      <c r="AU604" s="12" t="str">
        <f>HYPERLINK("https://www.google.iq/maps/search/+33.2415,44.3245/@33.2415,44.3245,14z?hl=en","Maplink2")</f>
        <v>Maplink2</v>
      </c>
      <c r="AV604" s="12" t="str">
        <f>HYPERLINK("http://www.bing.com/maps/?lvl=14&amp;sty=h&amp;cp=33.2415~44.3245&amp;sp=point.33.2415_44.3245","Maplink3")</f>
        <v>Maplink3</v>
      </c>
    </row>
    <row r="605" spans="1:48" ht="15" customHeight="1" x14ac:dyDescent="0.25">
      <c r="A605" s="19">
        <v>27191</v>
      </c>
      <c r="B605" s="20" t="s">
        <v>11</v>
      </c>
      <c r="C605" s="20" t="s">
        <v>1095</v>
      </c>
      <c r="D605" s="20" t="s">
        <v>1215</v>
      </c>
      <c r="E605" s="20" t="s">
        <v>1216</v>
      </c>
      <c r="F605" s="20">
        <v>33.246104789999997</v>
      </c>
      <c r="G605" s="20">
        <v>44.325400569999999</v>
      </c>
      <c r="H605" s="22">
        <v>14</v>
      </c>
      <c r="I605" s="22">
        <v>84</v>
      </c>
      <c r="J605" s="21">
        <v>4</v>
      </c>
      <c r="K605" s="21"/>
      <c r="L605" s="21"/>
      <c r="M605" s="21"/>
      <c r="N605" s="21"/>
      <c r="O605" s="21">
        <v>4</v>
      </c>
      <c r="P605" s="21"/>
      <c r="Q605" s="21"/>
      <c r="R605" s="21"/>
      <c r="S605" s="21"/>
      <c r="T605" s="21"/>
      <c r="U605" s="21"/>
      <c r="V605" s="21">
        <v>6</v>
      </c>
      <c r="W605" s="21"/>
      <c r="X605" s="21"/>
      <c r="Y605" s="21"/>
      <c r="Z605" s="21"/>
      <c r="AA605" s="21"/>
      <c r="AB605" s="21"/>
      <c r="AC605" s="21">
        <v>6</v>
      </c>
      <c r="AD605" s="21"/>
      <c r="AE605" s="21"/>
      <c r="AF605" s="21"/>
      <c r="AG605" s="21"/>
      <c r="AH605" s="21">
        <v>8</v>
      </c>
      <c r="AI605" s="21"/>
      <c r="AJ605" s="21"/>
      <c r="AK605" s="21"/>
      <c r="AL605" s="21"/>
      <c r="AM605" s="21">
        <v>14</v>
      </c>
      <c r="AN605" s="21"/>
      <c r="AO605" s="21"/>
      <c r="AP605" s="21"/>
      <c r="AQ605" s="21"/>
      <c r="AR605" s="21"/>
      <c r="AS605" s="21"/>
      <c r="AT605" s="12" t="str">
        <f>HYPERLINK("http://www.openstreetmap.org/?mlat=33.2461&amp;mlon=44.3254&amp;zoom=12#map=12/33.2461/44.3254","Maplink1")</f>
        <v>Maplink1</v>
      </c>
      <c r="AU605" s="12" t="str">
        <f>HYPERLINK("https://www.google.iq/maps/search/+33.2461,44.3254/@33.2461,44.3254,14z?hl=en","Maplink2")</f>
        <v>Maplink2</v>
      </c>
      <c r="AV605" s="12" t="str">
        <f>HYPERLINK("http://www.bing.com/maps/?lvl=14&amp;sty=h&amp;cp=33.2461~44.3254&amp;sp=point.33.2461_44.3254","Maplink3")</f>
        <v>Maplink3</v>
      </c>
    </row>
    <row r="606" spans="1:48" ht="15" customHeight="1" x14ac:dyDescent="0.25">
      <c r="A606" s="19">
        <v>27289</v>
      </c>
      <c r="B606" s="20" t="s">
        <v>11</v>
      </c>
      <c r="C606" s="20" t="s">
        <v>1095</v>
      </c>
      <c r="D606" s="20" t="s">
        <v>1217</v>
      </c>
      <c r="E606" s="20" t="s">
        <v>1218</v>
      </c>
      <c r="F606" s="20">
        <v>33.323968639999997</v>
      </c>
      <c r="G606" s="20">
        <v>44.393573760000002</v>
      </c>
      <c r="H606" s="22">
        <v>21</v>
      </c>
      <c r="I606" s="22">
        <v>126</v>
      </c>
      <c r="J606" s="21">
        <v>5</v>
      </c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>
        <v>14</v>
      </c>
      <c r="W606" s="21"/>
      <c r="X606" s="21">
        <v>2</v>
      </c>
      <c r="Y606" s="21"/>
      <c r="Z606" s="21"/>
      <c r="AA606" s="21"/>
      <c r="AB606" s="21"/>
      <c r="AC606" s="21"/>
      <c r="AD606" s="21"/>
      <c r="AE606" s="21"/>
      <c r="AF606" s="21"/>
      <c r="AG606" s="21"/>
      <c r="AH606" s="21">
        <v>21</v>
      </c>
      <c r="AI606" s="21"/>
      <c r="AJ606" s="21"/>
      <c r="AK606" s="21"/>
      <c r="AL606" s="21"/>
      <c r="AM606" s="21">
        <v>4</v>
      </c>
      <c r="AN606" s="21">
        <v>5</v>
      </c>
      <c r="AO606" s="21">
        <v>5</v>
      </c>
      <c r="AP606" s="21">
        <v>3</v>
      </c>
      <c r="AQ606" s="21">
        <v>2</v>
      </c>
      <c r="AR606" s="21">
        <v>2</v>
      </c>
      <c r="AS606" s="21"/>
      <c r="AT606" s="12" t="str">
        <f>HYPERLINK("http://www.openstreetmap.org/?mlat=33.324&amp;mlon=44.3936&amp;zoom=12#map=12/33.324/44.3936","Maplink1")</f>
        <v>Maplink1</v>
      </c>
      <c r="AU606" s="12" t="str">
        <f>HYPERLINK("https://www.google.iq/maps/search/+33.324,44.3936/@33.324,44.3936,14z?hl=en","Maplink2")</f>
        <v>Maplink2</v>
      </c>
      <c r="AV606" s="12" t="str">
        <f>HYPERLINK("http://www.bing.com/maps/?lvl=14&amp;sty=h&amp;cp=33.324~44.3936&amp;sp=point.33.324_44.3936","Maplink3")</f>
        <v>Maplink3</v>
      </c>
    </row>
    <row r="607" spans="1:48" ht="15" customHeight="1" x14ac:dyDescent="0.25">
      <c r="A607" s="19">
        <v>23575</v>
      </c>
      <c r="B607" s="20" t="s">
        <v>11</v>
      </c>
      <c r="C607" s="20" t="s">
        <v>1095</v>
      </c>
      <c r="D607" s="20" t="s">
        <v>1219</v>
      </c>
      <c r="E607" s="20" t="s">
        <v>1220</v>
      </c>
      <c r="F607" s="20">
        <v>33.243788369999997</v>
      </c>
      <c r="G607" s="20">
        <v>44.363123049999999</v>
      </c>
      <c r="H607" s="22">
        <v>10</v>
      </c>
      <c r="I607" s="22">
        <v>60</v>
      </c>
      <c r="J607" s="21">
        <v>10</v>
      </c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>
        <v>10</v>
      </c>
      <c r="AI607" s="21"/>
      <c r="AJ607" s="21"/>
      <c r="AK607" s="21"/>
      <c r="AL607" s="21">
        <v>7</v>
      </c>
      <c r="AM607" s="21"/>
      <c r="AN607" s="21"/>
      <c r="AO607" s="21"/>
      <c r="AP607" s="21">
        <v>3</v>
      </c>
      <c r="AQ607" s="21"/>
      <c r="AR607" s="21"/>
      <c r="AS607" s="21"/>
      <c r="AT607" s="12" t="str">
        <f>HYPERLINK("http://www.openstreetmap.org/?mlat=33.2438&amp;mlon=44.3631&amp;zoom=12#map=12/33.2438/44.3631","Maplink1")</f>
        <v>Maplink1</v>
      </c>
      <c r="AU607" s="12" t="str">
        <f>HYPERLINK("https://www.google.iq/maps/search/+33.2438,44.3631/@33.2438,44.3631,14z?hl=en","Maplink2")</f>
        <v>Maplink2</v>
      </c>
      <c r="AV607" s="12" t="str">
        <f>HYPERLINK("http://www.bing.com/maps/?lvl=14&amp;sty=h&amp;cp=33.2438~44.3631&amp;sp=point.33.2438_44.3631","Maplink3")</f>
        <v>Maplink3</v>
      </c>
    </row>
    <row r="608" spans="1:48" ht="15" customHeight="1" x14ac:dyDescent="0.25">
      <c r="A608" s="19">
        <v>25458</v>
      </c>
      <c r="B608" s="20" t="s">
        <v>11</v>
      </c>
      <c r="C608" s="20" t="s">
        <v>1095</v>
      </c>
      <c r="D608" s="20" t="s">
        <v>1221</v>
      </c>
      <c r="E608" s="20" t="s">
        <v>1222</v>
      </c>
      <c r="F608" s="20">
        <v>33.253689479999998</v>
      </c>
      <c r="G608" s="20">
        <v>44.357479359999999</v>
      </c>
      <c r="H608" s="22">
        <v>30</v>
      </c>
      <c r="I608" s="22">
        <v>180</v>
      </c>
      <c r="J608" s="21">
        <v>12</v>
      </c>
      <c r="K608" s="21">
        <v>8</v>
      </c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>
        <v>7</v>
      </c>
      <c r="W608" s="21"/>
      <c r="X608" s="21">
        <v>3</v>
      </c>
      <c r="Y608" s="21"/>
      <c r="Z608" s="21"/>
      <c r="AA608" s="21"/>
      <c r="AB608" s="21"/>
      <c r="AC608" s="21">
        <v>7</v>
      </c>
      <c r="AD608" s="21"/>
      <c r="AE608" s="21"/>
      <c r="AF608" s="21"/>
      <c r="AG608" s="21"/>
      <c r="AH608" s="21">
        <v>23</v>
      </c>
      <c r="AI608" s="21"/>
      <c r="AJ608" s="21"/>
      <c r="AK608" s="21"/>
      <c r="AL608" s="21"/>
      <c r="AM608" s="21">
        <v>8</v>
      </c>
      <c r="AN608" s="21">
        <v>5</v>
      </c>
      <c r="AO608" s="21">
        <v>8</v>
      </c>
      <c r="AP608" s="21">
        <v>4</v>
      </c>
      <c r="AQ608" s="21"/>
      <c r="AR608" s="21">
        <v>5</v>
      </c>
      <c r="AS608" s="21"/>
      <c r="AT608" s="12" t="str">
        <f>HYPERLINK("http://www.openstreetmap.org/?mlat=33.2537&amp;mlon=44.3575&amp;zoom=12#map=12/33.2537/44.3575","Maplink1")</f>
        <v>Maplink1</v>
      </c>
      <c r="AU608" s="12" t="str">
        <f>HYPERLINK("https://www.google.iq/maps/search/+33.2537,44.3575/@33.2537,44.3575,14z?hl=en","Maplink2")</f>
        <v>Maplink2</v>
      </c>
      <c r="AV608" s="12" t="str">
        <f>HYPERLINK("http://www.bing.com/maps/?lvl=14&amp;sty=h&amp;cp=33.2537~44.3575&amp;sp=point.33.2537_44.3575","Maplink3")</f>
        <v>Maplink3</v>
      </c>
    </row>
    <row r="609" spans="1:48" ht="15" customHeight="1" x14ac:dyDescent="0.25">
      <c r="A609" s="19">
        <v>24081</v>
      </c>
      <c r="B609" s="20" t="s">
        <v>11</v>
      </c>
      <c r="C609" s="20" t="s">
        <v>1095</v>
      </c>
      <c r="D609" s="20" t="s">
        <v>1223</v>
      </c>
      <c r="E609" s="20" t="s">
        <v>1224</v>
      </c>
      <c r="F609" s="20">
        <v>33.244698936200002</v>
      </c>
      <c r="G609" s="20">
        <v>44.356627014399997</v>
      </c>
      <c r="H609" s="22">
        <v>20</v>
      </c>
      <c r="I609" s="22">
        <v>120</v>
      </c>
      <c r="J609" s="21">
        <v>10</v>
      </c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>
        <v>10</v>
      </c>
      <c r="W609" s="21"/>
      <c r="X609" s="21"/>
      <c r="Y609" s="21"/>
      <c r="Z609" s="21"/>
      <c r="AA609" s="21"/>
      <c r="AB609" s="21"/>
      <c r="AC609" s="21">
        <v>4</v>
      </c>
      <c r="AD609" s="21"/>
      <c r="AE609" s="21"/>
      <c r="AF609" s="21"/>
      <c r="AG609" s="21"/>
      <c r="AH609" s="21">
        <v>16</v>
      </c>
      <c r="AI609" s="21"/>
      <c r="AJ609" s="21"/>
      <c r="AK609" s="21"/>
      <c r="AL609" s="21">
        <v>8</v>
      </c>
      <c r="AM609" s="21"/>
      <c r="AN609" s="21"/>
      <c r="AO609" s="21">
        <v>4</v>
      </c>
      <c r="AP609" s="21">
        <v>2</v>
      </c>
      <c r="AQ609" s="21"/>
      <c r="AR609" s="21">
        <v>6</v>
      </c>
      <c r="AS609" s="21"/>
      <c r="AT609" s="12" t="str">
        <f>HYPERLINK("http://www.openstreetmap.org/?mlat=33.2447&amp;mlon=44.3566&amp;zoom=12#map=12/33.2447/44.3566","Maplink1")</f>
        <v>Maplink1</v>
      </c>
      <c r="AU609" s="12" t="str">
        <f>HYPERLINK("https://www.google.iq/maps/search/+33.2447,44.3566/@33.2447,44.3566,14z?hl=en","Maplink2")</f>
        <v>Maplink2</v>
      </c>
      <c r="AV609" s="12" t="str">
        <f>HYPERLINK("http://www.bing.com/maps/?lvl=14&amp;sty=h&amp;cp=33.2447~44.3566&amp;sp=point.33.2447_44.3566","Maplink3")</f>
        <v>Maplink3</v>
      </c>
    </row>
    <row r="610" spans="1:48" ht="15" customHeight="1" x14ac:dyDescent="0.25">
      <c r="A610" s="19">
        <v>27409</v>
      </c>
      <c r="B610" s="20" t="s">
        <v>11</v>
      </c>
      <c r="C610" s="20" t="s">
        <v>1095</v>
      </c>
      <c r="D610" s="20" t="s">
        <v>1225</v>
      </c>
      <c r="E610" s="20" t="s">
        <v>1226</v>
      </c>
      <c r="F610" s="20">
        <v>33.2384918769</v>
      </c>
      <c r="G610" s="20">
        <v>44.331310344499997</v>
      </c>
      <c r="H610" s="22">
        <v>13</v>
      </c>
      <c r="I610" s="22">
        <v>78</v>
      </c>
      <c r="J610" s="21">
        <v>7</v>
      </c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>
        <v>6</v>
      </c>
      <c r="W610" s="21"/>
      <c r="X610" s="21"/>
      <c r="Y610" s="21"/>
      <c r="Z610" s="21"/>
      <c r="AA610" s="21"/>
      <c r="AB610" s="21"/>
      <c r="AC610" s="21">
        <v>5</v>
      </c>
      <c r="AD610" s="21"/>
      <c r="AE610" s="21"/>
      <c r="AF610" s="21"/>
      <c r="AG610" s="21"/>
      <c r="AH610" s="21">
        <v>8</v>
      </c>
      <c r="AI610" s="21"/>
      <c r="AJ610" s="21"/>
      <c r="AK610" s="21"/>
      <c r="AL610" s="21"/>
      <c r="AM610" s="21">
        <v>2</v>
      </c>
      <c r="AN610" s="21"/>
      <c r="AO610" s="21">
        <v>7</v>
      </c>
      <c r="AP610" s="21"/>
      <c r="AQ610" s="21"/>
      <c r="AR610" s="21">
        <v>4</v>
      </c>
      <c r="AS610" s="21"/>
      <c r="AT610" s="12" t="str">
        <f>HYPERLINK("http://www.openstreetmap.org/?mlat=33.2385&amp;mlon=44.3313&amp;zoom=12#map=12/33.2385/44.3313","Maplink1")</f>
        <v>Maplink1</v>
      </c>
      <c r="AU610" s="12" t="str">
        <f>HYPERLINK("https://www.google.iq/maps/search/+33.2385,44.3313/@33.2385,44.3313,14z?hl=en","Maplink2")</f>
        <v>Maplink2</v>
      </c>
      <c r="AV610" s="12" t="str">
        <f>HYPERLINK("http://www.bing.com/maps/?lvl=14&amp;sty=h&amp;cp=33.2385~44.3313&amp;sp=point.33.2385_44.3313","Maplink3")</f>
        <v>Maplink3</v>
      </c>
    </row>
    <row r="611" spans="1:48" ht="15" customHeight="1" x14ac:dyDescent="0.25">
      <c r="A611" s="19">
        <v>24120</v>
      </c>
      <c r="B611" s="20" t="s">
        <v>11</v>
      </c>
      <c r="C611" s="20" t="s">
        <v>1095</v>
      </c>
      <c r="D611" s="20" t="s">
        <v>1227</v>
      </c>
      <c r="E611" s="20" t="s">
        <v>1228</v>
      </c>
      <c r="F611" s="20">
        <v>33.233598239999999</v>
      </c>
      <c r="G611" s="20">
        <v>44.329357690000002</v>
      </c>
      <c r="H611" s="22">
        <v>8</v>
      </c>
      <c r="I611" s="22">
        <v>48</v>
      </c>
      <c r="J611" s="21">
        <v>2</v>
      </c>
      <c r="K611" s="21"/>
      <c r="L611" s="21"/>
      <c r="M611" s="21"/>
      <c r="N611" s="21"/>
      <c r="O611" s="21">
        <v>2</v>
      </c>
      <c r="P611" s="21"/>
      <c r="Q611" s="21"/>
      <c r="R611" s="21"/>
      <c r="S611" s="21"/>
      <c r="T611" s="21"/>
      <c r="U611" s="21"/>
      <c r="V611" s="21">
        <v>4</v>
      </c>
      <c r="W611" s="21"/>
      <c r="X611" s="21"/>
      <c r="Y611" s="21"/>
      <c r="Z611" s="21"/>
      <c r="AA611" s="21"/>
      <c r="AB611" s="21"/>
      <c r="AC611" s="21">
        <v>2</v>
      </c>
      <c r="AD611" s="21"/>
      <c r="AE611" s="21"/>
      <c r="AF611" s="21"/>
      <c r="AG611" s="21"/>
      <c r="AH611" s="21">
        <v>6</v>
      </c>
      <c r="AI611" s="21"/>
      <c r="AJ611" s="21"/>
      <c r="AK611" s="21"/>
      <c r="AL611" s="21"/>
      <c r="AM611" s="21">
        <v>4</v>
      </c>
      <c r="AN611" s="21">
        <v>2</v>
      </c>
      <c r="AO611" s="21"/>
      <c r="AP611" s="21">
        <v>2</v>
      </c>
      <c r="AQ611" s="21"/>
      <c r="AR611" s="21"/>
      <c r="AS611" s="21"/>
      <c r="AT611" s="12" t="str">
        <f>HYPERLINK("http://www.openstreetmap.org/?mlat=33.2336&amp;mlon=44.3294&amp;zoom=12#map=12/33.2336/44.3294","Maplink1")</f>
        <v>Maplink1</v>
      </c>
      <c r="AU611" s="12" t="str">
        <f>HYPERLINK("https://www.google.iq/maps/search/+33.2336,44.3294/@33.2336,44.3294,14z?hl=en","Maplink2")</f>
        <v>Maplink2</v>
      </c>
      <c r="AV611" s="12" t="str">
        <f>HYPERLINK("http://www.bing.com/maps/?lvl=14&amp;sty=h&amp;cp=33.2336~44.3294&amp;sp=point.33.2336_44.3294","Maplink3")</f>
        <v>Maplink3</v>
      </c>
    </row>
    <row r="612" spans="1:48" ht="15" customHeight="1" x14ac:dyDescent="0.25">
      <c r="A612" s="19">
        <v>25830</v>
      </c>
      <c r="B612" s="20" t="s">
        <v>11</v>
      </c>
      <c r="C612" s="20" t="s">
        <v>1095</v>
      </c>
      <c r="D612" s="20" t="s">
        <v>1229</v>
      </c>
      <c r="E612" s="20" t="s">
        <v>1230</v>
      </c>
      <c r="F612" s="20">
        <v>33.249140990000001</v>
      </c>
      <c r="G612" s="20">
        <v>44.320265110000001</v>
      </c>
      <c r="H612" s="22">
        <v>6</v>
      </c>
      <c r="I612" s="22">
        <v>36</v>
      </c>
      <c r="J612" s="21">
        <v>3</v>
      </c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>
        <v>3</v>
      </c>
      <c r="W612" s="21"/>
      <c r="X612" s="21"/>
      <c r="Y612" s="21"/>
      <c r="Z612" s="21"/>
      <c r="AA612" s="21"/>
      <c r="AB612" s="21"/>
      <c r="AC612" s="21">
        <v>4</v>
      </c>
      <c r="AD612" s="21"/>
      <c r="AE612" s="21"/>
      <c r="AF612" s="21"/>
      <c r="AG612" s="21"/>
      <c r="AH612" s="21">
        <v>2</v>
      </c>
      <c r="AI612" s="21"/>
      <c r="AJ612" s="21"/>
      <c r="AK612" s="21"/>
      <c r="AL612" s="21"/>
      <c r="AM612" s="21">
        <v>4</v>
      </c>
      <c r="AN612" s="21">
        <v>2</v>
      </c>
      <c r="AO612" s="21"/>
      <c r="AP612" s="21"/>
      <c r="AQ612" s="21"/>
      <c r="AR612" s="21"/>
      <c r="AS612" s="21"/>
      <c r="AT612" s="12" t="str">
        <f>HYPERLINK("http://www.openstreetmap.org/?mlat=33.2491&amp;mlon=44.3203&amp;zoom=12#map=12/33.2491/44.3203","Maplink1")</f>
        <v>Maplink1</v>
      </c>
      <c r="AU612" s="12" t="str">
        <f>HYPERLINK("https://www.google.iq/maps/search/+33.2491,44.3203/@33.2491,44.3203,14z?hl=en","Maplink2")</f>
        <v>Maplink2</v>
      </c>
      <c r="AV612" s="12" t="str">
        <f>HYPERLINK("http://www.bing.com/maps/?lvl=14&amp;sty=h&amp;cp=33.2491~44.3203&amp;sp=point.33.2491_44.3203","Maplink3")</f>
        <v>Maplink3</v>
      </c>
    </row>
    <row r="613" spans="1:48" ht="15" customHeight="1" x14ac:dyDescent="0.25">
      <c r="A613" s="19">
        <v>23325</v>
      </c>
      <c r="B613" s="20" t="s">
        <v>11</v>
      </c>
      <c r="C613" s="20" t="s">
        <v>1095</v>
      </c>
      <c r="D613" s="20" t="s">
        <v>1231</v>
      </c>
      <c r="E613" s="20" t="s">
        <v>1232</v>
      </c>
      <c r="F613" s="20">
        <v>33.246195100000001</v>
      </c>
      <c r="G613" s="20">
        <v>44.30797235</v>
      </c>
      <c r="H613" s="22">
        <v>5</v>
      </c>
      <c r="I613" s="22">
        <v>30</v>
      </c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>
        <v>5</v>
      </c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>
        <v>5</v>
      </c>
      <c r="AI613" s="21"/>
      <c r="AJ613" s="21"/>
      <c r="AK613" s="21"/>
      <c r="AL613" s="21"/>
      <c r="AM613" s="21">
        <v>5</v>
      </c>
      <c r="AN613" s="21"/>
      <c r="AO613" s="21"/>
      <c r="AP613" s="21"/>
      <c r="AQ613" s="21"/>
      <c r="AR613" s="21"/>
      <c r="AS613" s="21"/>
      <c r="AT613" s="12" t="str">
        <f>HYPERLINK("http://www.openstreetmap.org/?mlat=33.2462&amp;mlon=44.308&amp;zoom=12#map=12/33.2462/44.308","Maplink1")</f>
        <v>Maplink1</v>
      </c>
      <c r="AU613" s="12" t="str">
        <f>HYPERLINK("https://www.google.iq/maps/search/+33.2462,44.308/@33.2462,44.308,14z?hl=en","Maplink2")</f>
        <v>Maplink2</v>
      </c>
      <c r="AV613" s="12" t="str">
        <f>HYPERLINK("http://www.bing.com/maps/?lvl=14&amp;sty=h&amp;cp=33.2462~44.308&amp;sp=point.33.2462_44.308","Maplink3")</f>
        <v>Maplink3</v>
      </c>
    </row>
    <row r="614" spans="1:48" ht="15" customHeight="1" x14ac:dyDescent="0.25">
      <c r="A614" s="19">
        <v>23085</v>
      </c>
      <c r="B614" s="20" t="s">
        <v>11</v>
      </c>
      <c r="C614" s="20" t="s">
        <v>1095</v>
      </c>
      <c r="D614" s="20" t="s">
        <v>1233</v>
      </c>
      <c r="E614" s="20" t="s">
        <v>1234</v>
      </c>
      <c r="F614" s="20">
        <v>33.243074610000001</v>
      </c>
      <c r="G614" s="20">
        <v>44.301381669999998</v>
      </c>
      <c r="H614" s="22">
        <v>5</v>
      </c>
      <c r="I614" s="22">
        <v>30</v>
      </c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>
        <v>5</v>
      </c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>
        <v>5</v>
      </c>
      <c r="AI614" s="21"/>
      <c r="AJ614" s="21"/>
      <c r="AK614" s="21"/>
      <c r="AL614" s="21"/>
      <c r="AM614" s="21">
        <v>5</v>
      </c>
      <c r="AN614" s="21"/>
      <c r="AO614" s="21"/>
      <c r="AP614" s="21"/>
      <c r="AQ614" s="21"/>
      <c r="AR614" s="21"/>
      <c r="AS614" s="21"/>
      <c r="AT614" s="12" t="str">
        <f>HYPERLINK("http://www.openstreetmap.org/?mlat=33.2431&amp;mlon=44.3014&amp;zoom=12#map=12/33.2431/44.3014","Maplink1")</f>
        <v>Maplink1</v>
      </c>
      <c r="AU614" s="12" t="str">
        <f>HYPERLINK("https://www.google.iq/maps/search/+33.2431,44.3014/@33.2431,44.3014,14z?hl=en","Maplink2")</f>
        <v>Maplink2</v>
      </c>
      <c r="AV614" s="12" t="str">
        <f>HYPERLINK("http://www.bing.com/maps/?lvl=14&amp;sty=h&amp;cp=33.2431~44.3014&amp;sp=point.33.2431_44.3014","Maplink3")</f>
        <v>Maplink3</v>
      </c>
    </row>
    <row r="615" spans="1:48" ht="15" customHeight="1" x14ac:dyDescent="0.25">
      <c r="A615" s="19">
        <v>23086</v>
      </c>
      <c r="B615" s="20" t="s">
        <v>11</v>
      </c>
      <c r="C615" s="20" t="s">
        <v>1095</v>
      </c>
      <c r="D615" s="20" t="s">
        <v>1235</v>
      </c>
      <c r="E615" s="20" t="s">
        <v>1236</v>
      </c>
      <c r="F615" s="20">
        <v>33.253089320000001</v>
      </c>
      <c r="G615" s="20">
        <v>44.326018320000003</v>
      </c>
      <c r="H615" s="22">
        <v>4</v>
      </c>
      <c r="I615" s="22">
        <v>24</v>
      </c>
      <c r="J615" s="21">
        <v>2</v>
      </c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>
        <v>2</v>
      </c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>
        <v>4</v>
      </c>
      <c r="AI615" s="21"/>
      <c r="AJ615" s="21"/>
      <c r="AK615" s="21"/>
      <c r="AL615" s="21"/>
      <c r="AM615" s="21">
        <v>2</v>
      </c>
      <c r="AN615" s="21"/>
      <c r="AO615" s="21"/>
      <c r="AP615" s="21"/>
      <c r="AQ615" s="21"/>
      <c r="AR615" s="21">
        <v>2</v>
      </c>
      <c r="AS615" s="21"/>
      <c r="AT615" s="12" t="str">
        <f>HYPERLINK("http://www.openstreetmap.org/?mlat=33.2531&amp;mlon=44.326&amp;zoom=12#map=12/33.2531/44.326","Maplink1")</f>
        <v>Maplink1</v>
      </c>
      <c r="AU615" s="12" t="str">
        <f>HYPERLINK("https://www.google.iq/maps/search/+33.2531,44.326/@33.2531,44.326,14z?hl=en","Maplink2")</f>
        <v>Maplink2</v>
      </c>
      <c r="AV615" s="12" t="str">
        <f>HYPERLINK("http://www.bing.com/maps/?lvl=14&amp;sty=h&amp;cp=33.2531~44.326&amp;sp=point.33.2531_44.326","Maplink3")</f>
        <v>Maplink3</v>
      </c>
    </row>
    <row r="616" spans="1:48" ht="15" customHeight="1" x14ac:dyDescent="0.25">
      <c r="A616" s="19">
        <v>25459</v>
      </c>
      <c r="B616" s="20" t="s">
        <v>11</v>
      </c>
      <c r="C616" s="20" t="s">
        <v>1095</v>
      </c>
      <c r="D616" s="20" t="s">
        <v>1237</v>
      </c>
      <c r="E616" s="20" t="s">
        <v>1238</v>
      </c>
      <c r="F616" s="20">
        <v>33.242247470000002</v>
      </c>
      <c r="G616" s="20">
        <v>44.303167620000004</v>
      </c>
      <c r="H616" s="22">
        <v>8</v>
      </c>
      <c r="I616" s="22">
        <v>48</v>
      </c>
      <c r="J616" s="21">
        <v>3</v>
      </c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>
        <v>3</v>
      </c>
      <c r="W616" s="21"/>
      <c r="X616" s="21">
        <v>2</v>
      </c>
      <c r="Y616" s="21"/>
      <c r="Z616" s="21"/>
      <c r="AA616" s="21"/>
      <c r="AB616" s="21"/>
      <c r="AC616" s="21">
        <v>4</v>
      </c>
      <c r="AD616" s="21"/>
      <c r="AE616" s="21"/>
      <c r="AF616" s="21"/>
      <c r="AG616" s="21"/>
      <c r="AH616" s="21">
        <v>4</v>
      </c>
      <c r="AI616" s="21"/>
      <c r="AJ616" s="21"/>
      <c r="AK616" s="21"/>
      <c r="AL616" s="21">
        <v>3</v>
      </c>
      <c r="AM616" s="21">
        <v>5</v>
      </c>
      <c r="AN616" s="21"/>
      <c r="AO616" s="21"/>
      <c r="AP616" s="21"/>
      <c r="AQ616" s="21"/>
      <c r="AR616" s="21"/>
      <c r="AS616" s="21"/>
      <c r="AT616" s="12" t="str">
        <f>HYPERLINK("http://www.openstreetmap.org/?mlat=33.2422&amp;mlon=44.3032&amp;zoom=12#map=12/33.2422/44.3032","Maplink1")</f>
        <v>Maplink1</v>
      </c>
      <c r="AU616" s="12" t="str">
        <f>HYPERLINK("https://www.google.iq/maps/search/+33.2422,44.3032/@33.2422,44.3032,14z?hl=en","Maplink2")</f>
        <v>Maplink2</v>
      </c>
      <c r="AV616" s="12" t="str">
        <f>HYPERLINK("http://www.bing.com/maps/?lvl=14&amp;sty=h&amp;cp=33.2422~44.3032&amp;sp=point.33.2422_44.3032","Maplink3")</f>
        <v>Maplink3</v>
      </c>
    </row>
    <row r="617" spans="1:48" ht="15" customHeight="1" x14ac:dyDescent="0.25">
      <c r="A617" s="19">
        <v>7523</v>
      </c>
      <c r="B617" s="20" t="s">
        <v>11</v>
      </c>
      <c r="C617" s="20" t="s">
        <v>1095</v>
      </c>
      <c r="D617" s="20" t="s">
        <v>1239</v>
      </c>
      <c r="E617" s="20" t="s">
        <v>1240</v>
      </c>
      <c r="F617" s="20">
        <v>33.246763620000003</v>
      </c>
      <c r="G617" s="20">
        <v>44.303385210000002</v>
      </c>
      <c r="H617" s="22">
        <v>2</v>
      </c>
      <c r="I617" s="22">
        <v>12</v>
      </c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>
        <v>2</v>
      </c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>
        <v>2</v>
      </c>
      <c r="AI617" s="21"/>
      <c r="AJ617" s="21"/>
      <c r="AK617" s="21"/>
      <c r="AL617" s="21"/>
      <c r="AM617" s="21">
        <v>2</v>
      </c>
      <c r="AN617" s="21"/>
      <c r="AO617" s="21"/>
      <c r="AP617" s="21"/>
      <c r="AQ617" s="21"/>
      <c r="AR617" s="21"/>
      <c r="AS617" s="21"/>
      <c r="AT617" s="12" t="str">
        <f>HYPERLINK("http://www.openstreetmap.org/?mlat=33.2468&amp;mlon=44.3034&amp;zoom=12#map=12/33.2468/44.3034","Maplink1")</f>
        <v>Maplink1</v>
      </c>
      <c r="AU617" s="12" t="str">
        <f>HYPERLINK("https://www.google.iq/maps/search/+33.2468,44.3034/@33.2468,44.3034,14z?hl=en","Maplink2")</f>
        <v>Maplink2</v>
      </c>
      <c r="AV617" s="12" t="str">
        <f>HYPERLINK("http://www.bing.com/maps/?lvl=14&amp;sty=h&amp;cp=33.2468~44.3034&amp;sp=point.33.2468_44.3034","Maplink3")</f>
        <v>Maplink3</v>
      </c>
    </row>
    <row r="618" spans="1:48" ht="15" customHeight="1" x14ac:dyDescent="0.25">
      <c r="A618" s="19">
        <v>23984</v>
      </c>
      <c r="B618" s="20" t="s">
        <v>11</v>
      </c>
      <c r="C618" s="20" t="s">
        <v>1095</v>
      </c>
      <c r="D618" s="20" t="s">
        <v>1241</v>
      </c>
      <c r="E618" s="20" t="s">
        <v>1242</v>
      </c>
      <c r="F618" s="20">
        <v>33.249352469999998</v>
      </c>
      <c r="G618" s="20">
        <v>44.395447529999998</v>
      </c>
      <c r="H618" s="22">
        <v>196</v>
      </c>
      <c r="I618" s="22">
        <v>1176</v>
      </c>
      <c r="J618" s="21">
        <v>175</v>
      </c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>
        <v>13</v>
      </c>
      <c r="W618" s="21"/>
      <c r="X618" s="21">
        <v>8</v>
      </c>
      <c r="Y618" s="21"/>
      <c r="Z618" s="21"/>
      <c r="AA618" s="21"/>
      <c r="AB618" s="21"/>
      <c r="AC618" s="21">
        <v>125</v>
      </c>
      <c r="AD618" s="21"/>
      <c r="AE618" s="21"/>
      <c r="AF618" s="21"/>
      <c r="AG618" s="21"/>
      <c r="AH618" s="21">
        <v>71</v>
      </c>
      <c r="AI618" s="21"/>
      <c r="AJ618" s="21"/>
      <c r="AK618" s="21"/>
      <c r="AL618" s="21">
        <v>41</v>
      </c>
      <c r="AM618" s="21">
        <v>36</v>
      </c>
      <c r="AN618" s="21">
        <v>37</v>
      </c>
      <c r="AO618" s="21">
        <v>24</v>
      </c>
      <c r="AP618" s="21">
        <v>27</v>
      </c>
      <c r="AQ618" s="21">
        <v>18</v>
      </c>
      <c r="AR618" s="21">
        <v>13</v>
      </c>
      <c r="AS618" s="21"/>
      <c r="AT618" s="12" t="str">
        <f>HYPERLINK("http://www.openstreetmap.org/?mlat=33.2494&amp;mlon=44.3954&amp;zoom=12#map=12/33.2494/44.3954","Maplink1")</f>
        <v>Maplink1</v>
      </c>
      <c r="AU618" s="12" t="str">
        <f>HYPERLINK("https://www.google.iq/maps/search/+33.2494,44.3954/@33.2494,44.3954,14z?hl=en","Maplink2")</f>
        <v>Maplink2</v>
      </c>
      <c r="AV618" s="12" t="str">
        <f>HYPERLINK("http://www.bing.com/maps/?lvl=14&amp;sty=h&amp;cp=33.2494~44.3954&amp;sp=point.33.2494_44.3954","Maplink3")</f>
        <v>Maplink3</v>
      </c>
    </row>
    <row r="619" spans="1:48" ht="15" customHeight="1" x14ac:dyDescent="0.25">
      <c r="A619" s="19">
        <v>23986</v>
      </c>
      <c r="B619" s="20" t="s">
        <v>11</v>
      </c>
      <c r="C619" s="20" t="s">
        <v>1095</v>
      </c>
      <c r="D619" s="20" t="s">
        <v>1243</v>
      </c>
      <c r="E619" s="20" t="s">
        <v>1244</v>
      </c>
      <c r="F619" s="20">
        <v>33.251847589999997</v>
      </c>
      <c r="G619" s="20">
        <v>44.39075596</v>
      </c>
      <c r="H619" s="22">
        <v>239</v>
      </c>
      <c r="I619" s="22">
        <v>1434</v>
      </c>
      <c r="J619" s="21">
        <v>212</v>
      </c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>
        <v>17</v>
      </c>
      <c r="W619" s="21"/>
      <c r="X619" s="21">
        <v>10</v>
      </c>
      <c r="Y619" s="21"/>
      <c r="Z619" s="21"/>
      <c r="AA619" s="21"/>
      <c r="AB619" s="21"/>
      <c r="AC619" s="21">
        <v>140</v>
      </c>
      <c r="AD619" s="21"/>
      <c r="AE619" s="21"/>
      <c r="AF619" s="21"/>
      <c r="AG619" s="21"/>
      <c r="AH619" s="21">
        <v>99</v>
      </c>
      <c r="AI619" s="21"/>
      <c r="AJ619" s="21"/>
      <c r="AK619" s="21"/>
      <c r="AL619" s="21">
        <v>90</v>
      </c>
      <c r="AM619" s="21">
        <v>39</v>
      </c>
      <c r="AN619" s="21"/>
      <c r="AO619" s="21"/>
      <c r="AP619" s="21">
        <v>55</v>
      </c>
      <c r="AQ619" s="21">
        <v>31</v>
      </c>
      <c r="AR619" s="21">
        <v>24</v>
      </c>
      <c r="AS619" s="21"/>
      <c r="AT619" s="12" t="str">
        <f>HYPERLINK("http://www.openstreetmap.org/?mlat=33.2518&amp;mlon=44.3908&amp;zoom=12#map=12/33.2518/44.3908","Maplink1")</f>
        <v>Maplink1</v>
      </c>
      <c r="AU619" s="12" t="str">
        <f>HYPERLINK("https://www.google.iq/maps/search/+33.2518,44.3908/@33.2518,44.3908,14z?hl=en","Maplink2")</f>
        <v>Maplink2</v>
      </c>
      <c r="AV619" s="12" t="str">
        <f>HYPERLINK("http://www.bing.com/maps/?lvl=14&amp;sty=h&amp;cp=33.2518~44.3908&amp;sp=point.33.2518_44.3908","Maplink3")</f>
        <v>Maplink3</v>
      </c>
    </row>
    <row r="620" spans="1:48" ht="15" customHeight="1" x14ac:dyDescent="0.25">
      <c r="A620" s="19">
        <v>24986</v>
      </c>
      <c r="B620" s="20" t="s">
        <v>11</v>
      </c>
      <c r="C620" s="20" t="s">
        <v>1095</v>
      </c>
      <c r="D620" s="20" t="s">
        <v>1245</v>
      </c>
      <c r="E620" s="20" t="s">
        <v>1246</v>
      </c>
      <c r="F620" s="20">
        <v>33.291910010000002</v>
      </c>
      <c r="G620" s="20">
        <v>44.335481350000002</v>
      </c>
      <c r="H620" s="22">
        <v>57</v>
      </c>
      <c r="I620" s="22">
        <v>342</v>
      </c>
      <c r="J620" s="21">
        <v>46</v>
      </c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>
        <v>11</v>
      </c>
      <c r="W620" s="21"/>
      <c r="X620" s="21"/>
      <c r="Y620" s="21"/>
      <c r="Z620" s="21"/>
      <c r="AA620" s="21"/>
      <c r="AB620" s="21"/>
      <c r="AC620" s="21">
        <v>26</v>
      </c>
      <c r="AD620" s="21"/>
      <c r="AE620" s="21"/>
      <c r="AF620" s="21"/>
      <c r="AG620" s="21"/>
      <c r="AH620" s="21">
        <v>31</v>
      </c>
      <c r="AI620" s="21"/>
      <c r="AJ620" s="21"/>
      <c r="AK620" s="21"/>
      <c r="AL620" s="21"/>
      <c r="AM620" s="21"/>
      <c r="AN620" s="21">
        <v>20</v>
      </c>
      <c r="AO620" s="21">
        <v>28</v>
      </c>
      <c r="AP620" s="21">
        <v>9</v>
      </c>
      <c r="AQ620" s="21"/>
      <c r="AR620" s="21"/>
      <c r="AS620" s="21"/>
      <c r="AT620" s="12" t="str">
        <f>HYPERLINK("http://www.openstreetmap.org/?mlat=33.2919&amp;mlon=44.3355&amp;zoom=12#map=12/33.2919/44.3355","Maplink1")</f>
        <v>Maplink1</v>
      </c>
      <c r="AU620" s="12" t="str">
        <f>HYPERLINK("https://www.google.iq/maps/search/+33.2919,44.3355/@33.2919,44.3355,14z?hl=en","Maplink2")</f>
        <v>Maplink2</v>
      </c>
      <c r="AV620" s="12" t="str">
        <f>HYPERLINK("http://www.bing.com/maps/?lvl=14&amp;sty=h&amp;cp=33.2919~44.3355&amp;sp=point.33.2919_44.3355","Maplink3")</f>
        <v>Maplink3</v>
      </c>
    </row>
    <row r="621" spans="1:48" ht="15" customHeight="1" x14ac:dyDescent="0.25">
      <c r="A621" s="19">
        <v>24987</v>
      </c>
      <c r="B621" s="20" t="s">
        <v>11</v>
      </c>
      <c r="C621" s="20" t="s">
        <v>1095</v>
      </c>
      <c r="D621" s="20" t="s">
        <v>1247</v>
      </c>
      <c r="E621" s="20" t="s">
        <v>1248</v>
      </c>
      <c r="F621" s="20">
        <v>33.301587528399999</v>
      </c>
      <c r="G621" s="20">
        <v>44.324519903199999</v>
      </c>
      <c r="H621" s="22">
        <v>84</v>
      </c>
      <c r="I621" s="22">
        <v>504</v>
      </c>
      <c r="J621" s="21">
        <v>56</v>
      </c>
      <c r="K621" s="21">
        <v>4</v>
      </c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>
        <v>18</v>
      </c>
      <c r="W621" s="21"/>
      <c r="X621" s="21">
        <v>6</v>
      </c>
      <c r="Y621" s="21"/>
      <c r="Z621" s="21"/>
      <c r="AA621" s="21"/>
      <c r="AB621" s="21"/>
      <c r="AC621" s="21">
        <v>25</v>
      </c>
      <c r="AD621" s="21"/>
      <c r="AE621" s="21"/>
      <c r="AF621" s="21"/>
      <c r="AG621" s="21"/>
      <c r="AH621" s="21">
        <v>59</v>
      </c>
      <c r="AI621" s="21"/>
      <c r="AJ621" s="21"/>
      <c r="AK621" s="21"/>
      <c r="AL621" s="21"/>
      <c r="AM621" s="21">
        <v>10</v>
      </c>
      <c r="AN621" s="21">
        <v>22</v>
      </c>
      <c r="AO621" s="21">
        <v>26</v>
      </c>
      <c r="AP621" s="21">
        <v>26</v>
      </c>
      <c r="AQ621" s="21"/>
      <c r="AR621" s="21"/>
      <c r="AS621" s="21"/>
      <c r="AT621" s="12" t="str">
        <f>HYPERLINK("http://www.openstreetmap.org/?mlat=33.3016&amp;mlon=44.3245&amp;zoom=12#map=12/33.3016/44.3245","Maplink1")</f>
        <v>Maplink1</v>
      </c>
      <c r="AU621" s="12" t="str">
        <f>HYPERLINK("https://www.google.iq/maps/search/+33.3016,44.3245/@33.3016,44.3245,14z?hl=en","Maplink2")</f>
        <v>Maplink2</v>
      </c>
      <c r="AV621" s="12" t="str">
        <f>HYPERLINK("http://www.bing.com/maps/?lvl=14&amp;sty=h&amp;cp=33.3016~44.3245&amp;sp=point.33.3016_44.3245","Maplink3")</f>
        <v>Maplink3</v>
      </c>
    </row>
    <row r="622" spans="1:48" ht="15" customHeight="1" x14ac:dyDescent="0.25">
      <c r="A622" s="19">
        <v>24062</v>
      </c>
      <c r="B622" s="20" t="s">
        <v>11</v>
      </c>
      <c r="C622" s="20" t="s">
        <v>1095</v>
      </c>
      <c r="D622" s="20" t="s">
        <v>1249</v>
      </c>
      <c r="E622" s="20" t="s">
        <v>1250</v>
      </c>
      <c r="F622" s="20">
        <v>33.2951162365</v>
      </c>
      <c r="G622" s="20">
        <v>44.347350859499997</v>
      </c>
      <c r="H622" s="22">
        <v>48</v>
      </c>
      <c r="I622" s="22">
        <v>288</v>
      </c>
      <c r="J622" s="21">
        <v>34</v>
      </c>
      <c r="K622" s="21"/>
      <c r="L622" s="21"/>
      <c r="M622" s="21"/>
      <c r="N622" s="21"/>
      <c r="O622" s="21">
        <v>3</v>
      </c>
      <c r="P622" s="21"/>
      <c r="Q622" s="21"/>
      <c r="R622" s="21"/>
      <c r="S622" s="21"/>
      <c r="T622" s="21"/>
      <c r="U622" s="21"/>
      <c r="V622" s="21">
        <v>8</v>
      </c>
      <c r="W622" s="21"/>
      <c r="X622" s="21">
        <v>3</v>
      </c>
      <c r="Y622" s="21"/>
      <c r="Z622" s="21"/>
      <c r="AA622" s="21"/>
      <c r="AB622" s="21"/>
      <c r="AC622" s="21">
        <v>10</v>
      </c>
      <c r="AD622" s="21"/>
      <c r="AE622" s="21"/>
      <c r="AF622" s="21"/>
      <c r="AG622" s="21"/>
      <c r="AH622" s="21">
        <v>38</v>
      </c>
      <c r="AI622" s="21"/>
      <c r="AJ622" s="21"/>
      <c r="AK622" s="21"/>
      <c r="AL622" s="21">
        <v>20</v>
      </c>
      <c r="AM622" s="21"/>
      <c r="AN622" s="21">
        <v>10</v>
      </c>
      <c r="AO622" s="21">
        <v>9</v>
      </c>
      <c r="AP622" s="21">
        <v>9</v>
      </c>
      <c r="AQ622" s="21"/>
      <c r="AR622" s="21"/>
      <c r="AS622" s="21"/>
      <c r="AT622" s="12" t="str">
        <f>HYPERLINK("http://www.openstreetmap.org/?mlat=33.2951&amp;mlon=44.3474&amp;zoom=12#map=12/33.2951/44.3474","Maplink1")</f>
        <v>Maplink1</v>
      </c>
      <c r="AU622" s="12" t="str">
        <f>HYPERLINK("https://www.google.iq/maps/search/+33.2951,44.3474/@33.2951,44.3474,14z?hl=en","Maplink2")</f>
        <v>Maplink2</v>
      </c>
      <c r="AV622" s="12" t="str">
        <f>HYPERLINK("http://www.bing.com/maps/?lvl=14&amp;sty=h&amp;cp=33.2951~44.3474&amp;sp=point.33.2951_44.3474","Maplink3")</f>
        <v>Maplink3</v>
      </c>
    </row>
    <row r="623" spans="1:48" ht="15" customHeight="1" x14ac:dyDescent="0.25">
      <c r="A623" s="19">
        <v>24072</v>
      </c>
      <c r="B623" s="20" t="s">
        <v>11</v>
      </c>
      <c r="C623" s="20" t="s">
        <v>1095</v>
      </c>
      <c r="D623" s="20" t="s">
        <v>1251</v>
      </c>
      <c r="E623" s="20" t="s">
        <v>1252</v>
      </c>
      <c r="F623" s="20">
        <v>33.296621440000003</v>
      </c>
      <c r="G623" s="20">
        <v>44.340209510000001</v>
      </c>
      <c r="H623" s="22">
        <v>50</v>
      </c>
      <c r="I623" s="22">
        <v>300</v>
      </c>
      <c r="J623" s="21">
        <v>41</v>
      </c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>
        <v>7</v>
      </c>
      <c r="W623" s="21"/>
      <c r="X623" s="21">
        <v>2</v>
      </c>
      <c r="Y623" s="21"/>
      <c r="Z623" s="21"/>
      <c r="AA623" s="21"/>
      <c r="AB623" s="21"/>
      <c r="AC623" s="21">
        <v>20</v>
      </c>
      <c r="AD623" s="21"/>
      <c r="AE623" s="21"/>
      <c r="AF623" s="21"/>
      <c r="AG623" s="21"/>
      <c r="AH623" s="21">
        <v>30</v>
      </c>
      <c r="AI623" s="21"/>
      <c r="AJ623" s="21"/>
      <c r="AK623" s="21"/>
      <c r="AL623" s="21">
        <v>10</v>
      </c>
      <c r="AM623" s="21"/>
      <c r="AN623" s="21">
        <v>19</v>
      </c>
      <c r="AO623" s="21">
        <v>13</v>
      </c>
      <c r="AP623" s="21">
        <v>8</v>
      </c>
      <c r="AQ623" s="21"/>
      <c r="AR623" s="21"/>
      <c r="AS623" s="21"/>
      <c r="AT623" s="12" t="str">
        <f>HYPERLINK("http://www.openstreetmap.org/?mlat=33.2966&amp;mlon=44.3402&amp;zoom=12#map=12/33.2966/44.3402","Maplink1")</f>
        <v>Maplink1</v>
      </c>
      <c r="AU623" s="12" t="str">
        <f>HYPERLINK("https://www.google.iq/maps/search/+33.2966,44.3402/@33.2966,44.3402,14z?hl=en","Maplink2")</f>
        <v>Maplink2</v>
      </c>
      <c r="AV623" s="12" t="str">
        <f>HYPERLINK("http://www.bing.com/maps/?lvl=14&amp;sty=h&amp;cp=33.2966~44.3402&amp;sp=point.33.2966_44.3402","Maplink3")</f>
        <v>Maplink3</v>
      </c>
    </row>
    <row r="624" spans="1:48" ht="15" customHeight="1" x14ac:dyDescent="0.25">
      <c r="A624" s="19">
        <v>24059</v>
      </c>
      <c r="B624" s="20" t="s">
        <v>11</v>
      </c>
      <c r="C624" s="20" t="s">
        <v>1095</v>
      </c>
      <c r="D624" s="20" t="s">
        <v>1253</v>
      </c>
      <c r="E624" s="20" t="s">
        <v>1254</v>
      </c>
      <c r="F624" s="20">
        <v>33.302825939999998</v>
      </c>
      <c r="G624" s="20">
        <v>44.331171859999998</v>
      </c>
      <c r="H624" s="22">
        <v>56</v>
      </c>
      <c r="I624" s="22">
        <v>336</v>
      </c>
      <c r="J624" s="21">
        <v>38</v>
      </c>
      <c r="K624" s="21"/>
      <c r="L624" s="21"/>
      <c r="M624" s="21"/>
      <c r="N624" s="21"/>
      <c r="O624" s="21">
        <v>8</v>
      </c>
      <c r="P624" s="21"/>
      <c r="Q624" s="21"/>
      <c r="R624" s="21"/>
      <c r="S624" s="21"/>
      <c r="T624" s="21"/>
      <c r="U624" s="21"/>
      <c r="V624" s="21">
        <v>2</v>
      </c>
      <c r="W624" s="21"/>
      <c r="X624" s="21">
        <v>8</v>
      </c>
      <c r="Y624" s="21"/>
      <c r="Z624" s="21"/>
      <c r="AA624" s="21"/>
      <c r="AB624" s="21"/>
      <c r="AC624" s="21">
        <v>20</v>
      </c>
      <c r="AD624" s="21"/>
      <c r="AE624" s="21"/>
      <c r="AF624" s="21"/>
      <c r="AG624" s="21"/>
      <c r="AH624" s="21">
        <v>36</v>
      </c>
      <c r="AI624" s="21"/>
      <c r="AJ624" s="21"/>
      <c r="AK624" s="21"/>
      <c r="AL624" s="21">
        <v>33</v>
      </c>
      <c r="AM624" s="21"/>
      <c r="AN624" s="21">
        <v>7</v>
      </c>
      <c r="AO624" s="21">
        <v>4</v>
      </c>
      <c r="AP624" s="21">
        <v>10</v>
      </c>
      <c r="AQ624" s="21"/>
      <c r="AR624" s="21">
        <v>2</v>
      </c>
      <c r="AS624" s="21"/>
      <c r="AT624" s="12" t="str">
        <f>HYPERLINK("http://www.openstreetmap.org/?mlat=33.3028&amp;mlon=44.3312&amp;zoom=12#map=12/33.3028/44.3312","Maplink1")</f>
        <v>Maplink1</v>
      </c>
      <c r="AU624" s="12" t="str">
        <f>HYPERLINK("https://www.google.iq/maps/search/+33.3028,44.3312/@33.3028,44.3312,14z?hl=en","Maplink2")</f>
        <v>Maplink2</v>
      </c>
      <c r="AV624" s="12" t="str">
        <f>HYPERLINK("http://www.bing.com/maps/?lvl=14&amp;sty=h&amp;cp=33.3028~44.3312&amp;sp=point.33.3028_44.3312","Maplink3")</f>
        <v>Maplink3</v>
      </c>
    </row>
    <row r="625" spans="1:48" ht="15" customHeight="1" x14ac:dyDescent="0.25">
      <c r="A625" s="19">
        <v>25931</v>
      </c>
      <c r="B625" s="20" t="s">
        <v>11</v>
      </c>
      <c r="C625" s="20" t="s">
        <v>1095</v>
      </c>
      <c r="D625" s="20" t="s">
        <v>1255</v>
      </c>
      <c r="E625" s="20" t="s">
        <v>1256</v>
      </c>
      <c r="F625" s="20">
        <v>33.304626766600002</v>
      </c>
      <c r="G625" s="20">
        <v>44.345148129899997</v>
      </c>
      <c r="H625" s="22">
        <v>22</v>
      </c>
      <c r="I625" s="22">
        <v>132</v>
      </c>
      <c r="J625" s="21">
        <v>19</v>
      </c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>
        <v>3</v>
      </c>
      <c r="W625" s="21"/>
      <c r="X625" s="21"/>
      <c r="Y625" s="21"/>
      <c r="Z625" s="21"/>
      <c r="AA625" s="21"/>
      <c r="AB625" s="21"/>
      <c r="AC625" s="21">
        <v>9</v>
      </c>
      <c r="AD625" s="21"/>
      <c r="AE625" s="21"/>
      <c r="AF625" s="21"/>
      <c r="AG625" s="21"/>
      <c r="AH625" s="21">
        <v>13</v>
      </c>
      <c r="AI625" s="21"/>
      <c r="AJ625" s="21"/>
      <c r="AK625" s="21"/>
      <c r="AL625" s="21"/>
      <c r="AM625" s="21"/>
      <c r="AN625" s="21">
        <v>9</v>
      </c>
      <c r="AO625" s="21">
        <v>8</v>
      </c>
      <c r="AP625" s="21">
        <v>5</v>
      </c>
      <c r="AQ625" s="21"/>
      <c r="AR625" s="21"/>
      <c r="AS625" s="21"/>
      <c r="AT625" s="12" t="str">
        <f>HYPERLINK("http://www.openstreetmap.org/?mlat=33.3046&amp;mlon=44.3451&amp;zoom=12#map=12/33.3046/44.3451","Maplink1")</f>
        <v>Maplink1</v>
      </c>
      <c r="AU625" s="12" t="str">
        <f>HYPERLINK("https://www.google.iq/maps/search/+33.3046,44.3451/@33.3046,44.3451,14z?hl=en","Maplink2")</f>
        <v>Maplink2</v>
      </c>
      <c r="AV625" s="12" t="str">
        <f>HYPERLINK("http://www.bing.com/maps/?lvl=14&amp;sty=h&amp;cp=33.3046~44.3451&amp;sp=point.33.3046_44.3451","Maplink3")</f>
        <v>Maplink3</v>
      </c>
    </row>
    <row r="626" spans="1:48" ht="15" customHeight="1" x14ac:dyDescent="0.25">
      <c r="A626" s="19">
        <v>25930</v>
      </c>
      <c r="B626" s="20" t="s">
        <v>11</v>
      </c>
      <c r="C626" s="20" t="s">
        <v>1095</v>
      </c>
      <c r="D626" s="20" t="s">
        <v>1257</v>
      </c>
      <c r="E626" s="20" t="s">
        <v>1258</v>
      </c>
      <c r="F626" s="20">
        <v>33.306730340000001</v>
      </c>
      <c r="G626" s="20">
        <v>44.345004520000003</v>
      </c>
      <c r="H626" s="22">
        <v>15</v>
      </c>
      <c r="I626" s="22">
        <v>90</v>
      </c>
      <c r="J626" s="21">
        <v>10</v>
      </c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>
        <v>5</v>
      </c>
      <c r="W626" s="21"/>
      <c r="X626" s="21"/>
      <c r="Y626" s="21"/>
      <c r="Z626" s="21"/>
      <c r="AA626" s="21"/>
      <c r="AB626" s="21"/>
      <c r="AC626" s="21">
        <v>5</v>
      </c>
      <c r="AD626" s="21"/>
      <c r="AE626" s="21"/>
      <c r="AF626" s="21"/>
      <c r="AG626" s="21"/>
      <c r="AH626" s="21">
        <v>10</v>
      </c>
      <c r="AI626" s="21"/>
      <c r="AJ626" s="21"/>
      <c r="AK626" s="21"/>
      <c r="AL626" s="21"/>
      <c r="AM626" s="21">
        <v>10</v>
      </c>
      <c r="AN626" s="21">
        <v>5</v>
      </c>
      <c r="AO626" s="21"/>
      <c r="AP626" s="21"/>
      <c r="AQ626" s="21"/>
      <c r="AR626" s="21"/>
      <c r="AS626" s="21"/>
      <c r="AT626" s="12" t="str">
        <f>HYPERLINK("http://www.openstreetmap.org/?mlat=33.3067&amp;mlon=44.345&amp;zoom=12#map=12/33.3067/44.345","Maplink1")</f>
        <v>Maplink1</v>
      </c>
      <c r="AU626" s="12" t="str">
        <f>HYPERLINK("https://www.google.iq/maps/search/+33.3067,44.345/@33.3067,44.345,14z?hl=en","Maplink2")</f>
        <v>Maplink2</v>
      </c>
      <c r="AV626" s="12" t="str">
        <f>HYPERLINK("http://www.bing.com/maps/?lvl=14&amp;sty=h&amp;cp=33.3067~44.345&amp;sp=point.33.3067_44.345","Maplink3")</f>
        <v>Maplink3</v>
      </c>
    </row>
    <row r="627" spans="1:48" ht="15" customHeight="1" x14ac:dyDescent="0.25">
      <c r="A627" s="19">
        <v>7584</v>
      </c>
      <c r="B627" s="20" t="s">
        <v>11</v>
      </c>
      <c r="C627" s="20" t="s">
        <v>1095</v>
      </c>
      <c r="D627" s="20" t="s">
        <v>1259</v>
      </c>
      <c r="E627" s="20" t="s">
        <v>1260</v>
      </c>
      <c r="F627" s="20">
        <v>33.244091883300001</v>
      </c>
      <c r="G627" s="20">
        <v>44.435440541200002</v>
      </c>
      <c r="H627" s="22">
        <v>27</v>
      </c>
      <c r="I627" s="22">
        <v>162</v>
      </c>
      <c r="J627" s="21">
        <v>20</v>
      </c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>
        <v>7</v>
      </c>
      <c r="W627" s="21"/>
      <c r="X627" s="21"/>
      <c r="Y627" s="21"/>
      <c r="Z627" s="21"/>
      <c r="AA627" s="21"/>
      <c r="AB627" s="21"/>
      <c r="AC627" s="21">
        <v>27</v>
      </c>
      <c r="AD627" s="21"/>
      <c r="AE627" s="21"/>
      <c r="AF627" s="21"/>
      <c r="AG627" s="21"/>
      <c r="AH627" s="21"/>
      <c r="AI627" s="21"/>
      <c r="AJ627" s="21"/>
      <c r="AK627" s="21"/>
      <c r="AL627" s="21">
        <v>6</v>
      </c>
      <c r="AM627" s="21">
        <v>16</v>
      </c>
      <c r="AN627" s="21"/>
      <c r="AO627" s="21"/>
      <c r="AP627" s="21"/>
      <c r="AQ627" s="21">
        <v>5</v>
      </c>
      <c r="AR627" s="21"/>
      <c r="AS627" s="21"/>
      <c r="AT627" s="12" t="str">
        <f>HYPERLINK("http://www.openstreetmap.org/?mlat=33.2441&amp;mlon=44.4354&amp;zoom=12#map=12/33.2441/44.4354","Maplink1")</f>
        <v>Maplink1</v>
      </c>
      <c r="AU627" s="12" t="str">
        <f>HYPERLINK("https://www.google.iq/maps/search/+33.2441,44.4354/@33.2441,44.4354,14z?hl=en","Maplink2")</f>
        <v>Maplink2</v>
      </c>
      <c r="AV627" s="12" t="str">
        <f>HYPERLINK("http://www.bing.com/maps/?lvl=14&amp;sty=h&amp;cp=33.2441~44.4354&amp;sp=point.33.2441_44.4354","Maplink3")</f>
        <v>Maplink3</v>
      </c>
    </row>
    <row r="628" spans="1:48" ht="15" customHeight="1" x14ac:dyDescent="0.25">
      <c r="A628" s="19">
        <v>23733</v>
      </c>
      <c r="B628" s="20" t="s">
        <v>11</v>
      </c>
      <c r="C628" s="20" t="s">
        <v>1095</v>
      </c>
      <c r="D628" s="20" t="s">
        <v>1261</v>
      </c>
      <c r="E628" s="20" t="s">
        <v>1262</v>
      </c>
      <c r="F628" s="20">
        <v>33.202959999999997</v>
      </c>
      <c r="G628" s="20">
        <v>44.467759999999998</v>
      </c>
      <c r="H628" s="22">
        <v>25</v>
      </c>
      <c r="I628" s="22">
        <v>150</v>
      </c>
      <c r="J628" s="21">
        <v>18</v>
      </c>
      <c r="K628" s="21"/>
      <c r="L628" s="21">
        <v>5</v>
      </c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>
        <v>2</v>
      </c>
      <c r="Y628" s="21"/>
      <c r="Z628" s="21"/>
      <c r="AA628" s="21"/>
      <c r="AB628" s="21"/>
      <c r="AC628" s="21">
        <v>11</v>
      </c>
      <c r="AD628" s="21"/>
      <c r="AE628" s="21"/>
      <c r="AF628" s="21"/>
      <c r="AG628" s="21"/>
      <c r="AH628" s="21">
        <v>14</v>
      </c>
      <c r="AI628" s="21"/>
      <c r="AJ628" s="21"/>
      <c r="AK628" s="21"/>
      <c r="AL628" s="21">
        <v>12</v>
      </c>
      <c r="AM628" s="21"/>
      <c r="AN628" s="21">
        <v>2</v>
      </c>
      <c r="AO628" s="21">
        <v>7</v>
      </c>
      <c r="AP628" s="21">
        <v>2</v>
      </c>
      <c r="AQ628" s="21">
        <v>2</v>
      </c>
      <c r="AR628" s="21"/>
      <c r="AS628" s="21"/>
      <c r="AT628" s="12" t="str">
        <f>HYPERLINK("http://www.openstreetmap.org/?mlat=33.203&amp;mlon=44.4678&amp;zoom=12#map=12/33.203/44.4678","Maplink1")</f>
        <v>Maplink1</v>
      </c>
      <c r="AU628" s="12" t="str">
        <f>HYPERLINK("https://www.google.iq/maps/search/+33.203,44.4678/@33.203,44.4678,14z?hl=en","Maplink2")</f>
        <v>Maplink2</v>
      </c>
      <c r="AV628" s="12" t="str">
        <f>HYPERLINK("http://www.bing.com/maps/?lvl=14&amp;sty=h&amp;cp=33.203~44.4678&amp;sp=point.33.203_44.4678","Maplink3")</f>
        <v>Maplink3</v>
      </c>
    </row>
    <row r="629" spans="1:48" ht="15" customHeight="1" x14ac:dyDescent="0.25">
      <c r="A629" s="19">
        <v>24078</v>
      </c>
      <c r="B629" s="20" t="s">
        <v>11</v>
      </c>
      <c r="C629" s="20" t="s">
        <v>1095</v>
      </c>
      <c r="D629" s="20" t="s">
        <v>1263</v>
      </c>
      <c r="E629" s="20" t="s">
        <v>1264</v>
      </c>
      <c r="F629" s="20">
        <v>33.243802989999999</v>
      </c>
      <c r="G629" s="20">
        <v>44.403864249999998</v>
      </c>
      <c r="H629" s="22">
        <v>4</v>
      </c>
      <c r="I629" s="22">
        <v>24</v>
      </c>
      <c r="J629" s="21"/>
      <c r="K629" s="21"/>
      <c r="L629" s="21"/>
      <c r="M629" s="21"/>
      <c r="N629" s="21"/>
      <c r="O629" s="21">
        <v>2</v>
      </c>
      <c r="P629" s="21"/>
      <c r="Q629" s="21"/>
      <c r="R629" s="21"/>
      <c r="S629" s="21"/>
      <c r="T629" s="21"/>
      <c r="U629" s="21"/>
      <c r="V629" s="21">
        <v>2</v>
      </c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>
        <v>4</v>
      </c>
      <c r="AI629" s="21"/>
      <c r="AJ629" s="21"/>
      <c r="AK629" s="21"/>
      <c r="AL629" s="21"/>
      <c r="AM629" s="21">
        <v>2</v>
      </c>
      <c r="AN629" s="21"/>
      <c r="AO629" s="21"/>
      <c r="AP629" s="21"/>
      <c r="AQ629" s="21"/>
      <c r="AR629" s="21">
        <v>2</v>
      </c>
      <c r="AS629" s="21"/>
      <c r="AT629" s="12" t="str">
        <f>HYPERLINK("http://www.openstreetmap.org/?mlat=33.2438&amp;mlon=44.4039&amp;zoom=12#map=12/33.2438/44.4039","Maplink1")</f>
        <v>Maplink1</v>
      </c>
      <c r="AU629" s="12" t="str">
        <f>HYPERLINK("https://www.google.iq/maps/search/+33.2438,44.4039/@33.2438,44.4039,14z?hl=en","Maplink2")</f>
        <v>Maplink2</v>
      </c>
      <c r="AV629" s="12" t="str">
        <f>HYPERLINK("http://www.bing.com/maps/?lvl=14&amp;sty=h&amp;cp=33.2438~44.4039&amp;sp=point.33.2438_44.4039","Maplink3")</f>
        <v>Maplink3</v>
      </c>
    </row>
    <row r="630" spans="1:48" ht="15" customHeight="1" x14ac:dyDescent="0.25">
      <c r="A630" s="19">
        <v>26039</v>
      </c>
      <c r="B630" s="20" t="s">
        <v>11</v>
      </c>
      <c r="C630" s="20" t="s">
        <v>1095</v>
      </c>
      <c r="D630" s="20" t="s">
        <v>1265</v>
      </c>
      <c r="E630" s="20" t="s">
        <v>1266</v>
      </c>
      <c r="F630" s="20">
        <v>33.299549519999999</v>
      </c>
      <c r="G630" s="20">
        <v>44.323505650000001</v>
      </c>
      <c r="H630" s="22">
        <v>36</v>
      </c>
      <c r="I630" s="22">
        <v>216</v>
      </c>
      <c r="J630" s="21">
        <v>31</v>
      </c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>
        <v>3</v>
      </c>
      <c r="W630" s="21"/>
      <c r="X630" s="21">
        <v>2</v>
      </c>
      <c r="Y630" s="21"/>
      <c r="Z630" s="21"/>
      <c r="AA630" s="21"/>
      <c r="AB630" s="21"/>
      <c r="AC630" s="21">
        <v>17</v>
      </c>
      <c r="AD630" s="21"/>
      <c r="AE630" s="21"/>
      <c r="AF630" s="21"/>
      <c r="AG630" s="21"/>
      <c r="AH630" s="21">
        <v>19</v>
      </c>
      <c r="AI630" s="21"/>
      <c r="AJ630" s="21"/>
      <c r="AK630" s="21"/>
      <c r="AL630" s="21"/>
      <c r="AM630" s="21"/>
      <c r="AN630" s="21">
        <v>25</v>
      </c>
      <c r="AO630" s="21">
        <v>6</v>
      </c>
      <c r="AP630" s="21">
        <v>3</v>
      </c>
      <c r="AQ630" s="21"/>
      <c r="AR630" s="21">
        <v>2</v>
      </c>
      <c r="AS630" s="21"/>
      <c r="AT630" s="12" t="str">
        <f>HYPERLINK("http://www.openstreetmap.org/?mlat=33.2995&amp;mlon=44.3235&amp;zoom=12#map=12/33.2995/44.3235","Maplink1")</f>
        <v>Maplink1</v>
      </c>
      <c r="AU630" s="12" t="str">
        <f>HYPERLINK("https://www.google.iq/maps/search/+33.2995,44.3235/@33.2995,44.3235,14z?hl=en","Maplink2")</f>
        <v>Maplink2</v>
      </c>
      <c r="AV630" s="12" t="str">
        <f>HYPERLINK("http://www.bing.com/maps/?lvl=14&amp;sty=h&amp;cp=33.2995~44.3235&amp;sp=point.33.2995_44.3235","Maplink3")</f>
        <v>Maplink3</v>
      </c>
    </row>
    <row r="631" spans="1:48" ht="15" customHeight="1" x14ac:dyDescent="0.25">
      <c r="A631" s="19">
        <v>26038</v>
      </c>
      <c r="B631" s="20" t="s">
        <v>11</v>
      </c>
      <c r="C631" s="20" t="s">
        <v>1095</v>
      </c>
      <c r="D631" s="20" t="s">
        <v>1267</v>
      </c>
      <c r="E631" s="20" t="s">
        <v>1268</v>
      </c>
      <c r="F631" s="20">
        <v>33.307083849999998</v>
      </c>
      <c r="G631" s="20">
        <v>44.323500529999997</v>
      </c>
      <c r="H631" s="22">
        <v>38</v>
      </c>
      <c r="I631" s="22">
        <v>228</v>
      </c>
      <c r="J631" s="21">
        <v>32</v>
      </c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>
        <v>3</v>
      </c>
      <c r="W631" s="21"/>
      <c r="X631" s="21">
        <v>3</v>
      </c>
      <c r="Y631" s="21"/>
      <c r="Z631" s="21"/>
      <c r="AA631" s="21"/>
      <c r="AB631" s="21"/>
      <c r="AC631" s="21">
        <v>15</v>
      </c>
      <c r="AD631" s="21"/>
      <c r="AE631" s="21"/>
      <c r="AF631" s="21"/>
      <c r="AG631" s="21"/>
      <c r="AH631" s="21">
        <v>23</v>
      </c>
      <c r="AI631" s="21"/>
      <c r="AJ631" s="21"/>
      <c r="AK631" s="21"/>
      <c r="AL631" s="21"/>
      <c r="AM631" s="21">
        <v>32</v>
      </c>
      <c r="AN631" s="21"/>
      <c r="AO631" s="21">
        <v>1</v>
      </c>
      <c r="AP631" s="21">
        <v>3</v>
      </c>
      <c r="AQ631" s="21"/>
      <c r="AR631" s="21">
        <v>2</v>
      </c>
      <c r="AS631" s="21"/>
      <c r="AT631" s="12" t="str">
        <f>HYPERLINK("http://www.openstreetmap.org/?mlat=33.3071&amp;mlon=44.3235&amp;zoom=12#map=12/33.3071/44.3235","Maplink1")</f>
        <v>Maplink1</v>
      </c>
      <c r="AU631" s="12" t="str">
        <f>HYPERLINK("https://www.google.iq/maps/search/+33.3071,44.3235/@33.3071,44.3235,14z?hl=en","Maplink2")</f>
        <v>Maplink2</v>
      </c>
      <c r="AV631" s="12" t="str">
        <f>HYPERLINK("http://www.bing.com/maps/?lvl=14&amp;sty=h&amp;cp=33.3071~44.3235&amp;sp=point.33.3071_44.3235","Maplink3")</f>
        <v>Maplink3</v>
      </c>
    </row>
    <row r="632" spans="1:48" ht="15" customHeight="1" x14ac:dyDescent="0.25">
      <c r="A632" s="19">
        <v>24066</v>
      </c>
      <c r="B632" s="20" t="s">
        <v>11</v>
      </c>
      <c r="C632" s="20" t="s">
        <v>1095</v>
      </c>
      <c r="D632" s="20" t="s">
        <v>1269</v>
      </c>
      <c r="E632" s="20" t="s">
        <v>1270</v>
      </c>
      <c r="F632" s="20">
        <v>33.338728809099997</v>
      </c>
      <c r="G632" s="20">
        <v>44.321165542499998</v>
      </c>
      <c r="H632" s="22">
        <v>27</v>
      </c>
      <c r="I632" s="22">
        <v>162</v>
      </c>
      <c r="J632" s="21">
        <v>8</v>
      </c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>
        <v>13</v>
      </c>
      <c r="W632" s="21"/>
      <c r="X632" s="21">
        <v>6</v>
      </c>
      <c r="Y632" s="21"/>
      <c r="Z632" s="21"/>
      <c r="AA632" s="21"/>
      <c r="AB632" s="21"/>
      <c r="AC632" s="21">
        <v>12</v>
      </c>
      <c r="AD632" s="21"/>
      <c r="AE632" s="21"/>
      <c r="AF632" s="21"/>
      <c r="AG632" s="21"/>
      <c r="AH632" s="21">
        <v>15</v>
      </c>
      <c r="AI632" s="21"/>
      <c r="AJ632" s="21"/>
      <c r="AK632" s="21"/>
      <c r="AL632" s="21">
        <v>2</v>
      </c>
      <c r="AM632" s="21">
        <v>12</v>
      </c>
      <c r="AN632" s="21">
        <v>9</v>
      </c>
      <c r="AO632" s="21">
        <v>2</v>
      </c>
      <c r="AP632" s="21">
        <v>2</v>
      </c>
      <c r="AQ632" s="21"/>
      <c r="AR632" s="21"/>
      <c r="AS632" s="21"/>
      <c r="AT632" s="12" t="str">
        <f>HYPERLINK("http://www.openstreetmap.org/?mlat=33.3387&amp;mlon=44.3212&amp;zoom=12#map=12/33.3387/44.3212","Maplink1")</f>
        <v>Maplink1</v>
      </c>
      <c r="AU632" s="12" t="str">
        <f>HYPERLINK("https://www.google.iq/maps/search/+33.3387,44.3212/@33.3387,44.3212,14z?hl=en","Maplink2")</f>
        <v>Maplink2</v>
      </c>
      <c r="AV632" s="12" t="str">
        <f>HYPERLINK("http://www.bing.com/maps/?lvl=14&amp;sty=h&amp;cp=33.3387~44.3212&amp;sp=point.33.3387_44.3212","Maplink3")</f>
        <v>Maplink3</v>
      </c>
    </row>
    <row r="633" spans="1:48" ht="15" customHeight="1" x14ac:dyDescent="0.25">
      <c r="A633" s="19">
        <v>24067</v>
      </c>
      <c r="B633" s="20" t="s">
        <v>11</v>
      </c>
      <c r="C633" s="20" t="s">
        <v>1095</v>
      </c>
      <c r="D633" s="20" t="s">
        <v>1271</v>
      </c>
      <c r="E633" s="20" t="s">
        <v>1272</v>
      </c>
      <c r="F633" s="20">
        <v>33.331852079999997</v>
      </c>
      <c r="G633" s="20">
        <v>44.324131270000002</v>
      </c>
      <c r="H633" s="22">
        <v>22</v>
      </c>
      <c r="I633" s="22">
        <v>132</v>
      </c>
      <c r="J633" s="21">
        <v>10</v>
      </c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>
        <v>12</v>
      </c>
      <c r="W633" s="21"/>
      <c r="X633" s="21"/>
      <c r="Y633" s="21"/>
      <c r="Z633" s="21"/>
      <c r="AA633" s="21"/>
      <c r="AB633" s="21"/>
      <c r="AC633" s="21">
        <v>10</v>
      </c>
      <c r="AD633" s="21"/>
      <c r="AE633" s="21"/>
      <c r="AF633" s="21"/>
      <c r="AG633" s="21"/>
      <c r="AH633" s="21">
        <v>12</v>
      </c>
      <c r="AI633" s="21"/>
      <c r="AJ633" s="21"/>
      <c r="AK633" s="21"/>
      <c r="AL633" s="21">
        <v>10</v>
      </c>
      <c r="AM633" s="21"/>
      <c r="AN633" s="21"/>
      <c r="AO633" s="21">
        <v>8</v>
      </c>
      <c r="AP633" s="21">
        <v>4</v>
      </c>
      <c r="AQ633" s="21"/>
      <c r="AR633" s="21"/>
      <c r="AS633" s="21"/>
      <c r="AT633" s="12" t="str">
        <f>HYPERLINK("http://www.openstreetmap.org/?mlat=33.3319&amp;mlon=44.3241&amp;zoom=12#map=12/33.3319/44.3241","Maplink1")</f>
        <v>Maplink1</v>
      </c>
      <c r="AU633" s="12" t="str">
        <f>HYPERLINK("https://www.google.iq/maps/search/+33.3319,44.3241/@33.3319,44.3241,14z?hl=en","Maplink2")</f>
        <v>Maplink2</v>
      </c>
      <c r="AV633" s="12" t="str">
        <f>HYPERLINK("http://www.bing.com/maps/?lvl=14&amp;sty=h&amp;cp=33.3319~44.3241&amp;sp=point.33.3319_44.3241","Maplink3")</f>
        <v>Maplink3</v>
      </c>
    </row>
    <row r="634" spans="1:48" ht="15" customHeight="1" x14ac:dyDescent="0.25">
      <c r="A634" s="19">
        <v>23506</v>
      </c>
      <c r="B634" s="20" t="s">
        <v>11</v>
      </c>
      <c r="C634" s="20" t="s">
        <v>1095</v>
      </c>
      <c r="D634" s="20" t="s">
        <v>1273</v>
      </c>
      <c r="E634" s="20" t="s">
        <v>1274</v>
      </c>
      <c r="F634" s="20">
        <v>33.272770950000002</v>
      </c>
      <c r="G634" s="20">
        <v>44.338573150000002</v>
      </c>
      <c r="H634" s="22">
        <v>5</v>
      </c>
      <c r="I634" s="22">
        <v>30</v>
      </c>
      <c r="J634" s="21">
        <v>2</v>
      </c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>
        <v>3</v>
      </c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>
        <v>5</v>
      </c>
      <c r="AI634" s="21"/>
      <c r="AJ634" s="21"/>
      <c r="AK634" s="21"/>
      <c r="AL634" s="21">
        <v>1</v>
      </c>
      <c r="AM634" s="21">
        <v>4</v>
      </c>
      <c r="AN634" s="21"/>
      <c r="AO634" s="21"/>
      <c r="AP634" s="21"/>
      <c r="AQ634" s="21"/>
      <c r="AR634" s="21"/>
      <c r="AS634" s="21"/>
      <c r="AT634" s="12" t="str">
        <f>HYPERLINK("http://www.openstreetmap.org/?mlat=33.2728&amp;mlon=44.3386&amp;zoom=12#map=12/33.2728/44.3386","Maplink1")</f>
        <v>Maplink1</v>
      </c>
      <c r="AU634" s="12" t="str">
        <f>HYPERLINK("https://www.google.iq/maps/search/+33.2728,44.3386/@33.2728,44.3386,14z?hl=en","Maplink2")</f>
        <v>Maplink2</v>
      </c>
      <c r="AV634" s="12" t="str">
        <f>HYPERLINK("http://www.bing.com/maps/?lvl=14&amp;sty=h&amp;cp=33.2728~44.3386&amp;sp=point.33.2728_44.3386","Maplink3")</f>
        <v>Maplink3</v>
      </c>
    </row>
    <row r="635" spans="1:48" ht="15" customHeight="1" x14ac:dyDescent="0.25">
      <c r="A635" s="19">
        <v>23507</v>
      </c>
      <c r="B635" s="20" t="s">
        <v>11</v>
      </c>
      <c r="C635" s="20" t="s">
        <v>1095</v>
      </c>
      <c r="D635" s="20" t="s">
        <v>1275</v>
      </c>
      <c r="E635" s="20" t="s">
        <v>1276</v>
      </c>
      <c r="F635" s="20">
        <v>33.272199999999998</v>
      </c>
      <c r="G635" s="20">
        <v>44.328400000000002</v>
      </c>
      <c r="H635" s="22">
        <v>4</v>
      </c>
      <c r="I635" s="22">
        <v>24</v>
      </c>
      <c r="J635" s="21">
        <v>2</v>
      </c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>
        <v>2</v>
      </c>
      <c r="W635" s="21"/>
      <c r="X635" s="21"/>
      <c r="Y635" s="21"/>
      <c r="Z635" s="21"/>
      <c r="AA635" s="21"/>
      <c r="AB635" s="21"/>
      <c r="AC635" s="21">
        <v>2</v>
      </c>
      <c r="AD635" s="21"/>
      <c r="AE635" s="21"/>
      <c r="AF635" s="21"/>
      <c r="AG635" s="21"/>
      <c r="AH635" s="21">
        <v>2</v>
      </c>
      <c r="AI635" s="21"/>
      <c r="AJ635" s="21"/>
      <c r="AK635" s="21"/>
      <c r="AL635" s="21"/>
      <c r="AM635" s="21">
        <v>4</v>
      </c>
      <c r="AN635" s="21"/>
      <c r="AO635" s="21"/>
      <c r="AP635" s="21"/>
      <c r="AQ635" s="21"/>
      <c r="AR635" s="21"/>
      <c r="AS635" s="21"/>
      <c r="AT635" s="12" t="str">
        <f>HYPERLINK("http://www.openstreetmap.org/?mlat=33.2722&amp;mlon=44.3284&amp;zoom=12#map=12/33.2722/44.3284","Maplink1")</f>
        <v>Maplink1</v>
      </c>
      <c r="AU635" s="12" t="str">
        <f>HYPERLINK("https://www.google.iq/maps/search/+33.2722,44.3284/@33.2722,44.3284,14z?hl=en","Maplink2")</f>
        <v>Maplink2</v>
      </c>
      <c r="AV635" s="12" t="str">
        <f>HYPERLINK("http://www.bing.com/maps/?lvl=14&amp;sty=h&amp;cp=33.2722~44.3284&amp;sp=point.33.2722_44.3284","Maplink3")</f>
        <v>Maplink3</v>
      </c>
    </row>
    <row r="636" spans="1:48" ht="15" customHeight="1" x14ac:dyDescent="0.25">
      <c r="A636" s="19">
        <v>23324</v>
      </c>
      <c r="B636" s="20" t="s">
        <v>11</v>
      </c>
      <c r="C636" s="20" t="s">
        <v>1095</v>
      </c>
      <c r="D636" s="20" t="s">
        <v>1277</v>
      </c>
      <c r="E636" s="20" t="s">
        <v>1278</v>
      </c>
      <c r="F636" s="20">
        <v>33.28671147</v>
      </c>
      <c r="G636" s="20">
        <v>44.318992010000002</v>
      </c>
      <c r="H636" s="22">
        <v>4</v>
      </c>
      <c r="I636" s="22">
        <v>24</v>
      </c>
      <c r="J636" s="21"/>
      <c r="K636" s="21">
        <v>1</v>
      </c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>
        <v>2</v>
      </c>
      <c r="W636" s="21"/>
      <c r="X636" s="21">
        <v>1</v>
      </c>
      <c r="Y636" s="21"/>
      <c r="Z636" s="21"/>
      <c r="AA636" s="21"/>
      <c r="AB636" s="21"/>
      <c r="AC636" s="21">
        <v>2</v>
      </c>
      <c r="AD636" s="21"/>
      <c r="AE636" s="21"/>
      <c r="AF636" s="21"/>
      <c r="AG636" s="21"/>
      <c r="AH636" s="21">
        <v>2</v>
      </c>
      <c r="AI636" s="21"/>
      <c r="AJ636" s="21"/>
      <c r="AK636" s="21"/>
      <c r="AL636" s="21"/>
      <c r="AM636" s="21">
        <v>4</v>
      </c>
      <c r="AN636" s="21"/>
      <c r="AO636" s="21"/>
      <c r="AP636" s="21"/>
      <c r="AQ636" s="21"/>
      <c r="AR636" s="21"/>
      <c r="AS636" s="21"/>
      <c r="AT636" s="12" t="str">
        <f>HYPERLINK("http://www.openstreetmap.org/?mlat=33.2867&amp;mlon=44.319&amp;zoom=12#map=12/33.2867/44.319","Maplink1")</f>
        <v>Maplink1</v>
      </c>
      <c r="AU636" s="12" t="str">
        <f>HYPERLINK("https://www.google.iq/maps/search/+33.2867,44.319/@33.2867,44.319,14z?hl=en","Maplink2")</f>
        <v>Maplink2</v>
      </c>
      <c r="AV636" s="12" t="str">
        <f>HYPERLINK("http://www.bing.com/maps/?lvl=14&amp;sty=h&amp;cp=33.2867~44.319&amp;sp=point.33.2867_44.319","Maplink3")</f>
        <v>Maplink3</v>
      </c>
    </row>
    <row r="637" spans="1:48" ht="15" customHeight="1" x14ac:dyDescent="0.25">
      <c r="A637" s="19">
        <v>23284</v>
      </c>
      <c r="B637" s="20" t="s">
        <v>11</v>
      </c>
      <c r="C637" s="20" t="s">
        <v>1095</v>
      </c>
      <c r="D637" s="20" t="s">
        <v>1279</v>
      </c>
      <c r="E637" s="20" t="s">
        <v>1280</v>
      </c>
      <c r="F637" s="20">
        <v>33.287148187699998</v>
      </c>
      <c r="G637" s="20">
        <v>44.323935881600001</v>
      </c>
      <c r="H637" s="22">
        <v>4</v>
      </c>
      <c r="I637" s="22">
        <v>24</v>
      </c>
      <c r="J637" s="21"/>
      <c r="K637" s="21"/>
      <c r="L637" s="21"/>
      <c r="M637" s="21"/>
      <c r="N637" s="21"/>
      <c r="O637" s="21">
        <v>2</v>
      </c>
      <c r="P637" s="21"/>
      <c r="Q637" s="21"/>
      <c r="R637" s="21"/>
      <c r="S637" s="21"/>
      <c r="T637" s="21"/>
      <c r="U637" s="21"/>
      <c r="V637" s="21">
        <v>2</v>
      </c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>
        <v>4</v>
      </c>
      <c r="AI637" s="21"/>
      <c r="AJ637" s="21"/>
      <c r="AK637" s="21"/>
      <c r="AL637" s="21"/>
      <c r="AM637" s="21">
        <v>2</v>
      </c>
      <c r="AN637" s="21"/>
      <c r="AO637" s="21">
        <v>2</v>
      </c>
      <c r="AP637" s="21"/>
      <c r="AQ637" s="21"/>
      <c r="AR637" s="21"/>
      <c r="AS637" s="21"/>
      <c r="AT637" s="12" t="str">
        <f>HYPERLINK("http://www.openstreetmap.org/?mlat=33.2871&amp;mlon=44.3239&amp;zoom=12#map=12/33.2871/44.3239","Maplink1")</f>
        <v>Maplink1</v>
      </c>
      <c r="AU637" s="12" t="str">
        <f>HYPERLINK("https://www.google.iq/maps/search/+33.2871,44.3239/@33.2871,44.3239,14z?hl=en","Maplink2")</f>
        <v>Maplink2</v>
      </c>
      <c r="AV637" s="12" t="str">
        <f>HYPERLINK("http://www.bing.com/maps/?lvl=14&amp;sty=h&amp;cp=33.2871~44.3239&amp;sp=point.33.2871_44.3239","Maplink3")</f>
        <v>Maplink3</v>
      </c>
    </row>
    <row r="638" spans="1:48" ht="15" customHeight="1" x14ac:dyDescent="0.25">
      <c r="A638" s="19">
        <v>25203</v>
      </c>
      <c r="B638" s="20" t="s">
        <v>11</v>
      </c>
      <c r="C638" s="20" t="s">
        <v>1095</v>
      </c>
      <c r="D638" s="20" t="s">
        <v>1281</v>
      </c>
      <c r="E638" s="20" t="s">
        <v>1282</v>
      </c>
      <c r="F638" s="20">
        <v>33.275195840000002</v>
      </c>
      <c r="G638" s="20">
        <v>44.319220389999998</v>
      </c>
      <c r="H638" s="22">
        <v>4</v>
      </c>
      <c r="I638" s="22">
        <v>24</v>
      </c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>
        <v>4</v>
      </c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>
        <v>4</v>
      </c>
      <c r="AI638" s="21"/>
      <c r="AJ638" s="21"/>
      <c r="AK638" s="21"/>
      <c r="AL638" s="21"/>
      <c r="AM638" s="21">
        <v>4</v>
      </c>
      <c r="AN638" s="21"/>
      <c r="AO638" s="21"/>
      <c r="AP638" s="21"/>
      <c r="AQ638" s="21"/>
      <c r="AR638" s="21"/>
      <c r="AS638" s="21"/>
      <c r="AT638" s="12" t="str">
        <f>HYPERLINK("http://www.openstreetmap.org/?mlat=33.2752&amp;mlon=44.3192&amp;zoom=12#map=12/33.2752/44.3192","Maplink1")</f>
        <v>Maplink1</v>
      </c>
      <c r="AU638" s="12" t="str">
        <f>HYPERLINK("https://www.google.iq/maps/search/+33.2752,44.3192/@33.2752,44.3192,14z?hl=en","Maplink2")</f>
        <v>Maplink2</v>
      </c>
      <c r="AV638" s="12" t="str">
        <f>HYPERLINK("http://www.bing.com/maps/?lvl=14&amp;sty=h&amp;cp=33.2752~44.3192&amp;sp=point.33.2752_44.3192","Maplink3")</f>
        <v>Maplink3</v>
      </c>
    </row>
    <row r="639" spans="1:48" ht="15" customHeight="1" x14ac:dyDescent="0.25">
      <c r="A639" s="19">
        <v>25204</v>
      </c>
      <c r="B639" s="20" t="s">
        <v>11</v>
      </c>
      <c r="C639" s="20" t="s">
        <v>1095</v>
      </c>
      <c r="D639" s="20" t="s">
        <v>1283</v>
      </c>
      <c r="E639" s="20" t="s">
        <v>1284</v>
      </c>
      <c r="F639" s="20">
        <v>33.277265989999997</v>
      </c>
      <c r="G639" s="20">
        <v>44.331322749999998</v>
      </c>
      <c r="H639" s="22">
        <v>4</v>
      </c>
      <c r="I639" s="22">
        <v>24</v>
      </c>
      <c r="J639" s="21">
        <v>1</v>
      </c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>
        <v>2</v>
      </c>
      <c r="W639" s="21"/>
      <c r="X639" s="21">
        <v>1</v>
      </c>
      <c r="Y639" s="21"/>
      <c r="Z639" s="21"/>
      <c r="AA639" s="21"/>
      <c r="AB639" s="21"/>
      <c r="AC639" s="21"/>
      <c r="AD639" s="21"/>
      <c r="AE639" s="21"/>
      <c r="AF639" s="21"/>
      <c r="AG639" s="21"/>
      <c r="AH639" s="21">
        <v>4</v>
      </c>
      <c r="AI639" s="21"/>
      <c r="AJ639" s="21"/>
      <c r="AK639" s="21"/>
      <c r="AL639" s="21"/>
      <c r="AM639" s="21"/>
      <c r="AN639" s="21">
        <v>3</v>
      </c>
      <c r="AO639" s="21">
        <v>1</v>
      </c>
      <c r="AP639" s="21"/>
      <c r="AQ639" s="21"/>
      <c r="AR639" s="21"/>
      <c r="AS639" s="21"/>
      <c r="AT639" s="12" t="str">
        <f>HYPERLINK("http://www.openstreetmap.org/?mlat=33.2773&amp;mlon=44.3313&amp;zoom=12#map=12/33.2773/44.3313","Maplink1")</f>
        <v>Maplink1</v>
      </c>
      <c r="AU639" s="12" t="str">
        <f>HYPERLINK("https://www.google.iq/maps/search/+33.2773,44.3313/@33.2773,44.3313,14z?hl=en","Maplink2")</f>
        <v>Maplink2</v>
      </c>
      <c r="AV639" s="12" t="str">
        <f>HYPERLINK("http://www.bing.com/maps/?lvl=14&amp;sty=h&amp;cp=33.2773~44.3313&amp;sp=point.33.2773_44.3313","Maplink3")</f>
        <v>Maplink3</v>
      </c>
    </row>
    <row r="640" spans="1:48" ht="15" customHeight="1" x14ac:dyDescent="0.25">
      <c r="A640" s="19">
        <v>23285</v>
      </c>
      <c r="B640" s="20" t="s">
        <v>11</v>
      </c>
      <c r="C640" s="20" t="s">
        <v>1095</v>
      </c>
      <c r="D640" s="20" t="s">
        <v>1285</v>
      </c>
      <c r="E640" s="20" t="s">
        <v>1286</v>
      </c>
      <c r="F640" s="20">
        <v>33.274122069999997</v>
      </c>
      <c r="G640" s="20">
        <v>44.328075429999998</v>
      </c>
      <c r="H640" s="22">
        <v>4</v>
      </c>
      <c r="I640" s="22">
        <v>24</v>
      </c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>
        <v>4</v>
      </c>
      <c r="W640" s="21"/>
      <c r="X640" s="21"/>
      <c r="Y640" s="21"/>
      <c r="Z640" s="21"/>
      <c r="AA640" s="21"/>
      <c r="AB640" s="21"/>
      <c r="AC640" s="21">
        <v>2</v>
      </c>
      <c r="AD640" s="21"/>
      <c r="AE640" s="21"/>
      <c r="AF640" s="21"/>
      <c r="AG640" s="21"/>
      <c r="AH640" s="21">
        <v>2</v>
      </c>
      <c r="AI640" s="21"/>
      <c r="AJ640" s="21"/>
      <c r="AK640" s="21"/>
      <c r="AL640" s="21"/>
      <c r="AM640" s="21">
        <v>4</v>
      </c>
      <c r="AN640" s="21"/>
      <c r="AO640" s="21"/>
      <c r="AP640" s="21"/>
      <c r="AQ640" s="21"/>
      <c r="AR640" s="21"/>
      <c r="AS640" s="21"/>
      <c r="AT640" s="12" t="str">
        <f>HYPERLINK("http://www.openstreetmap.org/?mlat=33.2741&amp;mlon=44.3281&amp;zoom=12#map=12/33.2741/44.3281","Maplink1")</f>
        <v>Maplink1</v>
      </c>
      <c r="AU640" s="12" t="str">
        <f>HYPERLINK("https://www.google.iq/maps/search/+33.2741,44.3281/@33.2741,44.3281,14z?hl=en","Maplink2")</f>
        <v>Maplink2</v>
      </c>
      <c r="AV640" s="12" t="str">
        <f>HYPERLINK("http://www.bing.com/maps/?lvl=14&amp;sty=h&amp;cp=33.2741~44.3281&amp;sp=point.33.2741_44.3281","Maplink3")</f>
        <v>Maplink3</v>
      </c>
    </row>
    <row r="641" spans="1:48" ht="15" customHeight="1" x14ac:dyDescent="0.25">
      <c r="A641" s="19">
        <v>25205</v>
      </c>
      <c r="B641" s="20" t="s">
        <v>11</v>
      </c>
      <c r="C641" s="20" t="s">
        <v>1095</v>
      </c>
      <c r="D641" s="20" t="s">
        <v>1287</v>
      </c>
      <c r="E641" s="20" t="s">
        <v>1288</v>
      </c>
      <c r="F641" s="20">
        <v>33.271382473199999</v>
      </c>
      <c r="G641" s="20">
        <v>44.335352011499999</v>
      </c>
      <c r="H641" s="22">
        <v>3</v>
      </c>
      <c r="I641" s="22">
        <v>18</v>
      </c>
      <c r="J641" s="21">
        <v>1</v>
      </c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>
        <v>2</v>
      </c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>
        <v>3</v>
      </c>
      <c r="AI641" s="21"/>
      <c r="AJ641" s="21"/>
      <c r="AK641" s="21"/>
      <c r="AL641" s="21"/>
      <c r="AM641" s="21"/>
      <c r="AN641" s="21"/>
      <c r="AO641" s="21">
        <v>2</v>
      </c>
      <c r="AP641" s="21">
        <v>1</v>
      </c>
      <c r="AQ641" s="21"/>
      <c r="AR641" s="21"/>
      <c r="AS641" s="21"/>
      <c r="AT641" s="12" t="str">
        <f>HYPERLINK("http://www.openstreetmap.org/?mlat=33.2714&amp;mlon=44.3354&amp;zoom=12#map=12/33.2714/44.3354","Maplink1")</f>
        <v>Maplink1</v>
      </c>
      <c r="AU641" s="12" t="str">
        <f>HYPERLINK("https://www.google.iq/maps/search/+33.2714,44.3354/@33.2714,44.3354,14z?hl=en","Maplink2")</f>
        <v>Maplink2</v>
      </c>
      <c r="AV641" s="12" t="str">
        <f>HYPERLINK("http://www.bing.com/maps/?lvl=14&amp;sty=h&amp;cp=33.2714~44.3354&amp;sp=point.33.2714_44.3354","Maplink3")</f>
        <v>Maplink3</v>
      </c>
    </row>
    <row r="642" spans="1:48" ht="15" customHeight="1" x14ac:dyDescent="0.25">
      <c r="A642" s="19">
        <v>7640</v>
      </c>
      <c r="B642" s="20" t="s">
        <v>11</v>
      </c>
      <c r="C642" s="20" t="s">
        <v>1095</v>
      </c>
      <c r="D642" s="20" t="s">
        <v>1289</v>
      </c>
      <c r="E642" s="20" t="s">
        <v>1290</v>
      </c>
      <c r="F642" s="20">
        <v>33.252363420000002</v>
      </c>
      <c r="G642" s="20">
        <v>44.423019619999998</v>
      </c>
      <c r="H642" s="22">
        <v>48</v>
      </c>
      <c r="I642" s="22">
        <v>288</v>
      </c>
      <c r="J642" s="21">
        <v>29</v>
      </c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>
        <v>13</v>
      </c>
      <c r="W642" s="21"/>
      <c r="X642" s="21">
        <v>6</v>
      </c>
      <c r="Y642" s="21"/>
      <c r="Z642" s="21"/>
      <c r="AA642" s="21"/>
      <c r="AB642" s="21"/>
      <c r="AC642" s="21">
        <v>27</v>
      </c>
      <c r="AD642" s="21"/>
      <c r="AE642" s="21"/>
      <c r="AF642" s="21"/>
      <c r="AG642" s="21"/>
      <c r="AH642" s="21">
        <v>21</v>
      </c>
      <c r="AI642" s="21"/>
      <c r="AJ642" s="21"/>
      <c r="AK642" s="21"/>
      <c r="AL642" s="21">
        <v>8</v>
      </c>
      <c r="AM642" s="21">
        <v>15</v>
      </c>
      <c r="AN642" s="21"/>
      <c r="AO642" s="21">
        <v>4</v>
      </c>
      <c r="AP642" s="21">
        <v>8</v>
      </c>
      <c r="AQ642" s="21">
        <v>3</v>
      </c>
      <c r="AR642" s="21">
        <v>10</v>
      </c>
      <c r="AS642" s="21"/>
      <c r="AT642" s="12" t="str">
        <f>HYPERLINK("http://www.openstreetmap.org/?mlat=33.2524&amp;mlon=44.423&amp;zoom=12#map=12/33.2524/44.423","Maplink1")</f>
        <v>Maplink1</v>
      </c>
      <c r="AU642" s="12" t="str">
        <f>HYPERLINK("https://www.google.iq/maps/search/+33.2524,44.423/@33.2524,44.423,14z?hl=en","Maplink2")</f>
        <v>Maplink2</v>
      </c>
      <c r="AV642" s="12" t="str">
        <f>HYPERLINK("http://www.bing.com/maps/?lvl=14&amp;sty=h&amp;cp=33.2524~44.423&amp;sp=point.33.2524_44.423","Maplink3")</f>
        <v>Maplink3</v>
      </c>
    </row>
    <row r="643" spans="1:48" ht="15" customHeight="1" x14ac:dyDescent="0.25">
      <c r="A643" s="19">
        <v>27412</v>
      </c>
      <c r="B643" s="20" t="s">
        <v>11</v>
      </c>
      <c r="C643" s="20" t="s">
        <v>1095</v>
      </c>
      <c r="D643" s="20" t="s">
        <v>1291</v>
      </c>
      <c r="E643" s="20" t="s">
        <v>1292</v>
      </c>
      <c r="F643" s="20">
        <v>33.258295799999999</v>
      </c>
      <c r="G643" s="20">
        <v>44.296453790000001</v>
      </c>
      <c r="H643" s="22">
        <v>28</v>
      </c>
      <c r="I643" s="22">
        <v>168</v>
      </c>
      <c r="J643" s="21">
        <v>11</v>
      </c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>
        <v>11</v>
      </c>
      <c r="W643" s="21"/>
      <c r="X643" s="21">
        <v>6</v>
      </c>
      <c r="Y643" s="21"/>
      <c r="Z643" s="21"/>
      <c r="AA643" s="21"/>
      <c r="AB643" s="21"/>
      <c r="AC643" s="21">
        <v>7</v>
      </c>
      <c r="AD643" s="21"/>
      <c r="AE643" s="21"/>
      <c r="AF643" s="21"/>
      <c r="AG643" s="21"/>
      <c r="AH643" s="21">
        <v>21</v>
      </c>
      <c r="AI643" s="21"/>
      <c r="AJ643" s="21"/>
      <c r="AK643" s="21"/>
      <c r="AL643" s="21"/>
      <c r="AM643" s="21"/>
      <c r="AN643" s="21">
        <v>12</v>
      </c>
      <c r="AO643" s="21">
        <v>10</v>
      </c>
      <c r="AP643" s="21">
        <v>6</v>
      </c>
      <c r="AQ643" s="21"/>
      <c r="AR643" s="21"/>
      <c r="AS643" s="21"/>
      <c r="AT643" s="12" t="str">
        <f>HYPERLINK("http://www.openstreetmap.org/?mlat=33.2583&amp;mlon=44.2965&amp;zoom=12#map=12/33.2583/44.2965","Maplink1")</f>
        <v>Maplink1</v>
      </c>
      <c r="AU643" s="12" t="str">
        <f>HYPERLINK("https://www.google.iq/maps/search/+33.2583,44.2965/@33.2583,44.2965,14z?hl=en","Maplink2")</f>
        <v>Maplink2</v>
      </c>
      <c r="AV643" s="12" t="str">
        <f>HYPERLINK("http://www.bing.com/maps/?lvl=14&amp;sty=h&amp;cp=33.2583~44.2965&amp;sp=point.33.2583_44.2965","Maplink3")</f>
        <v>Maplink3</v>
      </c>
    </row>
    <row r="644" spans="1:48" ht="15" customHeight="1" x14ac:dyDescent="0.25">
      <c r="A644" s="19">
        <v>26100</v>
      </c>
      <c r="B644" s="20" t="s">
        <v>11</v>
      </c>
      <c r="C644" s="20" t="s">
        <v>1095</v>
      </c>
      <c r="D644" s="20" t="s">
        <v>1293</v>
      </c>
      <c r="E644" s="20" t="s">
        <v>1294</v>
      </c>
      <c r="F644" s="20">
        <v>33.281741910100003</v>
      </c>
      <c r="G644" s="20">
        <v>44.2980171918</v>
      </c>
      <c r="H644" s="22">
        <v>32</v>
      </c>
      <c r="I644" s="22">
        <v>192</v>
      </c>
      <c r="J644" s="21">
        <v>17</v>
      </c>
      <c r="K644" s="21"/>
      <c r="L644" s="21"/>
      <c r="M644" s="21"/>
      <c r="N644" s="21"/>
      <c r="O644" s="21">
        <v>3</v>
      </c>
      <c r="P644" s="21"/>
      <c r="Q644" s="21"/>
      <c r="R644" s="21"/>
      <c r="S644" s="21"/>
      <c r="T644" s="21"/>
      <c r="U644" s="21"/>
      <c r="V644" s="21">
        <v>12</v>
      </c>
      <c r="W644" s="21"/>
      <c r="X644" s="21"/>
      <c r="Y644" s="21"/>
      <c r="Z644" s="21"/>
      <c r="AA644" s="21"/>
      <c r="AB644" s="21"/>
      <c r="AC644" s="21">
        <v>11</v>
      </c>
      <c r="AD644" s="21"/>
      <c r="AE644" s="21"/>
      <c r="AF644" s="21"/>
      <c r="AG644" s="21"/>
      <c r="AH644" s="21">
        <v>21</v>
      </c>
      <c r="AI644" s="21"/>
      <c r="AJ644" s="21"/>
      <c r="AK644" s="21"/>
      <c r="AL644" s="21">
        <v>14</v>
      </c>
      <c r="AM644" s="21"/>
      <c r="AN644" s="21">
        <v>11</v>
      </c>
      <c r="AO644" s="21"/>
      <c r="AP644" s="21">
        <v>5</v>
      </c>
      <c r="AQ644" s="21">
        <v>2</v>
      </c>
      <c r="AR644" s="21"/>
      <c r="AS644" s="21"/>
      <c r="AT644" s="12" t="str">
        <f>HYPERLINK("http://www.openstreetmap.org/?mlat=33.2817&amp;mlon=44.298&amp;zoom=12#map=12/33.2817/44.298","Maplink1")</f>
        <v>Maplink1</v>
      </c>
      <c r="AU644" s="12" t="str">
        <f>HYPERLINK("https://www.google.iq/maps/search/+33.2817,44.298/@33.2817,44.298,14z?hl=en","Maplink2")</f>
        <v>Maplink2</v>
      </c>
      <c r="AV644" s="12" t="str">
        <f>HYPERLINK("http://www.bing.com/maps/?lvl=14&amp;sty=h&amp;cp=33.2817~44.298&amp;sp=point.33.2817_44.298","Maplink3")</f>
        <v>Maplink3</v>
      </c>
    </row>
    <row r="645" spans="1:48" ht="15" customHeight="1" x14ac:dyDescent="0.25">
      <c r="A645" s="19">
        <v>21989</v>
      </c>
      <c r="B645" s="20" t="s">
        <v>11</v>
      </c>
      <c r="C645" s="20" t="s">
        <v>1095</v>
      </c>
      <c r="D645" s="20" t="s">
        <v>1295</v>
      </c>
      <c r="E645" s="20" t="s">
        <v>1296</v>
      </c>
      <c r="F645" s="20">
        <v>33.272623079100001</v>
      </c>
      <c r="G645" s="20">
        <v>44.316827655899999</v>
      </c>
      <c r="H645" s="22">
        <v>29</v>
      </c>
      <c r="I645" s="22">
        <v>174</v>
      </c>
      <c r="J645" s="21">
        <v>12</v>
      </c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>
        <v>9</v>
      </c>
      <c r="W645" s="21"/>
      <c r="X645" s="21">
        <v>8</v>
      </c>
      <c r="Y645" s="21"/>
      <c r="Z645" s="21"/>
      <c r="AA645" s="21"/>
      <c r="AB645" s="21"/>
      <c r="AC645" s="21">
        <v>12</v>
      </c>
      <c r="AD645" s="21"/>
      <c r="AE645" s="21"/>
      <c r="AF645" s="21"/>
      <c r="AG645" s="21"/>
      <c r="AH645" s="21">
        <v>17</v>
      </c>
      <c r="AI645" s="21"/>
      <c r="AJ645" s="21"/>
      <c r="AK645" s="21"/>
      <c r="AL645" s="21">
        <v>5</v>
      </c>
      <c r="AM645" s="21"/>
      <c r="AN645" s="21">
        <v>9</v>
      </c>
      <c r="AO645" s="21">
        <v>9</v>
      </c>
      <c r="AP645" s="21">
        <v>4</v>
      </c>
      <c r="AQ645" s="21"/>
      <c r="AR645" s="21">
        <v>2</v>
      </c>
      <c r="AS645" s="21"/>
      <c r="AT645" s="12" t="str">
        <f>HYPERLINK("http://www.openstreetmap.org/?mlat=33.2726&amp;mlon=44.3168&amp;zoom=12#map=12/33.2726/44.3168","Maplink1")</f>
        <v>Maplink1</v>
      </c>
      <c r="AU645" s="12" t="str">
        <f>HYPERLINK("https://www.google.iq/maps/search/+33.2726,44.3168/@33.2726,44.3168,14z?hl=en","Maplink2")</f>
        <v>Maplink2</v>
      </c>
      <c r="AV645" s="12" t="str">
        <f>HYPERLINK("http://www.bing.com/maps/?lvl=14&amp;sty=h&amp;cp=33.2726~44.3168&amp;sp=point.33.2726_44.3168","Maplink3")</f>
        <v>Maplink3</v>
      </c>
    </row>
    <row r="646" spans="1:48" ht="15" customHeight="1" x14ac:dyDescent="0.25">
      <c r="A646" s="19">
        <v>26101</v>
      </c>
      <c r="B646" s="20" t="s">
        <v>11</v>
      </c>
      <c r="C646" s="20" t="s">
        <v>1095</v>
      </c>
      <c r="D646" s="20" t="s">
        <v>1297</v>
      </c>
      <c r="E646" s="20" t="s">
        <v>1298</v>
      </c>
      <c r="F646" s="20">
        <v>33.280839173099999</v>
      </c>
      <c r="G646" s="20">
        <v>44.293480883599997</v>
      </c>
      <c r="H646" s="22">
        <v>30</v>
      </c>
      <c r="I646" s="22">
        <v>180</v>
      </c>
      <c r="J646" s="21">
        <v>17</v>
      </c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>
        <v>11</v>
      </c>
      <c r="W646" s="21"/>
      <c r="X646" s="21">
        <v>2</v>
      </c>
      <c r="Y646" s="21"/>
      <c r="Z646" s="21"/>
      <c r="AA646" s="21"/>
      <c r="AB646" s="21"/>
      <c r="AC646" s="21">
        <v>4</v>
      </c>
      <c r="AD646" s="21"/>
      <c r="AE646" s="21"/>
      <c r="AF646" s="21"/>
      <c r="AG646" s="21"/>
      <c r="AH646" s="21">
        <v>26</v>
      </c>
      <c r="AI646" s="21"/>
      <c r="AJ646" s="21"/>
      <c r="AK646" s="21"/>
      <c r="AL646" s="21">
        <v>3</v>
      </c>
      <c r="AM646" s="21"/>
      <c r="AN646" s="21">
        <v>11</v>
      </c>
      <c r="AO646" s="21">
        <v>6</v>
      </c>
      <c r="AP646" s="21">
        <v>6</v>
      </c>
      <c r="AQ646" s="21">
        <v>4</v>
      </c>
      <c r="AR646" s="21"/>
      <c r="AS646" s="21"/>
      <c r="AT646" s="12" t="str">
        <f>HYPERLINK("http://www.openstreetmap.org/?mlat=33.2808&amp;mlon=44.2935&amp;zoom=12#map=12/33.2808/44.2935","Maplink1")</f>
        <v>Maplink1</v>
      </c>
      <c r="AU646" s="12" t="str">
        <f>HYPERLINK("https://www.google.iq/maps/search/+33.2808,44.2935/@33.2808,44.2935,14z?hl=en","Maplink2")</f>
        <v>Maplink2</v>
      </c>
      <c r="AV646" s="12" t="str">
        <f>HYPERLINK("http://www.bing.com/maps/?lvl=14&amp;sty=h&amp;cp=33.2808~44.2935&amp;sp=point.33.2808_44.2935","Maplink3")</f>
        <v>Maplink3</v>
      </c>
    </row>
    <row r="647" spans="1:48" ht="15" customHeight="1" x14ac:dyDescent="0.25">
      <c r="A647" s="19">
        <v>27411</v>
      </c>
      <c r="B647" s="20" t="s">
        <v>11</v>
      </c>
      <c r="C647" s="20" t="s">
        <v>1095</v>
      </c>
      <c r="D647" s="20" t="s">
        <v>1299</v>
      </c>
      <c r="E647" s="20" t="s">
        <v>1300</v>
      </c>
      <c r="F647" s="20">
        <v>33.262203934699997</v>
      </c>
      <c r="G647" s="20">
        <v>44.294010615700003</v>
      </c>
      <c r="H647" s="22">
        <v>26</v>
      </c>
      <c r="I647" s="22">
        <v>156</v>
      </c>
      <c r="J647" s="21">
        <v>7</v>
      </c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>
        <v>11</v>
      </c>
      <c r="W647" s="21"/>
      <c r="X647" s="21">
        <v>8</v>
      </c>
      <c r="Y647" s="21"/>
      <c r="Z647" s="21"/>
      <c r="AA647" s="21"/>
      <c r="AB647" s="21"/>
      <c r="AC647" s="21">
        <v>12</v>
      </c>
      <c r="AD647" s="21"/>
      <c r="AE647" s="21"/>
      <c r="AF647" s="21"/>
      <c r="AG647" s="21"/>
      <c r="AH647" s="21">
        <v>14</v>
      </c>
      <c r="AI647" s="21"/>
      <c r="AJ647" s="21"/>
      <c r="AK647" s="21"/>
      <c r="AL647" s="21"/>
      <c r="AM647" s="21"/>
      <c r="AN647" s="21">
        <v>10</v>
      </c>
      <c r="AO647" s="21">
        <v>7</v>
      </c>
      <c r="AP647" s="21">
        <v>5</v>
      </c>
      <c r="AQ647" s="21"/>
      <c r="AR647" s="21">
        <v>4</v>
      </c>
      <c r="AS647" s="21"/>
      <c r="AT647" s="12" t="str">
        <f>HYPERLINK("http://www.openstreetmap.org/?mlat=33.2622&amp;mlon=44.294&amp;zoom=12#map=12/33.2622/44.294","Maplink1")</f>
        <v>Maplink1</v>
      </c>
      <c r="AU647" s="12" t="str">
        <f>HYPERLINK("https://www.google.iq/maps/search/+33.2622,44.294/@33.2622,44.294,14z?hl=en","Maplink2")</f>
        <v>Maplink2</v>
      </c>
      <c r="AV647" s="12" t="str">
        <f>HYPERLINK("http://www.bing.com/maps/?lvl=14&amp;sty=h&amp;cp=33.2622~44.294&amp;sp=point.33.2622_44.294","Maplink3")</f>
        <v>Maplink3</v>
      </c>
    </row>
    <row r="648" spans="1:48" ht="15" customHeight="1" x14ac:dyDescent="0.25">
      <c r="A648" s="19">
        <v>7583</v>
      </c>
      <c r="B648" s="20" t="s">
        <v>11</v>
      </c>
      <c r="C648" s="20" t="s">
        <v>1095</v>
      </c>
      <c r="D648" s="20" t="s">
        <v>1301</v>
      </c>
      <c r="E648" s="20" t="s">
        <v>1302</v>
      </c>
      <c r="F648" s="20">
        <v>33.192003190000001</v>
      </c>
      <c r="G648" s="20">
        <v>44.413719999999998</v>
      </c>
      <c r="H648" s="22">
        <v>29</v>
      </c>
      <c r="I648" s="22">
        <v>174</v>
      </c>
      <c r="J648" s="21">
        <v>27</v>
      </c>
      <c r="K648" s="21"/>
      <c r="L648" s="21">
        <v>2</v>
      </c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>
        <v>5</v>
      </c>
      <c r="AD648" s="21"/>
      <c r="AE648" s="21"/>
      <c r="AF648" s="21"/>
      <c r="AG648" s="21"/>
      <c r="AH648" s="21">
        <v>24</v>
      </c>
      <c r="AI648" s="21"/>
      <c r="AJ648" s="21"/>
      <c r="AK648" s="21"/>
      <c r="AL648" s="21"/>
      <c r="AM648" s="21">
        <v>17</v>
      </c>
      <c r="AN648" s="21"/>
      <c r="AO648" s="21">
        <v>3</v>
      </c>
      <c r="AP648" s="21"/>
      <c r="AQ648" s="21">
        <v>9</v>
      </c>
      <c r="AR648" s="21"/>
      <c r="AS648" s="21"/>
      <c r="AT648" s="12" t="str">
        <f>HYPERLINK("http://www.openstreetmap.org/?mlat=33.192&amp;mlon=44.4137&amp;zoom=12#map=12/33.192/44.4137","Maplink1")</f>
        <v>Maplink1</v>
      </c>
      <c r="AU648" s="12" t="str">
        <f>HYPERLINK("https://www.google.iq/maps/search/+33.192,44.4137/@33.192,44.4137,14z?hl=en","Maplink2")</f>
        <v>Maplink2</v>
      </c>
      <c r="AV648" s="12" t="str">
        <f>HYPERLINK("http://www.bing.com/maps/?lvl=14&amp;sty=h&amp;cp=33.192~44.4137&amp;sp=point.33.192_44.4137","Maplink3")</f>
        <v>Maplink3</v>
      </c>
    </row>
    <row r="649" spans="1:48" ht="15" customHeight="1" x14ac:dyDescent="0.25">
      <c r="A649" s="19">
        <v>24069</v>
      </c>
      <c r="B649" s="20" t="s">
        <v>11</v>
      </c>
      <c r="C649" s="20" t="s">
        <v>1095</v>
      </c>
      <c r="D649" s="20" t="s">
        <v>1303</v>
      </c>
      <c r="E649" s="20" t="s">
        <v>1304</v>
      </c>
      <c r="F649" s="20">
        <v>33.336689999999997</v>
      </c>
      <c r="G649" s="20">
        <v>44.376950000000001</v>
      </c>
      <c r="H649" s="22">
        <v>2</v>
      </c>
      <c r="I649" s="22">
        <v>12</v>
      </c>
      <c r="J649" s="21">
        <v>2</v>
      </c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>
        <v>2</v>
      </c>
      <c r="AI649" s="21"/>
      <c r="AJ649" s="21"/>
      <c r="AK649" s="21"/>
      <c r="AL649" s="21"/>
      <c r="AM649" s="21"/>
      <c r="AN649" s="21"/>
      <c r="AO649" s="21">
        <v>2</v>
      </c>
      <c r="AP649" s="21"/>
      <c r="AQ649" s="21"/>
      <c r="AR649" s="21"/>
      <c r="AS649" s="21"/>
      <c r="AT649" s="12" t="str">
        <f>HYPERLINK("http://www.openstreetmap.org/?mlat=33.3367&amp;mlon=44.377&amp;zoom=12#map=12/33.3367/44.377","Maplink1")</f>
        <v>Maplink1</v>
      </c>
      <c r="AU649" s="12" t="str">
        <f>HYPERLINK("https://www.google.iq/maps/search/+33.3367,44.377/@33.3367,44.377,14z?hl=en","Maplink2")</f>
        <v>Maplink2</v>
      </c>
      <c r="AV649" s="12" t="str">
        <f>HYPERLINK("http://www.bing.com/maps/?lvl=14&amp;sty=h&amp;cp=33.3367~44.377&amp;sp=point.33.3367_44.377","Maplink3")</f>
        <v>Maplink3</v>
      </c>
    </row>
    <row r="650" spans="1:48" ht="15" customHeight="1" x14ac:dyDescent="0.25">
      <c r="A650" s="19">
        <v>27193</v>
      </c>
      <c r="B650" s="20" t="s">
        <v>11</v>
      </c>
      <c r="C650" s="20" t="s">
        <v>1095</v>
      </c>
      <c r="D650" s="20" t="s">
        <v>1305</v>
      </c>
      <c r="E650" s="20" t="s">
        <v>1306</v>
      </c>
      <c r="F650" s="20">
        <v>33.344835993899999</v>
      </c>
      <c r="G650" s="20">
        <v>44.3655353885</v>
      </c>
      <c r="H650" s="22">
        <v>15</v>
      </c>
      <c r="I650" s="22">
        <v>90</v>
      </c>
      <c r="J650" s="21">
        <v>5</v>
      </c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>
        <v>7</v>
      </c>
      <c r="W650" s="21"/>
      <c r="X650" s="21">
        <v>3</v>
      </c>
      <c r="Y650" s="21"/>
      <c r="Z650" s="21"/>
      <c r="AA650" s="21"/>
      <c r="AB650" s="21"/>
      <c r="AC650" s="21">
        <v>3</v>
      </c>
      <c r="AD650" s="21"/>
      <c r="AE650" s="21"/>
      <c r="AF650" s="21"/>
      <c r="AG650" s="21"/>
      <c r="AH650" s="21">
        <v>12</v>
      </c>
      <c r="AI650" s="21"/>
      <c r="AJ650" s="21"/>
      <c r="AK650" s="21"/>
      <c r="AL650" s="21">
        <v>2</v>
      </c>
      <c r="AM650" s="21">
        <v>5</v>
      </c>
      <c r="AN650" s="21">
        <v>3</v>
      </c>
      <c r="AO650" s="21">
        <v>3</v>
      </c>
      <c r="AP650" s="21">
        <v>2</v>
      </c>
      <c r="AQ650" s="21"/>
      <c r="AR650" s="21"/>
      <c r="AS650" s="21"/>
      <c r="AT650" s="12" t="str">
        <f>HYPERLINK("http://www.openstreetmap.org/?mlat=33.3448&amp;mlon=44.3655&amp;zoom=12#map=12/33.3448/44.3655","Maplink1")</f>
        <v>Maplink1</v>
      </c>
      <c r="AU650" s="12" t="str">
        <f>HYPERLINK("https://www.google.iq/maps/search/+33.3448,44.3655/@33.3448,44.3655,14z?hl=en","Maplink2")</f>
        <v>Maplink2</v>
      </c>
      <c r="AV650" s="12" t="str">
        <f>HYPERLINK("http://www.bing.com/maps/?lvl=14&amp;sty=h&amp;cp=33.3448~44.3655&amp;sp=point.33.3448_44.3655","Maplink3")</f>
        <v>Maplink3</v>
      </c>
    </row>
    <row r="651" spans="1:48" ht="15" customHeight="1" x14ac:dyDescent="0.25">
      <c r="A651" s="19">
        <v>25991</v>
      </c>
      <c r="B651" s="20" t="s">
        <v>11</v>
      </c>
      <c r="C651" s="20" t="s">
        <v>1095</v>
      </c>
      <c r="D651" s="20" t="s">
        <v>1307</v>
      </c>
      <c r="E651" s="20" t="s">
        <v>1308</v>
      </c>
      <c r="F651" s="20">
        <v>33.337699299999997</v>
      </c>
      <c r="G651" s="20">
        <v>44.372665859999998</v>
      </c>
      <c r="H651" s="22">
        <v>10</v>
      </c>
      <c r="I651" s="22">
        <v>60</v>
      </c>
      <c r="J651" s="21">
        <v>4</v>
      </c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>
        <v>6</v>
      </c>
      <c r="W651" s="21"/>
      <c r="X651" s="21"/>
      <c r="Y651" s="21"/>
      <c r="Z651" s="21"/>
      <c r="AA651" s="21"/>
      <c r="AB651" s="21"/>
      <c r="AC651" s="21">
        <v>2</v>
      </c>
      <c r="AD651" s="21"/>
      <c r="AE651" s="21"/>
      <c r="AF651" s="21"/>
      <c r="AG651" s="21"/>
      <c r="AH651" s="21">
        <v>8</v>
      </c>
      <c r="AI651" s="21"/>
      <c r="AJ651" s="21"/>
      <c r="AK651" s="21"/>
      <c r="AL651" s="21"/>
      <c r="AM651" s="21">
        <v>7</v>
      </c>
      <c r="AN651" s="21"/>
      <c r="AO651" s="21">
        <v>1</v>
      </c>
      <c r="AP651" s="21">
        <v>2</v>
      </c>
      <c r="AQ651" s="21"/>
      <c r="AR651" s="21"/>
      <c r="AS651" s="21"/>
      <c r="AT651" s="12" t="str">
        <f>HYPERLINK("http://www.openstreetmap.org/?mlat=33.3377&amp;mlon=44.3727&amp;zoom=12#map=12/33.3377/44.3727","Maplink1")</f>
        <v>Maplink1</v>
      </c>
      <c r="AU651" s="12" t="str">
        <f>HYPERLINK("https://www.google.iq/maps/search/+33.3377,44.3727/@33.3377,44.3727,14z?hl=en","Maplink2")</f>
        <v>Maplink2</v>
      </c>
      <c r="AV651" s="12" t="str">
        <f>HYPERLINK("http://www.bing.com/maps/?lvl=14&amp;sty=h&amp;cp=33.3377~44.3727&amp;sp=point.33.3377_44.3727","Maplink3")</f>
        <v>Maplink3</v>
      </c>
    </row>
    <row r="652" spans="1:48" ht="15" customHeight="1" x14ac:dyDescent="0.25">
      <c r="A652" s="19">
        <v>21784</v>
      </c>
      <c r="B652" s="20" t="s">
        <v>11</v>
      </c>
      <c r="C652" s="20" t="s">
        <v>1095</v>
      </c>
      <c r="D652" s="20" t="s">
        <v>1309</v>
      </c>
      <c r="E652" s="20" t="s">
        <v>1310</v>
      </c>
      <c r="F652" s="20">
        <v>33.334112349999998</v>
      </c>
      <c r="G652" s="20">
        <v>44.375800900000002</v>
      </c>
      <c r="H652" s="22">
        <v>16</v>
      </c>
      <c r="I652" s="22">
        <v>96</v>
      </c>
      <c r="J652" s="21">
        <v>8</v>
      </c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>
        <v>6</v>
      </c>
      <c r="W652" s="21"/>
      <c r="X652" s="21">
        <v>2</v>
      </c>
      <c r="Y652" s="21"/>
      <c r="Z652" s="21"/>
      <c r="AA652" s="21"/>
      <c r="AB652" s="21"/>
      <c r="AC652" s="21">
        <v>4</v>
      </c>
      <c r="AD652" s="21"/>
      <c r="AE652" s="21"/>
      <c r="AF652" s="21"/>
      <c r="AG652" s="21"/>
      <c r="AH652" s="21">
        <v>12</v>
      </c>
      <c r="AI652" s="21"/>
      <c r="AJ652" s="21"/>
      <c r="AK652" s="21"/>
      <c r="AL652" s="21">
        <v>4</v>
      </c>
      <c r="AM652" s="21">
        <v>5</v>
      </c>
      <c r="AN652" s="21">
        <v>3</v>
      </c>
      <c r="AO652" s="21">
        <v>2</v>
      </c>
      <c r="AP652" s="21">
        <v>2</v>
      </c>
      <c r="AQ652" s="21"/>
      <c r="AR652" s="21"/>
      <c r="AS652" s="21"/>
      <c r="AT652" s="12" t="str">
        <f>HYPERLINK("http://www.openstreetmap.org/?mlat=33.3341&amp;mlon=44.3758&amp;zoom=12#map=12/33.3341/44.3758","Maplink1")</f>
        <v>Maplink1</v>
      </c>
      <c r="AU652" s="12" t="str">
        <f>HYPERLINK("https://www.google.iq/maps/search/+33.3341,44.3758/@33.3341,44.3758,14z?hl=en","Maplink2")</f>
        <v>Maplink2</v>
      </c>
      <c r="AV652" s="12" t="str">
        <f>HYPERLINK("http://www.bing.com/maps/?lvl=14&amp;sty=h&amp;cp=33.3341~44.3758&amp;sp=point.33.3341_44.3758","Maplink3")</f>
        <v>Maplink3</v>
      </c>
    </row>
    <row r="653" spans="1:48" ht="15" customHeight="1" x14ac:dyDescent="0.25">
      <c r="A653" s="19">
        <v>27194</v>
      </c>
      <c r="B653" s="20" t="s">
        <v>11</v>
      </c>
      <c r="C653" s="20" t="s">
        <v>1095</v>
      </c>
      <c r="D653" s="20" t="s">
        <v>1311</v>
      </c>
      <c r="E653" s="20" t="s">
        <v>1312</v>
      </c>
      <c r="F653" s="20">
        <v>33.33317993</v>
      </c>
      <c r="G653" s="20">
        <v>44.378134799999998</v>
      </c>
      <c r="H653" s="22">
        <v>25</v>
      </c>
      <c r="I653" s="22">
        <v>150</v>
      </c>
      <c r="J653" s="21">
        <v>5</v>
      </c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>
        <v>10</v>
      </c>
      <c r="W653" s="21"/>
      <c r="X653" s="21">
        <v>10</v>
      </c>
      <c r="Y653" s="21"/>
      <c r="Z653" s="21"/>
      <c r="AA653" s="21"/>
      <c r="AB653" s="21"/>
      <c r="AC653" s="21">
        <v>8</v>
      </c>
      <c r="AD653" s="21"/>
      <c r="AE653" s="21"/>
      <c r="AF653" s="21"/>
      <c r="AG653" s="21"/>
      <c r="AH653" s="21">
        <v>17</v>
      </c>
      <c r="AI653" s="21"/>
      <c r="AJ653" s="21"/>
      <c r="AK653" s="21"/>
      <c r="AL653" s="21"/>
      <c r="AM653" s="21">
        <v>6</v>
      </c>
      <c r="AN653" s="21">
        <v>5</v>
      </c>
      <c r="AO653" s="21">
        <v>7</v>
      </c>
      <c r="AP653" s="21">
        <v>7</v>
      </c>
      <c r="AQ653" s="21"/>
      <c r="AR653" s="21"/>
      <c r="AS653" s="21"/>
      <c r="AT653" s="12" t="str">
        <f>HYPERLINK("http://www.openstreetmap.org/?mlat=33.3332&amp;mlon=44.3781&amp;zoom=12#map=12/33.3332/44.3781","Maplink1")</f>
        <v>Maplink1</v>
      </c>
      <c r="AU653" s="12" t="str">
        <f>HYPERLINK("https://www.google.iq/maps/search/+33.3332,44.3781/@33.3332,44.3781,14z?hl=en","Maplink2")</f>
        <v>Maplink2</v>
      </c>
      <c r="AV653" s="12" t="str">
        <f>HYPERLINK("http://www.bing.com/maps/?lvl=14&amp;sty=h&amp;cp=33.3332~44.3781&amp;sp=point.33.3332_44.3781","Maplink3")</f>
        <v>Maplink3</v>
      </c>
    </row>
    <row r="654" spans="1:48" ht="15" customHeight="1" x14ac:dyDescent="0.25">
      <c r="A654" s="19">
        <v>24075</v>
      </c>
      <c r="B654" s="20" t="s">
        <v>11</v>
      </c>
      <c r="C654" s="20" t="s">
        <v>1095</v>
      </c>
      <c r="D654" s="20" t="s">
        <v>1313</v>
      </c>
      <c r="E654" s="20" t="s">
        <v>1314</v>
      </c>
      <c r="F654" s="20">
        <v>33.250928819999999</v>
      </c>
      <c r="G654" s="20">
        <v>44.401896880000002</v>
      </c>
      <c r="H654" s="22">
        <v>55</v>
      </c>
      <c r="I654" s="22">
        <v>330</v>
      </c>
      <c r="J654" s="21">
        <v>26</v>
      </c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>
        <v>23</v>
      </c>
      <c r="W654" s="21"/>
      <c r="X654" s="21">
        <v>6</v>
      </c>
      <c r="Y654" s="21"/>
      <c r="Z654" s="21"/>
      <c r="AA654" s="21"/>
      <c r="AB654" s="21"/>
      <c r="AC654" s="21">
        <v>27</v>
      </c>
      <c r="AD654" s="21"/>
      <c r="AE654" s="21"/>
      <c r="AF654" s="21"/>
      <c r="AG654" s="21"/>
      <c r="AH654" s="21">
        <v>28</v>
      </c>
      <c r="AI654" s="21"/>
      <c r="AJ654" s="21"/>
      <c r="AK654" s="21"/>
      <c r="AL654" s="21">
        <v>14</v>
      </c>
      <c r="AM654" s="21"/>
      <c r="AN654" s="21"/>
      <c r="AO654" s="21">
        <v>18</v>
      </c>
      <c r="AP654" s="21">
        <v>13</v>
      </c>
      <c r="AQ654" s="21">
        <v>10</v>
      </c>
      <c r="AR654" s="21"/>
      <c r="AS654" s="21"/>
      <c r="AT654" s="12" t="str">
        <f>HYPERLINK("http://www.openstreetmap.org/?mlat=33.2509&amp;mlon=44.4019&amp;zoom=12#map=12/33.2509/44.4019","Maplink1")</f>
        <v>Maplink1</v>
      </c>
      <c r="AU654" s="12" t="str">
        <f>HYPERLINK("https://www.google.iq/maps/search/+33.2509,44.4019/@33.2509,44.4019,14z?hl=en","Maplink2")</f>
        <v>Maplink2</v>
      </c>
      <c r="AV654" s="12" t="str">
        <f>HYPERLINK("http://www.bing.com/maps/?lvl=14&amp;sty=h&amp;cp=33.2509~44.4019&amp;sp=point.33.2509_44.4019","Maplink3")</f>
        <v>Maplink3</v>
      </c>
    </row>
    <row r="655" spans="1:48" ht="15" customHeight="1" x14ac:dyDescent="0.25">
      <c r="A655" s="19">
        <v>24073</v>
      </c>
      <c r="B655" s="20" t="s">
        <v>11</v>
      </c>
      <c r="C655" s="20" t="s">
        <v>1095</v>
      </c>
      <c r="D655" s="20" t="s">
        <v>1315</v>
      </c>
      <c r="E655" s="20" t="s">
        <v>1316</v>
      </c>
      <c r="F655" s="20">
        <v>33.242720419999998</v>
      </c>
      <c r="G655" s="20">
        <v>44.408460869999999</v>
      </c>
      <c r="H655" s="22">
        <v>32</v>
      </c>
      <c r="I655" s="22">
        <v>192</v>
      </c>
      <c r="J655" s="21">
        <v>6</v>
      </c>
      <c r="K655" s="21">
        <v>26</v>
      </c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>
        <v>32</v>
      </c>
      <c r="AI655" s="21"/>
      <c r="AJ655" s="21"/>
      <c r="AK655" s="21"/>
      <c r="AL655" s="21"/>
      <c r="AM655" s="21">
        <v>6</v>
      </c>
      <c r="AN655" s="21"/>
      <c r="AO655" s="21">
        <v>26</v>
      </c>
      <c r="AP655" s="21"/>
      <c r="AQ655" s="21"/>
      <c r="AR655" s="21"/>
      <c r="AS655" s="21"/>
      <c r="AT655" s="12" t="str">
        <f>HYPERLINK("http://www.openstreetmap.org/?mlat=33.2427&amp;mlon=44.4085&amp;zoom=12#map=12/33.2427/44.4085","Maplink1")</f>
        <v>Maplink1</v>
      </c>
      <c r="AU655" s="12" t="str">
        <f>HYPERLINK("https://www.google.iq/maps/search/+33.2427,44.4085/@33.2427,44.4085,14z?hl=en","Maplink2")</f>
        <v>Maplink2</v>
      </c>
      <c r="AV655" s="12" t="str">
        <f>HYPERLINK("http://www.bing.com/maps/?lvl=14&amp;sty=h&amp;cp=33.2427~44.4085&amp;sp=point.33.2427_44.4085","Maplink3")</f>
        <v>Maplink3</v>
      </c>
    </row>
    <row r="656" spans="1:48" ht="15" customHeight="1" x14ac:dyDescent="0.25">
      <c r="A656" s="19">
        <v>25222</v>
      </c>
      <c r="B656" s="20" t="s">
        <v>11</v>
      </c>
      <c r="C656" s="20" t="s">
        <v>1095</v>
      </c>
      <c r="D656" s="20" t="s">
        <v>1317</v>
      </c>
      <c r="E656" s="20" t="s">
        <v>1318</v>
      </c>
      <c r="F656" s="20">
        <v>33.231226390000003</v>
      </c>
      <c r="G656" s="20">
        <v>44.304362249999997</v>
      </c>
      <c r="H656" s="22">
        <v>18</v>
      </c>
      <c r="I656" s="22">
        <v>108</v>
      </c>
      <c r="J656" s="21">
        <v>4</v>
      </c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>
        <v>11</v>
      </c>
      <c r="W656" s="21"/>
      <c r="X656" s="21">
        <v>3</v>
      </c>
      <c r="Y656" s="21"/>
      <c r="Z656" s="21"/>
      <c r="AA656" s="21"/>
      <c r="AB656" s="21"/>
      <c r="AC656" s="21">
        <v>8</v>
      </c>
      <c r="AD656" s="21"/>
      <c r="AE656" s="21"/>
      <c r="AF656" s="21"/>
      <c r="AG656" s="21"/>
      <c r="AH656" s="21">
        <v>10</v>
      </c>
      <c r="AI656" s="21"/>
      <c r="AJ656" s="21"/>
      <c r="AK656" s="21"/>
      <c r="AL656" s="21"/>
      <c r="AM656" s="21">
        <v>15</v>
      </c>
      <c r="AN656" s="21"/>
      <c r="AO656" s="21">
        <v>3</v>
      </c>
      <c r="AP656" s="21"/>
      <c r="AQ656" s="21"/>
      <c r="AR656" s="21"/>
      <c r="AS656" s="21"/>
      <c r="AT656" s="12" t="str">
        <f>HYPERLINK("http://www.openstreetmap.org/?mlat=33.2312&amp;mlon=44.3044&amp;zoom=12#map=12/33.2312/44.3044","Maplink1")</f>
        <v>Maplink1</v>
      </c>
      <c r="AU656" s="12" t="str">
        <f>HYPERLINK("https://www.google.iq/maps/search/+33.2312,44.3044/@33.2312,44.3044,14z?hl=en","Maplink2")</f>
        <v>Maplink2</v>
      </c>
      <c r="AV656" s="12" t="str">
        <f>HYPERLINK("http://www.bing.com/maps/?lvl=14&amp;sty=h&amp;cp=33.2312~44.3044&amp;sp=point.33.2312_44.3044","Maplink3")</f>
        <v>Maplink3</v>
      </c>
    </row>
    <row r="657" spans="1:48" ht="15" customHeight="1" x14ac:dyDescent="0.25">
      <c r="A657" s="19">
        <v>7410</v>
      </c>
      <c r="B657" s="20" t="s">
        <v>11</v>
      </c>
      <c r="C657" s="20" t="s">
        <v>1095</v>
      </c>
      <c r="D657" s="20" t="s">
        <v>1319</v>
      </c>
      <c r="E657" s="20" t="s">
        <v>1320</v>
      </c>
      <c r="F657" s="20">
        <v>33.199698230000003</v>
      </c>
      <c r="G657" s="20">
        <v>44.385174739999997</v>
      </c>
      <c r="H657" s="22">
        <v>33</v>
      </c>
      <c r="I657" s="22">
        <v>198</v>
      </c>
      <c r="J657" s="21">
        <v>25</v>
      </c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>
        <v>8</v>
      </c>
      <c r="W657" s="21"/>
      <c r="X657" s="21"/>
      <c r="Y657" s="21"/>
      <c r="Z657" s="21"/>
      <c r="AA657" s="21"/>
      <c r="AB657" s="21"/>
      <c r="AC657" s="21">
        <v>10</v>
      </c>
      <c r="AD657" s="21"/>
      <c r="AE657" s="21"/>
      <c r="AF657" s="21"/>
      <c r="AG657" s="21"/>
      <c r="AH657" s="21">
        <v>23</v>
      </c>
      <c r="AI657" s="21"/>
      <c r="AJ657" s="21"/>
      <c r="AK657" s="21"/>
      <c r="AL657" s="21"/>
      <c r="AM657" s="21">
        <v>15</v>
      </c>
      <c r="AN657" s="21"/>
      <c r="AO657" s="21">
        <v>3</v>
      </c>
      <c r="AP657" s="21">
        <v>7</v>
      </c>
      <c r="AQ657" s="21">
        <v>8</v>
      </c>
      <c r="AR657" s="21"/>
      <c r="AS657" s="21"/>
      <c r="AT657" s="12" t="str">
        <f>HYPERLINK("http://www.openstreetmap.org/?mlat=33.1997&amp;mlon=44.3852&amp;zoom=12#map=12/33.1997/44.3852","Maplink1")</f>
        <v>Maplink1</v>
      </c>
      <c r="AU657" s="12" t="str">
        <f>HYPERLINK("https://www.google.iq/maps/search/+33.1997,44.3852/@33.1997,44.3852,14z?hl=en","Maplink2")</f>
        <v>Maplink2</v>
      </c>
      <c r="AV657" s="12" t="str">
        <f>HYPERLINK("http://www.bing.com/maps/?lvl=14&amp;sty=h&amp;cp=33.1997~44.3852&amp;sp=point.33.1997_44.3852","Maplink3")</f>
        <v>Maplink3</v>
      </c>
    </row>
    <row r="658" spans="1:48" ht="15" customHeight="1" x14ac:dyDescent="0.25">
      <c r="A658" s="19">
        <v>25005</v>
      </c>
      <c r="B658" s="20" t="s">
        <v>11</v>
      </c>
      <c r="C658" s="20" t="s">
        <v>1321</v>
      </c>
      <c r="D658" s="20" t="s">
        <v>1322</v>
      </c>
      <c r="E658" s="20" t="s">
        <v>1323</v>
      </c>
      <c r="F658" s="20">
        <v>33.313897590000003</v>
      </c>
      <c r="G658" s="20">
        <v>44.677423150000003</v>
      </c>
      <c r="H658" s="22">
        <v>2</v>
      </c>
      <c r="I658" s="22">
        <v>12</v>
      </c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>
        <v>2</v>
      </c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>
        <v>2</v>
      </c>
      <c r="AI658" s="21"/>
      <c r="AJ658" s="21"/>
      <c r="AK658" s="21"/>
      <c r="AL658" s="21"/>
      <c r="AM658" s="21">
        <v>2</v>
      </c>
      <c r="AN658" s="21"/>
      <c r="AO658" s="21"/>
      <c r="AP658" s="21"/>
      <c r="AQ658" s="21"/>
      <c r="AR658" s="21"/>
      <c r="AS658" s="21"/>
      <c r="AT658" s="12" t="str">
        <f>HYPERLINK("http://www.openstreetmap.org/?mlat=33.3139&amp;mlon=44.6774&amp;zoom=12#map=12/33.3139/44.6774","Maplink1")</f>
        <v>Maplink1</v>
      </c>
      <c r="AU658" s="12" t="str">
        <f>HYPERLINK("https://www.google.iq/maps/search/+33.3139,44.6774/@33.3139,44.6774,14z?hl=en","Maplink2")</f>
        <v>Maplink2</v>
      </c>
      <c r="AV658" s="12" t="str">
        <f>HYPERLINK("http://www.bing.com/maps/?lvl=14&amp;sty=h&amp;cp=33.3139~44.6774&amp;sp=point.33.3139_44.6774","Maplink3")</f>
        <v>Maplink3</v>
      </c>
    </row>
    <row r="659" spans="1:48" ht="15" customHeight="1" x14ac:dyDescent="0.25">
      <c r="A659" s="19">
        <v>25140</v>
      </c>
      <c r="B659" s="20" t="s">
        <v>11</v>
      </c>
      <c r="C659" s="20" t="s">
        <v>1321</v>
      </c>
      <c r="D659" s="20" t="s">
        <v>1324</v>
      </c>
      <c r="E659" s="20" t="s">
        <v>1325</v>
      </c>
      <c r="F659" s="20">
        <v>33.228662759999999</v>
      </c>
      <c r="G659" s="20">
        <v>44.597713730000002</v>
      </c>
      <c r="H659" s="22">
        <v>4</v>
      </c>
      <c r="I659" s="22">
        <v>24</v>
      </c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>
        <v>4</v>
      </c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>
        <v>4</v>
      </c>
      <c r="AI659" s="21"/>
      <c r="AJ659" s="21"/>
      <c r="AK659" s="21"/>
      <c r="AL659" s="21"/>
      <c r="AM659" s="21">
        <v>4</v>
      </c>
      <c r="AN659" s="21"/>
      <c r="AO659" s="21"/>
      <c r="AP659" s="21"/>
      <c r="AQ659" s="21"/>
      <c r="AR659" s="21"/>
      <c r="AS659" s="21"/>
      <c r="AT659" s="12" t="str">
        <f>HYPERLINK("http://www.openstreetmap.org/?mlat=33.2287&amp;mlon=44.5977&amp;zoom=12#map=12/33.2287/44.5977","Maplink1")</f>
        <v>Maplink1</v>
      </c>
      <c r="AU659" s="12" t="str">
        <f>HYPERLINK("https://www.google.iq/maps/search/+33.2287,44.5977/@33.2287,44.5977,14z?hl=en","Maplink2")</f>
        <v>Maplink2</v>
      </c>
      <c r="AV659" s="12" t="str">
        <f>HYPERLINK("http://www.bing.com/maps/?lvl=14&amp;sty=h&amp;cp=33.2287~44.5977&amp;sp=point.33.2287_44.5977","Maplink3")</f>
        <v>Maplink3</v>
      </c>
    </row>
    <row r="660" spans="1:48" ht="15" customHeight="1" x14ac:dyDescent="0.25">
      <c r="A660" s="19">
        <v>25832</v>
      </c>
      <c r="B660" s="20" t="s">
        <v>11</v>
      </c>
      <c r="C660" s="20" t="s">
        <v>1321</v>
      </c>
      <c r="D660" s="20" t="s">
        <v>1326</v>
      </c>
      <c r="E660" s="20" t="s">
        <v>1327</v>
      </c>
      <c r="F660" s="20">
        <v>33.230240506400001</v>
      </c>
      <c r="G660" s="20">
        <v>44.545086167400001</v>
      </c>
      <c r="H660" s="22">
        <v>4</v>
      </c>
      <c r="I660" s="22">
        <v>24</v>
      </c>
      <c r="J660" s="21">
        <v>2</v>
      </c>
      <c r="K660" s="21"/>
      <c r="L660" s="21"/>
      <c r="M660" s="21"/>
      <c r="N660" s="21"/>
      <c r="O660" s="21">
        <v>2</v>
      </c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>
        <v>2</v>
      </c>
      <c r="AD660" s="21"/>
      <c r="AE660" s="21"/>
      <c r="AF660" s="21"/>
      <c r="AG660" s="21"/>
      <c r="AH660" s="21">
        <v>2</v>
      </c>
      <c r="AI660" s="21"/>
      <c r="AJ660" s="21"/>
      <c r="AK660" s="21"/>
      <c r="AL660" s="21"/>
      <c r="AM660" s="21">
        <v>2</v>
      </c>
      <c r="AN660" s="21">
        <v>2</v>
      </c>
      <c r="AO660" s="21"/>
      <c r="AP660" s="21"/>
      <c r="AQ660" s="21"/>
      <c r="AR660" s="21"/>
      <c r="AS660" s="21"/>
      <c r="AT660" s="12" t="str">
        <f>HYPERLINK("http://www.openstreetmap.org/?mlat=33.2302&amp;mlon=44.5451&amp;zoom=12#map=12/33.2302/44.5451","Maplink1")</f>
        <v>Maplink1</v>
      </c>
      <c r="AU660" s="12" t="str">
        <f>HYPERLINK("https://www.google.iq/maps/search/+33.2302,44.5451/@33.2302,44.5451,14z?hl=en","Maplink2")</f>
        <v>Maplink2</v>
      </c>
      <c r="AV660" s="12" t="str">
        <f>HYPERLINK("http://www.bing.com/maps/?lvl=14&amp;sty=h&amp;cp=33.2302~44.5451&amp;sp=point.33.2302_44.5451","Maplink3")</f>
        <v>Maplink3</v>
      </c>
    </row>
    <row r="661" spans="1:48" ht="15" customHeight="1" x14ac:dyDescent="0.25">
      <c r="A661" s="19">
        <v>25011</v>
      </c>
      <c r="B661" s="20" t="s">
        <v>11</v>
      </c>
      <c r="C661" s="20" t="s">
        <v>1321</v>
      </c>
      <c r="D661" s="20" t="s">
        <v>1328</v>
      </c>
      <c r="E661" s="20" t="s">
        <v>1329</v>
      </c>
      <c r="F661" s="20">
        <v>33.216100879999999</v>
      </c>
      <c r="G661" s="20">
        <v>44.60173863</v>
      </c>
      <c r="H661" s="22">
        <v>19</v>
      </c>
      <c r="I661" s="22">
        <v>114</v>
      </c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>
        <v>19</v>
      </c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>
        <v>19</v>
      </c>
      <c r="AI661" s="21"/>
      <c r="AJ661" s="21"/>
      <c r="AK661" s="21"/>
      <c r="AL661" s="21">
        <v>4</v>
      </c>
      <c r="AM661" s="21">
        <v>12</v>
      </c>
      <c r="AN661" s="21"/>
      <c r="AO661" s="21">
        <v>3</v>
      </c>
      <c r="AP661" s="21"/>
      <c r="AQ661" s="21"/>
      <c r="AR661" s="21"/>
      <c r="AS661" s="21"/>
      <c r="AT661" s="12" t="str">
        <f>HYPERLINK("http://www.openstreetmap.org/?mlat=33.2161&amp;mlon=44.6017&amp;zoom=12#map=12/33.2161/44.6017","Maplink1")</f>
        <v>Maplink1</v>
      </c>
      <c r="AU661" s="12" t="str">
        <f>HYPERLINK("https://www.google.iq/maps/search/+33.2161,44.6017/@33.2161,44.6017,14z?hl=en","Maplink2")</f>
        <v>Maplink2</v>
      </c>
      <c r="AV661" s="12" t="str">
        <f>HYPERLINK("http://www.bing.com/maps/?lvl=14&amp;sty=h&amp;cp=33.2161~44.6017&amp;sp=point.33.2161_44.6017","Maplink3")</f>
        <v>Maplink3</v>
      </c>
    </row>
    <row r="662" spans="1:48" ht="15" customHeight="1" x14ac:dyDescent="0.25">
      <c r="A662" s="19">
        <v>25006</v>
      </c>
      <c r="B662" s="20" t="s">
        <v>11</v>
      </c>
      <c r="C662" s="20" t="s">
        <v>1321</v>
      </c>
      <c r="D662" s="20" t="s">
        <v>1330</v>
      </c>
      <c r="E662" s="20" t="s">
        <v>1331</v>
      </c>
      <c r="F662" s="20">
        <v>33.374565650000001</v>
      </c>
      <c r="G662" s="20">
        <v>44.722670989999997</v>
      </c>
      <c r="H662" s="22">
        <v>2</v>
      </c>
      <c r="I662" s="22">
        <v>12</v>
      </c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>
        <v>2</v>
      </c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>
        <v>2</v>
      </c>
      <c r="AI662" s="21"/>
      <c r="AJ662" s="21"/>
      <c r="AK662" s="21"/>
      <c r="AL662" s="21"/>
      <c r="AM662" s="21">
        <v>2</v>
      </c>
      <c r="AN662" s="21"/>
      <c r="AO662" s="21"/>
      <c r="AP662" s="21"/>
      <c r="AQ662" s="21"/>
      <c r="AR662" s="21"/>
      <c r="AS662" s="21"/>
      <c r="AT662" s="12" t="str">
        <f>HYPERLINK("http://www.openstreetmap.org/?mlat=33.3746&amp;mlon=44.7227&amp;zoom=12#map=12/33.3746/44.7227","Maplink1")</f>
        <v>Maplink1</v>
      </c>
      <c r="AU662" s="12" t="str">
        <f>HYPERLINK("https://www.google.iq/maps/search/+33.3746,44.7227/@33.3746,44.7227,14z?hl=en","Maplink2")</f>
        <v>Maplink2</v>
      </c>
      <c r="AV662" s="12" t="str">
        <f>HYPERLINK("http://www.bing.com/maps/?lvl=14&amp;sty=h&amp;cp=33.3746~44.7227&amp;sp=point.33.3746_44.7227","Maplink3")</f>
        <v>Maplink3</v>
      </c>
    </row>
    <row r="663" spans="1:48" ht="15" customHeight="1" x14ac:dyDescent="0.25">
      <c r="A663" s="19">
        <v>25834</v>
      </c>
      <c r="B663" s="20" t="s">
        <v>11</v>
      </c>
      <c r="C663" s="20" t="s">
        <v>1321</v>
      </c>
      <c r="D663" s="20" t="s">
        <v>1332</v>
      </c>
      <c r="E663" s="20" t="s">
        <v>1333</v>
      </c>
      <c r="F663" s="20">
        <v>33.233201309999998</v>
      </c>
      <c r="G663" s="20">
        <v>44.519332689999999</v>
      </c>
      <c r="H663" s="22">
        <v>3</v>
      </c>
      <c r="I663" s="22">
        <v>18</v>
      </c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>
        <v>3</v>
      </c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>
        <v>3</v>
      </c>
      <c r="AI663" s="21"/>
      <c r="AJ663" s="21"/>
      <c r="AK663" s="21"/>
      <c r="AL663" s="21"/>
      <c r="AM663" s="21">
        <v>3</v>
      </c>
      <c r="AN663" s="21"/>
      <c r="AO663" s="21"/>
      <c r="AP663" s="21"/>
      <c r="AQ663" s="21"/>
      <c r="AR663" s="21"/>
      <c r="AS663" s="21"/>
      <c r="AT663" s="12" t="str">
        <f>HYPERLINK("http://www.openstreetmap.org/?mlat=33.2332&amp;mlon=44.5193&amp;zoom=12#map=12/33.2332/44.5193","Maplink1")</f>
        <v>Maplink1</v>
      </c>
      <c r="AU663" s="12" t="str">
        <f>HYPERLINK("https://www.google.iq/maps/search/+33.2332,44.5193/@33.2332,44.5193,14z?hl=en","Maplink2")</f>
        <v>Maplink2</v>
      </c>
      <c r="AV663" s="12" t="str">
        <f>HYPERLINK("http://www.bing.com/maps/?lvl=14&amp;sty=h&amp;cp=33.2332~44.5193&amp;sp=point.33.2332_44.5193","Maplink3")</f>
        <v>Maplink3</v>
      </c>
    </row>
    <row r="664" spans="1:48" ht="15" customHeight="1" x14ac:dyDescent="0.25">
      <c r="A664" s="19">
        <v>7546</v>
      </c>
      <c r="B664" s="20" t="s">
        <v>11</v>
      </c>
      <c r="C664" s="20" t="s">
        <v>1321</v>
      </c>
      <c r="D664" s="20" t="s">
        <v>1334</v>
      </c>
      <c r="E664" s="20" t="s">
        <v>1335</v>
      </c>
      <c r="F664" s="20">
        <v>33.234527720000003</v>
      </c>
      <c r="G664" s="20">
        <v>44.525453450000001</v>
      </c>
      <c r="H664" s="22">
        <v>3</v>
      </c>
      <c r="I664" s="22">
        <v>18</v>
      </c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>
        <v>3</v>
      </c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>
        <v>3</v>
      </c>
      <c r="AI664" s="21"/>
      <c r="AJ664" s="21"/>
      <c r="AK664" s="21"/>
      <c r="AL664" s="21"/>
      <c r="AM664" s="21">
        <v>3</v>
      </c>
      <c r="AN664" s="21"/>
      <c r="AO664" s="21"/>
      <c r="AP664" s="21"/>
      <c r="AQ664" s="21"/>
      <c r="AR664" s="21"/>
      <c r="AS664" s="21"/>
      <c r="AT664" s="12" t="str">
        <f>HYPERLINK("http://www.openstreetmap.org/?mlat=33.2345&amp;mlon=44.5255&amp;zoom=12#map=12/33.2345/44.5255","Maplink1")</f>
        <v>Maplink1</v>
      </c>
      <c r="AU664" s="12" t="str">
        <f>HYPERLINK("https://www.google.iq/maps/search/+33.2345,44.5255/@33.2345,44.5255,14z?hl=en","Maplink2")</f>
        <v>Maplink2</v>
      </c>
      <c r="AV664" s="12" t="str">
        <f>HYPERLINK("http://www.bing.com/maps/?lvl=14&amp;sty=h&amp;cp=33.2345~44.5255&amp;sp=point.33.2345_44.5255","Maplink3")</f>
        <v>Maplink3</v>
      </c>
    </row>
    <row r="665" spans="1:48" ht="15" customHeight="1" x14ac:dyDescent="0.25">
      <c r="A665" s="19">
        <v>7668</v>
      </c>
      <c r="B665" s="20" t="s">
        <v>11</v>
      </c>
      <c r="C665" s="20" t="s">
        <v>1321</v>
      </c>
      <c r="D665" s="20" t="s">
        <v>1336</v>
      </c>
      <c r="E665" s="20" t="s">
        <v>1337</v>
      </c>
      <c r="F665" s="20">
        <v>33.258150336900002</v>
      </c>
      <c r="G665" s="20">
        <v>44.532432760200003</v>
      </c>
      <c r="H665" s="22">
        <v>3</v>
      </c>
      <c r="I665" s="22">
        <v>18</v>
      </c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>
        <v>3</v>
      </c>
      <c r="W665" s="21"/>
      <c r="X665" s="21"/>
      <c r="Y665" s="21"/>
      <c r="Z665" s="21"/>
      <c r="AA665" s="21"/>
      <c r="AB665" s="21"/>
      <c r="AC665" s="21">
        <v>3</v>
      </c>
      <c r="AD665" s="21"/>
      <c r="AE665" s="21"/>
      <c r="AF665" s="21"/>
      <c r="AG665" s="21"/>
      <c r="AH665" s="21"/>
      <c r="AI665" s="21"/>
      <c r="AJ665" s="21"/>
      <c r="AK665" s="21"/>
      <c r="AL665" s="21"/>
      <c r="AM665" s="21">
        <v>3</v>
      </c>
      <c r="AN665" s="21"/>
      <c r="AO665" s="21"/>
      <c r="AP665" s="21"/>
      <c r="AQ665" s="21"/>
      <c r="AR665" s="21"/>
      <c r="AS665" s="21"/>
      <c r="AT665" s="12" t="str">
        <f>HYPERLINK("http://www.openstreetmap.org/?mlat=33.2582&amp;mlon=44.5324&amp;zoom=12#map=12/33.2582/44.5324","Maplink1")</f>
        <v>Maplink1</v>
      </c>
      <c r="AU665" s="12" t="str">
        <f>HYPERLINK("https://www.google.iq/maps/search/+33.2582,44.5324/@33.2582,44.5324,14z?hl=en","Maplink2")</f>
        <v>Maplink2</v>
      </c>
      <c r="AV665" s="12" t="str">
        <f>HYPERLINK("http://www.bing.com/maps/?lvl=14&amp;sty=h&amp;cp=33.2582~44.5324&amp;sp=point.33.2582_44.5324","Maplink3")</f>
        <v>Maplink3</v>
      </c>
    </row>
    <row r="666" spans="1:48" ht="15" customHeight="1" x14ac:dyDescent="0.25">
      <c r="A666" s="19">
        <v>25833</v>
      </c>
      <c r="B666" s="20" t="s">
        <v>11</v>
      </c>
      <c r="C666" s="20" t="s">
        <v>1321</v>
      </c>
      <c r="D666" s="20" t="s">
        <v>1338</v>
      </c>
      <c r="E666" s="20" t="s">
        <v>1339</v>
      </c>
      <c r="F666" s="20">
        <v>33.220012179999998</v>
      </c>
      <c r="G666" s="20">
        <v>44.524935939999999</v>
      </c>
      <c r="H666" s="22">
        <v>2</v>
      </c>
      <c r="I666" s="22">
        <v>12</v>
      </c>
      <c r="J666" s="21"/>
      <c r="K666" s="21"/>
      <c r="L666" s="21"/>
      <c r="M666" s="21"/>
      <c r="N666" s="21"/>
      <c r="O666" s="21">
        <v>2</v>
      </c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>
        <v>2</v>
      </c>
      <c r="AD666" s="21"/>
      <c r="AE666" s="21"/>
      <c r="AF666" s="21"/>
      <c r="AG666" s="21"/>
      <c r="AH666" s="21"/>
      <c r="AI666" s="21"/>
      <c r="AJ666" s="21"/>
      <c r="AK666" s="21"/>
      <c r="AL666" s="21"/>
      <c r="AM666" s="21">
        <v>2</v>
      </c>
      <c r="AN666" s="21"/>
      <c r="AO666" s="21"/>
      <c r="AP666" s="21"/>
      <c r="AQ666" s="21"/>
      <c r="AR666" s="21"/>
      <c r="AS666" s="21"/>
      <c r="AT666" s="12" t="str">
        <f>HYPERLINK("http://www.openstreetmap.org/?mlat=33.22&amp;mlon=44.5249&amp;zoom=12#map=12/33.22/44.5249","Maplink1")</f>
        <v>Maplink1</v>
      </c>
      <c r="AU666" s="12" t="str">
        <f>HYPERLINK("https://www.google.iq/maps/search/+33.22,44.5249/@33.22,44.5249,14z?hl=en","Maplink2")</f>
        <v>Maplink2</v>
      </c>
      <c r="AV666" s="12" t="str">
        <f>HYPERLINK("http://www.bing.com/maps/?lvl=14&amp;sty=h&amp;cp=33.22~44.5249&amp;sp=point.33.22_44.5249","Maplink3")</f>
        <v>Maplink3</v>
      </c>
    </row>
    <row r="667" spans="1:48" ht="15" customHeight="1" x14ac:dyDescent="0.25">
      <c r="A667" s="19">
        <v>7547</v>
      </c>
      <c r="B667" s="20" t="s">
        <v>11</v>
      </c>
      <c r="C667" s="20" t="s">
        <v>1321</v>
      </c>
      <c r="D667" s="20" t="s">
        <v>1340</v>
      </c>
      <c r="E667" s="20" t="s">
        <v>1341</v>
      </c>
      <c r="F667" s="20">
        <v>33.186734488399999</v>
      </c>
      <c r="G667" s="20">
        <v>44.538632106900003</v>
      </c>
      <c r="H667" s="22">
        <v>2</v>
      </c>
      <c r="I667" s="22">
        <v>12</v>
      </c>
      <c r="J667" s="21"/>
      <c r="K667" s="21"/>
      <c r="L667" s="21"/>
      <c r="M667" s="21"/>
      <c r="N667" s="21"/>
      <c r="O667" s="21">
        <v>2</v>
      </c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>
        <v>2</v>
      </c>
      <c r="AI667" s="21"/>
      <c r="AJ667" s="21"/>
      <c r="AK667" s="21"/>
      <c r="AL667" s="21"/>
      <c r="AM667" s="21">
        <v>2</v>
      </c>
      <c r="AN667" s="21"/>
      <c r="AO667" s="21"/>
      <c r="AP667" s="21"/>
      <c r="AQ667" s="21"/>
      <c r="AR667" s="21"/>
      <c r="AS667" s="21"/>
      <c r="AT667" s="12" t="str">
        <f>HYPERLINK("http://www.openstreetmap.org/?mlat=33.1867&amp;mlon=44.5386&amp;zoom=12#map=12/33.1867/44.5386","Maplink1")</f>
        <v>Maplink1</v>
      </c>
      <c r="AU667" s="12" t="str">
        <f>HYPERLINK("https://www.google.iq/maps/search/+33.1867,44.5386/@33.1867,44.5386,14z?hl=en","Maplink2")</f>
        <v>Maplink2</v>
      </c>
      <c r="AV667" s="12" t="str">
        <f>HYPERLINK("http://www.bing.com/maps/?lvl=14&amp;sty=h&amp;cp=33.1867~44.5386&amp;sp=point.33.1867_44.5386","Maplink3")</f>
        <v>Maplink3</v>
      </c>
    </row>
    <row r="668" spans="1:48" ht="15" customHeight="1" x14ac:dyDescent="0.25">
      <c r="A668" s="19">
        <v>25130</v>
      </c>
      <c r="B668" s="20" t="s">
        <v>11</v>
      </c>
      <c r="C668" s="20" t="s">
        <v>1321</v>
      </c>
      <c r="D668" s="20" t="s">
        <v>1342</v>
      </c>
      <c r="E668" s="20" t="s">
        <v>1343</v>
      </c>
      <c r="F668" s="20">
        <v>33.2553512</v>
      </c>
      <c r="G668" s="20">
        <v>44.603099690000001</v>
      </c>
      <c r="H668" s="22">
        <v>10</v>
      </c>
      <c r="I668" s="22">
        <v>60</v>
      </c>
      <c r="J668" s="21"/>
      <c r="K668" s="21"/>
      <c r="L668" s="21"/>
      <c r="M668" s="21"/>
      <c r="N668" s="21"/>
      <c r="O668" s="21">
        <v>2</v>
      </c>
      <c r="P668" s="21"/>
      <c r="Q668" s="21"/>
      <c r="R668" s="21"/>
      <c r="S668" s="21"/>
      <c r="T668" s="21"/>
      <c r="U668" s="21"/>
      <c r="V668" s="21">
        <v>6</v>
      </c>
      <c r="W668" s="21"/>
      <c r="X668" s="21">
        <v>2</v>
      </c>
      <c r="Y668" s="21"/>
      <c r="Z668" s="21"/>
      <c r="AA668" s="21"/>
      <c r="AB668" s="21"/>
      <c r="AC668" s="21">
        <v>2</v>
      </c>
      <c r="AD668" s="21"/>
      <c r="AE668" s="21"/>
      <c r="AF668" s="21"/>
      <c r="AG668" s="21"/>
      <c r="AH668" s="21">
        <v>8</v>
      </c>
      <c r="AI668" s="21"/>
      <c r="AJ668" s="21"/>
      <c r="AK668" s="21"/>
      <c r="AL668" s="21">
        <v>2</v>
      </c>
      <c r="AM668" s="21">
        <v>3</v>
      </c>
      <c r="AN668" s="21">
        <v>5</v>
      </c>
      <c r="AO668" s="21"/>
      <c r="AP668" s="21"/>
      <c r="AQ668" s="21"/>
      <c r="AR668" s="21"/>
      <c r="AS668" s="21"/>
      <c r="AT668" s="12" t="str">
        <f>HYPERLINK("http://www.openstreetmap.org/?mlat=33.2554&amp;mlon=44.6031&amp;zoom=12#map=12/33.2554/44.6031","Maplink1")</f>
        <v>Maplink1</v>
      </c>
      <c r="AU668" s="12" t="str">
        <f>HYPERLINK("https://www.google.iq/maps/search/+33.2554,44.6031/@33.2554,44.6031,14z?hl=en","Maplink2")</f>
        <v>Maplink2</v>
      </c>
      <c r="AV668" s="12" t="str">
        <f>HYPERLINK("http://www.bing.com/maps/?lvl=14&amp;sty=h&amp;cp=33.2554~44.6031&amp;sp=point.33.2554_44.6031","Maplink3")</f>
        <v>Maplink3</v>
      </c>
    </row>
    <row r="669" spans="1:48" ht="15" customHeight="1" x14ac:dyDescent="0.25">
      <c r="A669" s="19">
        <v>25138</v>
      </c>
      <c r="B669" s="20" t="s">
        <v>11</v>
      </c>
      <c r="C669" s="20" t="s">
        <v>1321</v>
      </c>
      <c r="D669" s="20" t="s">
        <v>1344</v>
      </c>
      <c r="E669" s="20" t="s">
        <v>1345</v>
      </c>
      <c r="F669" s="20">
        <v>33.240781451799997</v>
      </c>
      <c r="G669" s="20">
        <v>44.599573744600001</v>
      </c>
      <c r="H669" s="22">
        <v>5</v>
      </c>
      <c r="I669" s="22">
        <v>30</v>
      </c>
      <c r="J669" s="21"/>
      <c r="K669" s="21"/>
      <c r="L669" s="21"/>
      <c r="M669" s="21"/>
      <c r="N669" s="21"/>
      <c r="O669" s="21">
        <v>1</v>
      </c>
      <c r="P669" s="21"/>
      <c r="Q669" s="21"/>
      <c r="R669" s="21"/>
      <c r="S669" s="21"/>
      <c r="T669" s="21"/>
      <c r="U669" s="21"/>
      <c r="V669" s="21">
        <v>4</v>
      </c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>
        <v>5</v>
      </c>
      <c r="AI669" s="21"/>
      <c r="AJ669" s="21"/>
      <c r="AK669" s="21"/>
      <c r="AL669" s="21"/>
      <c r="AM669" s="21">
        <v>4</v>
      </c>
      <c r="AN669" s="21"/>
      <c r="AO669" s="21">
        <v>1</v>
      </c>
      <c r="AP669" s="21"/>
      <c r="AQ669" s="21"/>
      <c r="AR669" s="21"/>
      <c r="AS669" s="21"/>
      <c r="AT669" s="12" t="str">
        <f>HYPERLINK("http://www.openstreetmap.org/?mlat=33.2408&amp;mlon=44.5996&amp;zoom=12#map=12/33.2408/44.5996","Maplink1")</f>
        <v>Maplink1</v>
      </c>
      <c r="AU669" s="12" t="str">
        <f>HYPERLINK("https://www.google.iq/maps/search/+33.2408,44.5996/@33.2408,44.5996,14z?hl=en","Maplink2")</f>
        <v>Maplink2</v>
      </c>
      <c r="AV669" s="12" t="str">
        <f>HYPERLINK("http://www.bing.com/maps/?lvl=14&amp;sty=h&amp;cp=33.2408~44.5996&amp;sp=point.33.2408_44.5996","Maplink3")</f>
        <v>Maplink3</v>
      </c>
    </row>
    <row r="670" spans="1:48" ht="15" customHeight="1" x14ac:dyDescent="0.25">
      <c r="A670" s="19">
        <v>24760</v>
      </c>
      <c r="B670" s="20" t="s">
        <v>11</v>
      </c>
      <c r="C670" s="20" t="s">
        <v>1321</v>
      </c>
      <c r="D670" s="20" t="s">
        <v>1346</v>
      </c>
      <c r="E670" s="20" t="s">
        <v>1347</v>
      </c>
      <c r="F670" s="20">
        <v>33.36313552</v>
      </c>
      <c r="G670" s="20">
        <v>44.662262859999998</v>
      </c>
      <c r="H670" s="22">
        <v>64</v>
      </c>
      <c r="I670" s="22">
        <v>384</v>
      </c>
      <c r="J670" s="21">
        <v>3</v>
      </c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>
        <v>61</v>
      </c>
      <c r="W670" s="21"/>
      <c r="X670" s="21"/>
      <c r="Y670" s="21"/>
      <c r="Z670" s="21"/>
      <c r="AA670" s="21"/>
      <c r="AB670" s="21">
        <v>64</v>
      </c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>
        <v>57</v>
      </c>
      <c r="AN670" s="21">
        <v>3</v>
      </c>
      <c r="AO670" s="21">
        <v>4</v>
      </c>
      <c r="AP670" s="21"/>
      <c r="AQ670" s="21"/>
      <c r="AR670" s="21"/>
      <c r="AS670" s="21"/>
      <c r="AT670" s="12" t="str">
        <f>HYPERLINK("http://www.openstreetmap.org/?mlat=33.3631&amp;mlon=44.6623&amp;zoom=12#map=12/33.3631/44.6623","Maplink1")</f>
        <v>Maplink1</v>
      </c>
      <c r="AU670" s="12" t="str">
        <f>HYPERLINK("https://www.google.iq/maps/search/+33.3631,44.6623/@33.3631,44.6623,14z?hl=en","Maplink2")</f>
        <v>Maplink2</v>
      </c>
      <c r="AV670" s="12" t="str">
        <f>HYPERLINK("http://www.bing.com/maps/?lvl=14&amp;sty=h&amp;cp=33.3631~44.6623&amp;sp=point.33.3631_44.6623","Maplink3")</f>
        <v>Maplink3</v>
      </c>
    </row>
    <row r="671" spans="1:48" ht="15" customHeight="1" x14ac:dyDescent="0.25">
      <c r="A671" s="19">
        <v>27417</v>
      </c>
      <c r="B671" s="20" t="s">
        <v>11</v>
      </c>
      <c r="C671" s="20" t="s">
        <v>1321</v>
      </c>
      <c r="D671" s="20" t="s">
        <v>1348</v>
      </c>
      <c r="E671" s="20" t="s">
        <v>1349</v>
      </c>
      <c r="F671" s="20">
        <v>33.118554340000003</v>
      </c>
      <c r="G671" s="20">
        <v>44.574428050000002</v>
      </c>
      <c r="H671" s="22">
        <v>7</v>
      </c>
      <c r="I671" s="22">
        <v>42</v>
      </c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>
        <v>7</v>
      </c>
      <c r="W671" s="21"/>
      <c r="X671" s="21"/>
      <c r="Y671" s="21"/>
      <c r="Z671" s="21"/>
      <c r="AA671" s="21"/>
      <c r="AB671" s="21"/>
      <c r="AC671" s="21">
        <v>4</v>
      </c>
      <c r="AD671" s="21"/>
      <c r="AE671" s="21"/>
      <c r="AF671" s="21"/>
      <c r="AG671" s="21"/>
      <c r="AH671" s="21">
        <v>3</v>
      </c>
      <c r="AI671" s="21"/>
      <c r="AJ671" s="21"/>
      <c r="AK671" s="21"/>
      <c r="AL671" s="21"/>
      <c r="AM671" s="21">
        <v>7</v>
      </c>
      <c r="AN671" s="21"/>
      <c r="AO671" s="21"/>
      <c r="AP671" s="21"/>
      <c r="AQ671" s="21"/>
      <c r="AR671" s="21"/>
      <c r="AS671" s="21"/>
      <c r="AT671" s="12" t="str">
        <f>HYPERLINK("http://www.openstreetmap.org/?mlat=33.1186&amp;mlon=44.5744&amp;zoom=12#map=12/33.1186/44.5744","Maplink1")</f>
        <v>Maplink1</v>
      </c>
      <c r="AU671" s="12" t="str">
        <f>HYPERLINK("https://www.google.iq/maps/search/+33.1186,44.5744/@33.1186,44.5744,14z?hl=en","Maplink2")</f>
        <v>Maplink2</v>
      </c>
      <c r="AV671" s="12" t="str">
        <f>HYPERLINK("http://www.bing.com/maps/?lvl=14&amp;sty=h&amp;cp=33.1186~44.5744&amp;sp=point.33.1186_44.5744","Maplink3")</f>
        <v>Maplink3</v>
      </c>
    </row>
    <row r="672" spans="1:48" ht="15" customHeight="1" x14ac:dyDescent="0.25">
      <c r="A672" s="19">
        <v>27393</v>
      </c>
      <c r="B672" s="20" t="s">
        <v>11</v>
      </c>
      <c r="C672" s="20" t="s">
        <v>1321</v>
      </c>
      <c r="D672" s="20" t="s">
        <v>1350</v>
      </c>
      <c r="E672" s="20" t="s">
        <v>70</v>
      </c>
      <c r="F672" s="20">
        <v>33.206905745100002</v>
      </c>
      <c r="G672" s="20">
        <v>44.552763668300003</v>
      </c>
      <c r="H672" s="22">
        <v>4</v>
      </c>
      <c r="I672" s="22">
        <v>24</v>
      </c>
      <c r="J672" s="21"/>
      <c r="K672" s="21"/>
      <c r="L672" s="21"/>
      <c r="M672" s="21"/>
      <c r="N672" s="21"/>
      <c r="O672" s="21">
        <v>3</v>
      </c>
      <c r="P672" s="21"/>
      <c r="Q672" s="21"/>
      <c r="R672" s="21"/>
      <c r="S672" s="21"/>
      <c r="T672" s="21"/>
      <c r="U672" s="21"/>
      <c r="V672" s="21">
        <v>1</v>
      </c>
      <c r="W672" s="21"/>
      <c r="X672" s="21"/>
      <c r="Y672" s="21"/>
      <c r="Z672" s="21"/>
      <c r="AA672" s="21"/>
      <c r="AB672" s="21"/>
      <c r="AC672" s="21">
        <v>2</v>
      </c>
      <c r="AD672" s="21"/>
      <c r="AE672" s="21"/>
      <c r="AF672" s="21"/>
      <c r="AG672" s="21"/>
      <c r="AH672" s="21">
        <v>2</v>
      </c>
      <c r="AI672" s="21"/>
      <c r="AJ672" s="21"/>
      <c r="AK672" s="21"/>
      <c r="AL672" s="21"/>
      <c r="AM672" s="21">
        <v>4</v>
      </c>
      <c r="AN672" s="21"/>
      <c r="AO672" s="21"/>
      <c r="AP672" s="21"/>
      <c r="AQ672" s="21"/>
      <c r="AR672" s="21"/>
      <c r="AS672" s="21"/>
      <c r="AT672" s="12" t="str">
        <f>HYPERLINK("http://www.openstreetmap.org/?mlat=33.2069&amp;mlon=44.5528&amp;zoom=12#map=12/33.2069/44.5528","Maplink1")</f>
        <v>Maplink1</v>
      </c>
      <c r="AU672" s="12" t="str">
        <f>HYPERLINK("https://www.google.iq/maps/search/+33.2069,44.5528/@33.2069,44.5528,14z?hl=en","Maplink2")</f>
        <v>Maplink2</v>
      </c>
      <c r="AV672" s="12" t="str">
        <f>HYPERLINK("http://www.bing.com/maps/?lvl=14&amp;sty=h&amp;cp=33.2069~44.5528&amp;sp=point.33.2069_44.5528","Maplink3")</f>
        <v>Maplink3</v>
      </c>
    </row>
    <row r="673" spans="1:48" ht="15" customHeight="1" x14ac:dyDescent="0.25">
      <c r="A673" s="19">
        <v>25133</v>
      </c>
      <c r="B673" s="20" t="s">
        <v>11</v>
      </c>
      <c r="C673" s="20" t="s">
        <v>1321</v>
      </c>
      <c r="D673" s="20" t="s">
        <v>1351</v>
      </c>
      <c r="E673" s="20" t="s">
        <v>1352</v>
      </c>
      <c r="F673" s="20">
        <v>33.100027509999997</v>
      </c>
      <c r="G673" s="20">
        <v>44.697908650000002</v>
      </c>
      <c r="H673" s="22">
        <v>2</v>
      </c>
      <c r="I673" s="22">
        <v>12</v>
      </c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>
        <v>2</v>
      </c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>
        <v>2</v>
      </c>
      <c r="AI673" s="21"/>
      <c r="AJ673" s="21"/>
      <c r="AK673" s="21"/>
      <c r="AL673" s="21"/>
      <c r="AM673" s="21">
        <v>2</v>
      </c>
      <c r="AN673" s="21"/>
      <c r="AO673" s="21"/>
      <c r="AP673" s="21"/>
      <c r="AQ673" s="21"/>
      <c r="AR673" s="21"/>
      <c r="AS673" s="21"/>
      <c r="AT673" s="12" t="str">
        <f>HYPERLINK("http://www.openstreetmap.org/?mlat=33.1&amp;mlon=44.6979&amp;zoom=12#map=12/33.1/44.6979","Maplink1")</f>
        <v>Maplink1</v>
      </c>
      <c r="AU673" s="12" t="str">
        <f>HYPERLINK("https://www.google.iq/maps/search/+33.1,44.6979/@33.1,44.6979,14z?hl=en","Maplink2")</f>
        <v>Maplink2</v>
      </c>
      <c r="AV673" s="12" t="str">
        <f>HYPERLINK("http://www.bing.com/maps/?lvl=14&amp;sty=h&amp;cp=33.1~44.6979&amp;sp=point.33.1_44.6979","Maplink3")</f>
        <v>Maplink3</v>
      </c>
    </row>
    <row r="674" spans="1:48" ht="15" customHeight="1" x14ac:dyDescent="0.25">
      <c r="A674" s="19">
        <v>27418</v>
      </c>
      <c r="B674" s="20" t="s">
        <v>11</v>
      </c>
      <c r="C674" s="20" t="s">
        <v>1321</v>
      </c>
      <c r="D674" s="20" t="s">
        <v>1353</v>
      </c>
      <c r="E674" s="20" t="s">
        <v>1354</v>
      </c>
      <c r="F674" s="20">
        <v>33.100234030000003</v>
      </c>
      <c r="G674" s="20">
        <v>44.586607620000002</v>
      </c>
      <c r="H674" s="22">
        <v>8</v>
      </c>
      <c r="I674" s="22">
        <v>48</v>
      </c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>
        <v>8</v>
      </c>
      <c r="W674" s="21"/>
      <c r="X674" s="21"/>
      <c r="Y674" s="21"/>
      <c r="Z674" s="21"/>
      <c r="AA674" s="21"/>
      <c r="AB674" s="21"/>
      <c r="AC674" s="21">
        <v>8</v>
      </c>
      <c r="AD674" s="21"/>
      <c r="AE674" s="21"/>
      <c r="AF674" s="21"/>
      <c r="AG674" s="21"/>
      <c r="AH674" s="21"/>
      <c r="AI674" s="21"/>
      <c r="AJ674" s="21"/>
      <c r="AK674" s="21"/>
      <c r="AL674" s="21"/>
      <c r="AM674" s="21">
        <v>8</v>
      </c>
      <c r="AN674" s="21"/>
      <c r="AO674" s="21"/>
      <c r="AP674" s="21"/>
      <c r="AQ674" s="21"/>
      <c r="AR674" s="21"/>
      <c r="AS674" s="21"/>
      <c r="AT674" s="12" t="str">
        <f>HYPERLINK("http://www.openstreetmap.org/?mlat=33.1002&amp;mlon=44.5866&amp;zoom=12#map=12/33.1002/44.5866","Maplink1")</f>
        <v>Maplink1</v>
      </c>
      <c r="AU674" s="12" t="str">
        <f>HYPERLINK("https://www.google.iq/maps/search/+33.1002,44.5866/@33.1002,44.5866,14z?hl=en","Maplink2")</f>
        <v>Maplink2</v>
      </c>
      <c r="AV674" s="12" t="str">
        <f>HYPERLINK("http://www.bing.com/maps/?lvl=14&amp;sty=h&amp;cp=33.1002~44.5866&amp;sp=point.33.1002_44.5866","Maplink3")</f>
        <v>Maplink3</v>
      </c>
    </row>
    <row r="675" spans="1:48" ht="15" customHeight="1" x14ac:dyDescent="0.25">
      <c r="A675" s="19">
        <v>24998</v>
      </c>
      <c r="B675" s="20" t="s">
        <v>11</v>
      </c>
      <c r="C675" s="20" t="s">
        <v>1321</v>
      </c>
      <c r="D675" s="20" t="s">
        <v>1355</v>
      </c>
      <c r="E675" s="20" t="s">
        <v>1356</v>
      </c>
      <c r="F675" s="20">
        <v>33.378359334999999</v>
      </c>
      <c r="G675" s="20">
        <v>44.702951517800003</v>
      </c>
      <c r="H675" s="22">
        <v>2</v>
      </c>
      <c r="I675" s="22">
        <v>12</v>
      </c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>
        <v>2</v>
      </c>
      <c r="W675" s="21"/>
      <c r="X675" s="21"/>
      <c r="Y675" s="21"/>
      <c r="Z675" s="21"/>
      <c r="AA675" s="21"/>
      <c r="AB675" s="21"/>
      <c r="AC675" s="21">
        <v>2</v>
      </c>
      <c r="AD675" s="21"/>
      <c r="AE675" s="21"/>
      <c r="AF675" s="21"/>
      <c r="AG675" s="21"/>
      <c r="AH675" s="21"/>
      <c r="AI675" s="21"/>
      <c r="AJ675" s="21"/>
      <c r="AK675" s="21"/>
      <c r="AL675" s="21"/>
      <c r="AM675" s="21">
        <v>2</v>
      </c>
      <c r="AN675" s="21"/>
      <c r="AO675" s="21"/>
      <c r="AP675" s="21"/>
      <c r="AQ675" s="21"/>
      <c r="AR675" s="21"/>
      <c r="AS675" s="21"/>
      <c r="AT675" s="12" t="str">
        <f>HYPERLINK("http://www.openstreetmap.org/?mlat=33.3784&amp;mlon=44.703&amp;zoom=12#map=12/33.3784/44.703","Maplink1")</f>
        <v>Maplink1</v>
      </c>
      <c r="AU675" s="12" t="str">
        <f>HYPERLINK("https://www.google.iq/maps/search/+33.3784,44.703/@33.3784,44.703,14z?hl=en","Maplink2")</f>
        <v>Maplink2</v>
      </c>
      <c r="AV675" s="12" t="str">
        <f>HYPERLINK("http://www.bing.com/maps/?lvl=14&amp;sty=h&amp;cp=33.3784~44.703&amp;sp=point.33.3784_44.703","Maplink3")</f>
        <v>Maplink3</v>
      </c>
    </row>
    <row r="676" spans="1:48" ht="15" customHeight="1" x14ac:dyDescent="0.25">
      <c r="A676" s="19">
        <v>24996</v>
      </c>
      <c r="B676" s="20" t="s">
        <v>11</v>
      </c>
      <c r="C676" s="20" t="s">
        <v>1321</v>
      </c>
      <c r="D676" s="20" t="s">
        <v>1357</v>
      </c>
      <c r="E676" s="20" t="s">
        <v>228</v>
      </c>
      <c r="F676" s="20">
        <v>33.3791839366</v>
      </c>
      <c r="G676" s="20">
        <v>44.688415734000003</v>
      </c>
      <c r="H676" s="22">
        <v>3</v>
      </c>
      <c r="I676" s="22">
        <v>18</v>
      </c>
      <c r="J676" s="21"/>
      <c r="K676" s="21"/>
      <c r="L676" s="21"/>
      <c r="M676" s="21"/>
      <c r="N676" s="21"/>
      <c r="O676" s="21">
        <v>3</v>
      </c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>
        <v>3</v>
      </c>
      <c r="AI676" s="21"/>
      <c r="AJ676" s="21"/>
      <c r="AK676" s="21"/>
      <c r="AL676" s="21"/>
      <c r="AM676" s="21"/>
      <c r="AN676" s="21">
        <v>3</v>
      </c>
      <c r="AO676" s="21"/>
      <c r="AP676" s="21"/>
      <c r="AQ676" s="21"/>
      <c r="AR676" s="21"/>
      <c r="AS676" s="21"/>
      <c r="AT676" s="12" t="str">
        <f>HYPERLINK("http://www.openstreetmap.org/?mlat=33.3792&amp;mlon=44.6884&amp;zoom=12#map=12/33.3792/44.6884","Maplink1")</f>
        <v>Maplink1</v>
      </c>
      <c r="AU676" s="12" t="str">
        <f>HYPERLINK("https://www.google.iq/maps/search/+33.3792,44.6884/@33.3792,44.6884,14z?hl=en","Maplink2")</f>
        <v>Maplink2</v>
      </c>
      <c r="AV676" s="12" t="str">
        <f>HYPERLINK("http://www.bing.com/maps/?lvl=14&amp;sty=h&amp;cp=33.3792~44.6884&amp;sp=point.33.3792_44.6884","Maplink3")</f>
        <v>Maplink3</v>
      </c>
    </row>
    <row r="677" spans="1:48" ht="15" customHeight="1" x14ac:dyDescent="0.25">
      <c r="A677" s="19">
        <v>7680</v>
      </c>
      <c r="B677" s="20" t="s">
        <v>11</v>
      </c>
      <c r="C677" s="20" t="s">
        <v>1321</v>
      </c>
      <c r="D677" s="20" t="s">
        <v>1358</v>
      </c>
      <c r="E677" s="20" t="s">
        <v>1359</v>
      </c>
      <c r="F677" s="20">
        <v>33.172894159999998</v>
      </c>
      <c r="G677" s="20">
        <v>44.552877860000002</v>
      </c>
      <c r="H677" s="22">
        <v>8</v>
      </c>
      <c r="I677" s="22">
        <v>48</v>
      </c>
      <c r="J677" s="21"/>
      <c r="K677" s="21"/>
      <c r="L677" s="21"/>
      <c r="M677" s="21"/>
      <c r="N677" s="21"/>
      <c r="O677" s="21">
        <v>3</v>
      </c>
      <c r="P677" s="21"/>
      <c r="Q677" s="21"/>
      <c r="R677" s="21"/>
      <c r="S677" s="21"/>
      <c r="T677" s="21"/>
      <c r="U677" s="21"/>
      <c r="V677" s="21">
        <v>5</v>
      </c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>
        <v>8</v>
      </c>
      <c r="AI677" s="21"/>
      <c r="AJ677" s="21"/>
      <c r="AK677" s="21"/>
      <c r="AL677" s="21"/>
      <c r="AM677" s="21">
        <v>8</v>
      </c>
      <c r="AN677" s="21"/>
      <c r="AO677" s="21"/>
      <c r="AP677" s="21"/>
      <c r="AQ677" s="21"/>
      <c r="AR677" s="21"/>
      <c r="AS677" s="21"/>
      <c r="AT677" s="12" t="str">
        <f>HYPERLINK("http://www.openstreetmap.org/?mlat=33.1729&amp;mlon=44.5529&amp;zoom=12#map=12/33.1729/44.5529","Maplink1")</f>
        <v>Maplink1</v>
      </c>
      <c r="AU677" s="12" t="str">
        <f>HYPERLINK("https://www.google.iq/maps/search/+33.1729,44.5529/@33.1729,44.5529,14z?hl=en","Maplink2")</f>
        <v>Maplink2</v>
      </c>
      <c r="AV677" s="12" t="str">
        <f>HYPERLINK("http://www.bing.com/maps/?lvl=14&amp;sty=h&amp;cp=33.1729~44.5529&amp;sp=point.33.1729_44.5529","Maplink3")</f>
        <v>Maplink3</v>
      </c>
    </row>
    <row r="678" spans="1:48" ht="15" customHeight="1" x14ac:dyDescent="0.25">
      <c r="A678" s="19">
        <v>25839</v>
      </c>
      <c r="B678" s="20" t="s">
        <v>11</v>
      </c>
      <c r="C678" s="20" t="s">
        <v>1321</v>
      </c>
      <c r="D678" s="20" t="s">
        <v>116</v>
      </c>
      <c r="E678" s="20" t="s">
        <v>117</v>
      </c>
      <c r="F678" s="20">
        <v>33.236981380000003</v>
      </c>
      <c r="G678" s="20">
        <v>44.524213420000002</v>
      </c>
      <c r="H678" s="22">
        <v>4</v>
      </c>
      <c r="I678" s="22">
        <v>24</v>
      </c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>
        <v>3</v>
      </c>
      <c r="W678" s="21"/>
      <c r="X678" s="21">
        <v>1</v>
      </c>
      <c r="Y678" s="21"/>
      <c r="Z678" s="21"/>
      <c r="AA678" s="21"/>
      <c r="AB678" s="21"/>
      <c r="AC678" s="21">
        <v>4</v>
      </c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>
        <v>4</v>
      </c>
      <c r="AO678" s="21"/>
      <c r="AP678" s="21"/>
      <c r="AQ678" s="21"/>
      <c r="AR678" s="21"/>
      <c r="AS678" s="21"/>
      <c r="AT678" s="12" t="str">
        <f>HYPERLINK("http://www.openstreetmap.org/?mlat=33.237&amp;mlon=44.5242&amp;zoom=12#map=12/33.237/44.5242","Maplink1")</f>
        <v>Maplink1</v>
      </c>
      <c r="AU678" s="12" t="str">
        <f>HYPERLINK("https://www.google.iq/maps/search/+33.237,44.5242/@33.237,44.5242,14z?hl=en","Maplink2")</f>
        <v>Maplink2</v>
      </c>
      <c r="AV678" s="12" t="str">
        <f>HYPERLINK("http://www.bing.com/maps/?lvl=14&amp;sty=h&amp;cp=33.237~44.5242&amp;sp=point.33.237_44.5242","Maplink3")</f>
        <v>Maplink3</v>
      </c>
    </row>
    <row r="679" spans="1:48" ht="15" customHeight="1" x14ac:dyDescent="0.25">
      <c r="A679" s="19">
        <v>24997</v>
      </c>
      <c r="B679" s="20" t="s">
        <v>11</v>
      </c>
      <c r="C679" s="20" t="s">
        <v>1321</v>
      </c>
      <c r="D679" s="20" t="s">
        <v>1361</v>
      </c>
      <c r="E679" s="20" t="s">
        <v>1362</v>
      </c>
      <c r="F679" s="20">
        <v>33.379755320999998</v>
      </c>
      <c r="G679" s="20">
        <v>44.7064947987</v>
      </c>
      <c r="H679" s="22">
        <v>2</v>
      </c>
      <c r="I679" s="22">
        <v>12</v>
      </c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>
        <v>2</v>
      </c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>
        <v>2</v>
      </c>
      <c r="AI679" s="21"/>
      <c r="AJ679" s="21"/>
      <c r="AK679" s="21"/>
      <c r="AL679" s="21"/>
      <c r="AM679" s="21">
        <v>2</v>
      </c>
      <c r="AN679" s="21"/>
      <c r="AO679" s="21"/>
      <c r="AP679" s="21"/>
      <c r="AQ679" s="21"/>
      <c r="AR679" s="21"/>
      <c r="AS679" s="21"/>
      <c r="AT679" s="12" t="str">
        <f>HYPERLINK("http://www.openstreetmap.org/?mlat=33.3798&amp;mlon=44.7065&amp;zoom=12#map=12/33.3798/44.7065","Maplink1")</f>
        <v>Maplink1</v>
      </c>
      <c r="AU679" s="12" t="str">
        <f>HYPERLINK("https://www.google.iq/maps/search/+33.3798,44.7065/@33.3798,44.7065,14z?hl=en","Maplink2")</f>
        <v>Maplink2</v>
      </c>
      <c r="AV679" s="12" t="str">
        <f>HYPERLINK("http://www.bing.com/maps/?lvl=14&amp;sty=h&amp;cp=33.3798~44.7065&amp;sp=point.33.3798_44.7065","Maplink3")</f>
        <v>Maplink3</v>
      </c>
    </row>
    <row r="680" spans="1:48" ht="15" customHeight="1" x14ac:dyDescent="0.25">
      <c r="A680" s="19">
        <v>21298</v>
      </c>
      <c r="B680" s="20" t="s">
        <v>11</v>
      </c>
      <c r="C680" s="20" t="s">
        <v>1321</v>
      </c>
      <c r="D680" s="20" t="s">
        <v>1363</v>
      </c>
      <c r="E680" s="20" t="s">
        <v>1364</v>
      </c>
      <c r="F680" s="20">
        <v>33.208528940000001</v>
      </c>
      <c r="G680" s="20">
        <v>44.564061649999999</v>
      </c>
      <c r="H680" s="22">
        <v>2</v>
      </c>
      <c r="I680" s="22">
        <v>12</v>
      </c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>
        <v>2</v>
      </c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>
        <v>2</v>
      </c>
      <c r="AI680" s="21"/>
      <c r="AJ680" s="21"/>
      <c r="AK680" s="21"/>
      <c r="AL680" s="21"/>
      <c r="AM680" s="21">
        <v>2</v>
      </c>
      <c r="AN680" s="21"/>
      <c r="AO680" s="21"/>
      <c r="AP680" s="21"/>
      <c r="AQ680" s="21"/>
      <c r="AR680" s="21"/>
      <c r="AS680" s="21"/>
      <c r="AT680" s="12" t="str">
        <f>HYPERLINK("http://www.openstreetmap.org/?mlat=33.2085&amp;mlon=44.5641&amp;zoom=12#map=12/33.2085/44.5641","Maplink1")</f>
        <v>Maplink1</v>
      </c>
      <c r="AU680" s="12" t="str">
        <f>HYPERLINK("https://www.google.iq/maps/search/+33.2085,44.5641/@33.2085,44.5641,14z?hl=en","Maplink2")</f>
        <v>Maplink2</v>
      </c>
      <c r="AV680" s="12" t="str">
        <f>HYPERLINK("http://www.bing.com/maps/?lvl=14&amp;sty=h&amp;cp=33.2085~44.5641&amp;sp=point.33.2085_44.5641","Maplink3")</f>
        <v>Maplink3</v>
      </c>
    </row>
    <row r="681" spans="1:48" ht="15" customHeight="1" x14ac:dyDescent="0.25">
      <c r="A681" s="19">
        <v>25835</v>
      </c>
      <c r="B681" s="20" t="s">
        <v>11</v>
      </c>
      <c r="C681" s="20" t="s">
        <v>1321</v>
      </c>
      <c r="D681" s="20" t="s">
        <v>1365</v>
      </c>
      <c r="E681" s="20" t="s">
        <v>1366</v>
      </c>
      <c r="F681" s="20">
        <v>33.226255100000003</v>
      </c>
      <c r="G681" s="20">
        <v>44.520450449999998</v>
      </c>
      <c r="H681" s="22">
        <v>4</v>
      </c>
      <c r="I681" s="22">
        <v>24</v>
      </c>
      <c r="J681" s="21"/>
      <c r="K681" s="21"/>
      <c r="L681" s="21"/>
      <c r="M681" s="21"/>
      <c r="N681" s="21"/>
      <c r="O681" s="21">
        <v>2</v>
      </c>
      <c r="P681" s="21"/>
      <c r="Q681" s="21"/>
      <c r="R681" s="21"/>
      <c r="S681" s="21"/>
      <c r="T681" s="21"/>
      <c r="U681" s="21"/>
      <c r="V681" s="21"/>
      <c r="W681" s="21"/>
      <c r="X681" s="21">
        <v>2</v>
      </c>
      <c r="Y681" s="21"/>
      <c r="Z681" s="21"/>
      <c r="AA681" s="21"/>
      <c r="AB681" s="21"/>
      <c r="AC681" s="21"/>
      <c r="AD681" s="21"/>
      <c r="AE681" s="21"/>
      <c r="AF681" s="21"/>
      <c r="AG681" s="21"/>
      <c r="AH681" s="21">
        <v>4</v>
      </c>
      <c r="AI681" s="21"/>
      <c r="AJ681" s="21"/>
      <c r="AK681" s="21"/>
      <c r="AL681" s="21"/>
      <c r="AM681" s="21">
        <v>2</v>
      </c>
      <c r="AN681" s="21"/>
      <c r="AO681" s="21">
        <v>2</v>
      </c>
      <c r="AP681" s="21"/>
      <c r="AQ681" s="21"/>
      <c r="AR681" s="21"/>
      <c r="AS681" s="21"/>
      <c r="AT681" s="12" t="str">
        <f>HYPERLINK("http://www.openstreetmap.org/?mlat=33.2263&amp;mlon=44.5205&amp;zoom=12#map=12/33.2263/44.5205","Maplink1")</f>
        <v>Maplink1</v>
      </c>
      <c r="AU681" s="12" t="str">
        <f>HYPERLINK("https://www.google.iq/maps/search/+33.2263,44.5205/@33.2263,44.5205,14z?hl=en","Maplink2")</f>
        <v>Maplink2</v>
      </c>
      <c r="AV681" s="12" t="str">
        <f>HYPERLINK("http://www.bing.com/maps/?lvl=14&amp;sty=h&amp;cp=33.2263~44.5205&amp;sp=point.33.2263_44.5205","Maplink3")</f>
        <v>Maplink3</v>
      </c>
    </row>
    <row r="682" spans="1:48" ht="15" customHeight="1" x14ac:dyDescent="0.25">
      <c r="A682" s="19">
        <v>24999</v>
      </c>
      <c r="B682" s="20" t="s">
        <v>11</v>
      </c>
      <c r="C682" s="20" t="s">
        <v>1321</v>
      </c>
      <c r="D682" s="20" t="s">
        <v>1368</v>
      </c>
      <c r="E682" s="20" t="s">
        <v>1369</v>
      </c>
      <c r="F682" s="20">
        <v>33.378961689999997</v>
      </c>
      <c r="G682" s="20">
        <v>44.69923403</v>
      </c>
      <c r="H682" s="22">
        <v>3</v>
      </c>
      <c r="I682" s="22">
        <v>18</v>
      </c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>
        <v>3</v>
      </c>
      <c r="W682" s="21"/>
      <c r="X682" s="21"/>
      <c r="Y682" s="21"/>
      <c r="Z682" s="21"/>
      <c r="AA682" s="21"/>
      <c r="AB682" s="21"/>
      <c r="AC682" s="21">
        <v>3</v>
      </c>
      <c r="AD682" s="21"/>
      <c r="AE682" s="21"/>
      <c r="AF682" s="21"/>
      <c r="AG682" s="21"/>
      <c r="AH682" s="21"/>
      <c r="AI682" s="21"/>
      <c r="AJ682" s="21"/>
      <c r="AK682" s="21"/>
      <c r="AL682" s="21"/>
      <c r="AM682" s="21">
        <v>3</v>
      </c>
      <c r="AN682" s="21"/>
      <c r="AO682" s="21"/>
      <c r="AP682" s="21"/>
      <c r="AQ682" s="21"/>
      <c r="AR682" s="21"/>
      <c r="AS682" s="21"/>
      <c r="AT682" s="12" t="str">
        <f>HYPERLINK("http://www.openstreetmap.org/?mlat=33.379&amp;mlon=44.6992&amp;zoom=12#map=12/33.379/44.6992","Maplink1")</f>
        <v>Maplink1</v>
      </c>
      <c r="AU682" s="12" t="str">
        <f>HYPERLINK("https://www.google.iq/maps/search/+33.379,44.6992/@33.379,44.6992,14z?hl=en","Maplink2")</f>
        <v>Maplink2</v>
      </c>
      <c r="AV682" s="12" t="str">
        <f>HYPERLINK("http://www.bing.com/maps/?lvl=14&amp;sty=h&amp;cp=33.379~44.6992&amp;sp=point.33.379_44.6992","Maplink3")</f>
        <v>Maplink3</v>
      </c>
    </row>
    <row r="683" spans="1:48" ht="15" customHeight="1" x14ac:dyDescent="0.25">
      <c r="A683" s="19">
        <v>27416</v>
      </c>
      <c r="B683" s="20" t="s">
        <v>11</v>
      </c>
      <c r="C683" s="20" t="s">
        <v>1321</v>
      </c>
      <c r="D683" s="20" t="s">
        <v>1370</v>
      </c>
      <c r="E683" s="20" t="s">
        <v>1371</v>
      </c>
      <c r="F683" s="20">
        <v>33.166384069999999</v>
      </c>
      <c r="G683" s="20">
        <v>44.565804849999999</v>
      </c>
      <c r="H683" s="22">
        <v>8</v>
      </c>
      <c r="I683" s="22">
        <v>48</v>
      </c>
      <c r="J683" s="21">
        <v>2</v>
      </c>
      <c r="K683" s="21"/>
      <c r="L683" s="21"/>
      <c r="M683" s="21"/>
      <c r="N683" s="21"/>
      <c r="O683" s="21">
        <v>2</v>
      </c>
      <c r="P683" s="21"/>
      <c r="Q683" s="21"/>
      <c r="R683" s="21"/>
      <c r="S683" s="21"/>
      <c r="T683" s="21"/>
      <c r="U683" s="21"/>
      <c r="V683" s="21">
        <v>4</v>
      </c>
      <c r="W683" s="21"/>
      <c r="X683" s="21"/>
      <c r="Y683" s="21"/>
      <c r="Z683" s="21"/>
      <c r="AA683" s="21"/>
      <c r="AB683" s="21"/>
      <c r="AC683" s="21">
        <v>5</v>
      </c>
      <c r="AD683" s="21"/>
      <c r="AE683" s="21"/>
      <c r="AF683" s="21"/>
      <c r="AG683" s="21"/>
      <c r="AH683" s="21">
        <v>3</v>
      </c>
      <c r="AI683" s="21"/>
      <c r="AJ683" s="21"/>
      <c r="AK683" s="21"/>
      <c r="AL683" s="21"/>
      <c r="AM683" s="21">
        <v>6</v>
      </c>
      <c r="AN683" s="21"/>
      <c r="AO683" s="21">
        <v>2</v>
      </c>
      <c r="AP683" s="21"/>
      <c r="AQ683" s="21"/>
      <c r="AR683" s="21"/>
      <c r="AS683" s="21"/>
      <c r="AT683" s="12" t="str">
        <f>HYPERLINK("http://www.openstreetmap.org/?mlat=33.1664&amp;mlon=44.5658&amp;zoom=12#map=12/33.1664/44.5658","Maplink1")</f>
        <v>Maplink1</v>
      </c>
      <c r="AU683" s="12" t="str">
        <f>HYPERLINK("https://www.google.iq/maps/search/+33.1664,44.5658/@33.1664,44.5658,14z?hl=en","Maplink2")</f>
        <v>Maplink2</v>
      </c>
      <c r="AV683" s="12" t="str">
        <f>HYPERLINK("http://www.bing.com/maps/?lvl=14&amp;sty=h&amp;cp=33.1664~44.5658&amp;sp=point.33.1664_44.5658","Maplink3")</f>
        <v>Maplink3</v>
      </c>
    </row>
    <row r="684" spans="1:48" ht="15" customHeight="1" x14ac:dyDescent="0.25">
      <c r="A684" s="19">
        <v>25836</v>
      </c>
      <c r="B684" s="20" t="s">
        <v>11</v>
      </c>
      <c r="C684" s="20" t="s">
        <v>1321</v>
      </c>
      <c r="D684" s="20" t="s">
        <v>1372</v>
      </c>
      <c r="E684" s="20" t="s">
        <v>1373</v>
      </c>
      <c r="F684" s="20">
        <v>33.222745564199997</v>
      </c>
      <c r="G684" s="20">
        <v>44.555413495300002</v>
      </c>
      <c r="H684" s="22">
        <v>4</v>
      </c>
      <c r="I684" s="22">
        <v>24</v>
      </c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>
        <v>4</v>
      </c>
      <c r="W684" s="21"/>
      <c r="X684" s="21"/>
      <c r="Y684" s="21"/>
      <c r="Z684" s="21"/>
      <c r="AA684" s="21"/>
      <c r="AB684" s="21"/>
      <c r="AC684" s="21">
        <v>4</v>
      </c>
      <c r="AD684" s="21"/>
      <c r="AE684" s="21"/>
      <c r="AF684" s="21"/>
      <c r="AG684" s="21"/>
      <c r="AH684" s="21"/>
      <c r="AI684" s="21"/>
      <c r="AJ684" s="21"/>
      <c r="AK684" s="21"/>
      <c r="AL684" s="21"/>
      <c r="AM684" s="21">
        <v>4</v>
      </c>
      <c r="AN684" s="21"/>
      <c r="AO684" s="21"/>
      <c r="AP684" s="21"/>
      <c r="AQ684" s="21"/>
      <c r="AR684" s="21"/>
      <c r="AS684" s="21"/>
      <c r="AT684" s="12" t="str">
        <f>HYPERLINK("http://www.openstreetmap.org/?mlat=33.2227&amp;mlon=44.5554&amp;zoom=12#map=12/33.2227/44.5554","Maplink1")</f>
        <v>Maplink1</v>
      </c>
      <c r="AU684" s="12" t="str">
        <f>HYPERLINK("https://www.google.iq/maps/search/+33.2227,44.5554/@33.2227,44.5554,14z?hl=en","Maplink2")</f>
        <v>Maplink2</v>
      </c>
      <c r="AV684" s="12" t="str">
        <f>HYPERLINK("http://www.bing.com/maps/?lvl=14&amp;sty=h&amp;cp=33.2227~44.5554&amp;sp=point.33.2227_44.5554","Maplink3")</f>
        <v>Maplink3</v>
      </c>
    </row>
    <row r="685" spans="1:48" ht="15" customHeight="1" x14ac:dyDescent="0.25">
      <c r="A685" s="19">
        <v>23618</v>
      </c>
      <c r="B685" s="20" t="s">
        <v>11</v>
      </c>
      <c r="C685" s="20" t="s">
        <v>1374</v>
      </c>
      <c r="D685" s="20" t="s">
        <v>1375</v>
      </c>
      <c r="E685" s="20" t="s">
        <v>1376</v>
      </c>
      <c r="F685" s="20">
        <v>32.963602860000002</v>
      </c>
      <c r="G685" s="20">
        <v>44.357825740000003</v>
      </c>
      <c r="H685" s="22">
        <v>87</v>
      </c>
      <c r="I685" s="22">
        <v>522</v>
      </c>
      <c r="J685" s="21">
        <v>4</v>
      </c>
      <c r="K685" s="21">
        <v>83</v>
      </c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>
        <v>26</v>
      </c>
      <c r="AD685" s="21"/>
      <c r="AE685" s="21"/>
      <c r="AF685" s="21"/>
      <c r="AG685" s="21"/>
      <c r="AH685" s="21">
        <v>48</v>
      </c>
      <c r="AI685" s="21"/>
      <c r="AJ685" s="21">
        <v>13</v>
      </c>
      <c r="AK685" s="21"/>
      <c r="AL685" s="21"/>
      <c r="AM685" s="21"/>
      <c r="AN685" s="21">
        <v>47</v>
      </c>
      <c r="AO685" s="21">
        <v>32</v>
      </c>
      <c r="AP685" s="21">
        <v>4</v>
      </c>
      <c r="AQ685" s="21"/>
      <c r="AR685" s="21">
        <v>4</v>
      </c>
      <c r="AS685" s="21"/>
      <c r="AT685" s="12" t="str">
        <f>HYPERLINK("http://www.openstreetmap.org/?mlat=32.9636&amp;mlon=44.3578&amp;zoom=12#map=12/32.9636/44.3578","Maplink1")</f>
        <v>Maplink1</v>
      </c>
      <c r="AU685" s="12" t="str">
        <f>HYPERLINK("https://www.google.iq/maps/search/+32.9636,44.3578/@32.9636,44.3578,14z?hl=en","Maplink2")</f>
        <v>Maplink2</v>
      </c>
      <c r="AV685" s="12" t="str">
        <f>HYPERLINK("http://www.bing.com/maps/?lvl=14&amp;sty=h&amp;cp=32.9636~44.3578&amp;sp=point.32.9636_44.3578","Maplink3")</f>
        <v>Maplink3</v>
      </c>
    </row>
    <row r="686" spans="1:48" ht="15" customHeight="1" x14ac:dyDescent="0.25">
      <c r="A686" s="19">
        <v>23578</v>
      </c>
      <c r="B686" s="20" t="s">
        <v>11</v>
      </c>
      <c r="C686" s="20" t="s">
        <v>1374</v>
      </c>
      <c r="D686" s="20" t="s">
        <v>1377</v>
      </c>
      <c r="E686" s="20" t="s">
        <v>1378</v>
      </c>
      <c r="F686" s="20">
        <v>33.159511324699999</v>
      </c>
      <c r="G686" s="20">
        <v>44.388323874900003</v>
      </c>
      <c r="H686" s="22">
        <v>14</v>
      </c>
      <c r="I686" s="22">
        <v>84</v>
      </c>
      <c r="J686" s="21">
        <v>9</v>
      </c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>
        <v>5</v>
      </c>
      <c r="Y686" s="21"/>
      <c r="Z686" s="21"/>
      <c r="AA686" s="21"/>
      <c r="AB686" s="21"/>
      <c r="AC686" s="21">
        <v>4</v>
      </c>
      <c r="AD686" s="21"/>
      <c r="AE686" s="21"/>
      <c r="AF686" s="21"/>
      <c r="AG686" s="21"/>
      <c r="AH686" s="21">
        <v>10</v>
      </c>
      <c r="AI686" s="21"/>
      <c r="AJ686" s="21"/>
      <c r="AK686" s="21"/>
      <c r="AL686" s="21">
        <v>5</v>
      </c>
      <c r="AM686" s="21"/>
      <c r="AN686" s="21">
        <v>5</v>
      </c>
      <c r="AO686" s="21"/>
      <c r="AP686" s="21">
        <v>4</v>
      </c>
      <c r="AQ686" s="21"/>
      <c r="AR686" s="21"/>
      <c r="AS686" s="21"/>
      <c r="AT686" s="12" t="str">
        <f>HYPERLINK("http://www.openstreetmap.org/?mlat=33.1595&amp;mlon=44.3883&amp;zoom=12#map=12/33.1595/44.3883","Maplink1")</f>
        <v>Maplink1</v>
      </c>
      <c r="AU686" s="12" t="str">
        <f>HYPERLINK("https://www.google.iq/maps/search/+33.1595,44.3883/@33.1595,44.3883,14z?hl=en","Maplink2")</f>
        <v>Maplink2</v>
      </c>
      <c r="AV686" s="12" t="str">
        <f>HYPERLINK("http://www.bing.com/maps/?lvl=14&amp;sty=h&amp;cp=33.1595~44.3883&amp;sp=point.33.1595_44.3883","Maplink3")</f>
        <v>Maplink3</v>
      </c>
    </row>
    <row r="687" spans="1:48" ht="15" customHeight="1" x14ac:dyDescent="0.25">
      <c r="A687" s="19">
        <v>25150</v>
      </c>
      <c r="B687" s="20" t="s">
        <v>11</v>
      </c>
      <c r="C687" s="20" t="s">
        <v>1374</v>
      </c>
      <c r="D687" s="20" t="s">
        <v>1379</v>
      </c>
      <c r="E687" s="20" t="s">
        <v>1380</v>
      </c>
      <c r="F687" s="20">
        <v>32.974650029999999</v>
      </c>
      <c r="G687" s="20">
        <v>44.357409539999999</v>
      </c>
      <c r="H687" s="22">
        <v>155</v>
      </c>
      <c r="I687" s="22">
        <v>930</v>
      </c>
      <c r="J687" s="21"/>
      <c r="K687" s="21">
        <v>142</v>
      </c>
      <c r="L687" s="21">
        <v>13</v>
      </c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>
        <v>94</v>
      </c>
      <c r="AD687" s="21"/>
      <c r="AE687" s="21">
        <v>5</v>
      </c>
      <c r="AF687" s="21"/>
      <c r="AG687" s="21"/>
      <c r="AH687" s="21">
        <v>56</v>
      </c>
      <c r="AI687" s="21"/>
      <c r="AJ687" s="21"/>
      <c r="AK687" s="21"/>
      <c r="AL687" s="21"/>
      <c r="AM687" s="21">
        <v>13</v>
      </c>
      <c r="AN687" s="21">
        <v>122</v>
      </c>
      <c r="AO687" s="21">
        <v>11</v>
      </c>
      <c r="AP687" s="21">
        <v>9</v>
      </c>
      <c r="AQ687" s="21"/>
      <c r="AR687" s="21"/>
      <c r="AS687" s="21"/>
      <c r="AT687" s="12" t="str">
        <f>HYPERLINK("http://www.openstreetmap.org/?mlat=32.9747&amp;mlon=44.3574&amp;zoom=12#map=12/32.9747/44.3574","Maplink1")</f>
        <v>Maplink1</v>
      </c>
      <c r="AU687" s="12" t="str">
        <f>HYPERLINK("https://www.google.iq/maps/search/+32.9747,44.3574/@32.9747,44.3574,14z?hl=en","Maplink2")</f>
        <v>Maplink2</v>
      </c>
      <c r="AV687" s="12" t="str">
        <f>HYPERLINK("http://www.bing.com/maps/?lvl=14&amp;sty=h&amp;cp=32.9747~44.3574&amp;sp=point.32.9747_44.3574","Maplink3")</f>
        <v>Maplink3</v>
      </c>
    </row>
    <row r="688" spans="1:48" ht="15" customHeight="1" x14ac:dyDescent="0.25">
      <c r="A688" s="19">
        <v>25149</v>
      </c>
      <c r="B688" s="20" t="s">
        <v>11</v>
      </c>
      <c r="C688" s="20" t="s">
        <v>1374</v>
      </c>
      <c r="D688" s="20" t="s">
        <v>1381</v>
      </c>
      <c r="E688" s="20" t="s">
        <v>1382</v>
      </c>
      <c r="F688" s="20">
        <v>32.995513799999998</v>
      </c>
      <c r="G688" s="20">
        <v>44.359287010000003</v>
      </c>
      <c r="H688" s="22">
        <v>92</v>
      </c>
      <c r="I688" s="22">
        <v>552</v>
      </c>
      <c r="J688" s="21"/>
      <c r="K688" s="21">
        <v>84</v>
      </c>
      <c r="L688" s="21">
        <v>8</v>
      </c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>
        <v>74</v>
      </c>
      <c r="AD688" s="21"/>
      <c r="AE688" s="21"/>
      <c r="AF688" s="21"/>
      <c r="AG688" s="21"/>
      <c r="AH688" s="21">
        <v>18</v>
      </c>
      <c r="AI688" s="21"/>
      <c r="AJ688" s="21"/>
      <c r="AK688" s="21"/>
      <c r="AL688" s="21"/>
      <c r="AM688" s="21">
        <v>10</v>
      </c>
      <c r="AN688" s="21">
        <v>57</v>
      </c>
      <c r="AO688" s="21">
        <v>25</v>
      </c>
      <c r="AP688" s="21"/>
      <c r="AQ688" s="21"/>
      <c r="AR688" s="21"/>
      <c r="AS688" s="21"/>
      <c r="AT688" s="12" t="str">
        <f>HYPERLINK("http://www.openstreetmap.org/?mlat=32.9955&amp;mlon=44.3593&amp;zoom=12#map=12/32.9955/44.3593","Maplink1")</f>
        <v>Maplink1</v>
      </c>
      <c r="AU688" s="12" t="str">
        <f>HYPERLINK("https://www.google.iq/maps/search/+32.9955,44.3593/@32.9955,44.3593,14z?hl=en","Maplink2")</f>
        <v>Maplink2</v>
      </c>
      <c r="AV688" s="12" t="str">
        <f>HYPERLINK("http://www.bing.com/maps/?lvl=14&amp;sty=h&amp;cp=32.9955~44.3593&amp;sp=point.32.9955_44.3593","Maplink3")</f>
        <v>Maplink3</v>
      </c>
    </row>
    <row r="689" spans="1:48" ht="15" customHeight="1" x14ac:dyDescent="0.25">
      <c r="A689" s="19">
        <v>25141</v>
      </c>
      <c r="B689" s="20" t="s">
        <v>11</v>
      </c>
      <c r="C689" s="20" t="s">
        <v>1374</v>
      </c>
      <c r="D689" s="20" t="s">
        <v>1383</v>
      </c>
      <c r="E689" s="20" t="s">
        <v>1384</v>
      </c>
      <c r="F689" s="20">
        <v>33.079880000000003</v>
      </c>
      <c r="G689" s="20">
        <v>44.254950000000001</v>
      </c>
      <c r="H689" s="22">
        <v>12</v>
      </c>
      <c r="I689" s="22">
        <v>72</v>
      </c>
      <c r="J689" s="21">
        <v>8</v>
      </c>
      <c r="K689" s="21">
        <v>4</v>
      </c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>
        <v>5</v>
      </c>
      <c r="AD689" s="21"/>
      <c r="AE689" s="21"/>
      <c r="AF689" s="21"/>
      <c r="AG689" s="21"/>
      <c r="AH689" s="21">
        <v>7</v>
      </c>
      <c r="AI689" s="21"/>
      <c r="AJ689" s="21"/>
      <c r="AK689" s="21"/>
      <c r="AL689" s="21">
        <v>8</v>
      </c>
      <c r="AM689" s="21"/>
      <c r="AN689" s="21"/>
      <c r="AO689" s="21">
        <v>4</v>
      </c>
      <c r="AP689" s="21"/>
      <c r="AQ689" s="21"/>
      <c r="AR689" s="21"/>
      <c r="AS689" s="21"/>
      <c r="AT689" s="12" t="str">
        <f>HYPERLINK("http://www.openstreetmap.org/?mlat=33.0799&amp;mlon=44.255&amp;zoom=12#map=12/33.0799/44.255","Maplink1")</f>
        <v>Maplink1</v>
      </c>
      <c r="AU689" s="12" t="str">
        <f>HYPERLINK("https://www.google.iq/maps/search/+33.0799,44.255/@33.0799,44.255,14z?hl=en","Maplink2")</f>
        <v>Maplink2</v>
      </c>
      <c r="AV689" s="12" t="str">
        <f>HYPERLINK("http://www.bing.com/maps/?lvl=14&amp;sty=h&amp;cp=33.0799~44.255&amp;sp=point.33.0799_44.255","Maplink3")</f>
        <v>Maplink3</v>
      </c>
    </row>
    <row r="690" spans="1:48" ht="15" customHeight="1" x14ac:dyDescent="0.25">
      <c r="A690" s="19">
        <v>25936</v>
      </c>
      <c r="B690" s="20" t="s">
        <v>11</v>
      </c>
      <c r="C690" s="20" t="s">
        <v>1374</v>
      </c>
      <c r="D690" s="20" t="s">
        <v>1385</v>
      </c>
      <c r="E690" s="20" t="s">
        <v>1386</v>
      </c>
      <c r="F690" s="20">
        <v>33.216369999999998</v>
      </c>
      <c r="G690" s="20">
        <v>44.172584000000001</v>
      </c>
      <c r="H690" s="22">
        <v>5</v>
      </c>
      <c r="I690" s="22">
        <v>30</v>
      </c>
      <c r="J690" s="21"/>
      <c r="K690" s="21">
        <v>5</v>
      </c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>
        <v>5</v>
      </c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>
        <v>5</v>
      </c>
      <c r="AP690" s="21"/>
      <c r="AQ690" s="21"/>
      <c r="AR690" s="21"/>
      <c r="AS690" s="21"/>
      <c r="AT690" s="12" t="str">
        <f>HYPERLINK("http://www.openstreetmap.org/?mlat=33.2164&amp;mlon=44.1726&amp;zoom=12#map=12/33.2164/44.1726","Maplink1")</f>
        <v>Maplink1</v>
      </c>
      <c r="AU690" s="12" t="str">
        <f>HYPERLINK("https://www.google.iq/maps/search/+33.2164,44.1726/@33.2164,44.1726,14z?hl=en","Maplink2")</f>
        <v>Maplink2</v>
      </c>
      <c r="AV690" s="12" t="str">
        <f>HYPERLINK("http://www.bing.com/maps/?lvl=14&amp;sty=h&amp;cp=33.2164~44.1726&amp;sp=point.33.2164_44.1726","Maplink3")</f>
        <v>Maplink3</v>
      </c>
    </row>
    <row r="691" spans="1:48" ht="15" customHeight="1" x14ac:dyDescent="0.25">
      <c r="A691" s="19">
        <v>27253</v>
      </c>
      <c r="B691" s="20" t="s">
        <v>11</v>
      </c>
      <c r="C691" s="20" t="s">
        <v>1374</v>
      </c>
      <c r="D691" s="20" t="s">
        <v>1387</v>
      </c>
      <c r="E691" s="20" t="s">
        <v>1388</v>
      </c>
      <c r="F691" s="20">
        <v>33.071995889999997</v>
      </c>
      <c r="G691" s="20">
        <v>44.355878019999999</v>
      </c>
      <c r="H691" s="22">
        <v>3</v>
      </c>
      <c r="I691" s="22">
        <v>18</v>
      </c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>
        <v>1</v>
      </c>
      <c r="W691" s="21"/>
      <c r="X691" s="21">
        <v>2</v>
      </c>
      <c r="Y691" s="21"/>
      <c r="Z691" s="21"/>
      <c r="AA691" s="21"/>
      <c r="AB691" s="21"/>
      <c r="AC691" s="21"/>
      <c r="AD691" s="21"/>
      <c r="AE691" s="21"/>
      <c r="AF691" s="21"/>
      <c r="AG691" s="21"/>
      <c r="AH691" s="21">
        <v>3</v>
      </c>
      <c r="AI691" s="21"/>
      <c r="AJ691" s="21"/>
      <c r="AK691" s="21"/>
      <c r="AL691" s="21"/>
      <c r="AM691" s="21"/>
      <c r="AN691" s="21">
        <v>1</v>
      </c>
      <c r="AO691" s="21">
        <v>2</v>
      </c>
      <c r="AP691" s="21"/>
      <c r="AQ691" s="21"/>
      <c r="AR691" s="21"/>
      <c r="AS691" s="21"/>
      <c r="AT691" s="12" t="str">
        <f>HYPERLINK("http://www.openstreetmap.org/?mlat=33.072&amp;mlon=44.3559&amp;zoom=12#map=12/33.072/44.3559","Maplink1")</f>
        <v>Maplink1</v>
      </c>
      <c r="AU691" s="12" t="str">
        <f>HYPERLINK("https://www.google.iq/maps/search/+33.072,44.3559/@33.072,44.3559,14z?hl=en","Maplink2")</f>
        <v>Maplink2</v>
      </c>
      <c r="AV691" s="12" t="str">
        <f>HYPERLINK("http://www.bing.com/maps/?lvl=14&amp;sty=h&amp;cp=33.072~44.3559&amp;sp=point.33.072_44.3559","Maplink3")</f>
        <v>Maplink3</v>
      </c>
    </row>
    <row r="692" spans="1:48" ht="15" customHeight="1" x14ac:dyDescent="0.25">
      <c r="A692" s="19">
        <v>25775</v>
      </c>
      <c r="B692" s="20" t="s">
        <v>11</v>
      </c>
      <c r="C692" s="20" t="s">
        <v>1374</v>
      </c>
      <c r="D692" s="20" t="s">
        <v>1389</v>
      </c>
      <c r="E692" s="20" t="s">
        <v>1390</v>
      </c>
      <c r="F692" s="20">
        <v>33.112399969999998</v>
      </c>
      <c r="G692" s="20">
        <v>44.378571190000002</v>
      </c>
      <c r="H692" s="22">
        <v>24</v>
      </c>
      <c r="I692" s="22">
        <v>144</v>
      </c>
      <c r="J692" s="21">
        <v>21</v>
      </c>
      <c r="K692" s="21">
        <v>1</v>
      </c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>
        <v>1</v>
      </c>
      <c r="W692" s="21"/>
      <c r="X692" s="21">
        <v>1</v>
      </c>
      <c r="Y692" s="21"/>
      <c r="Z692" s="21"/>
      <c r="AA692" s="21"/>
      <c r="AB692" s="21">
        <v>24</v>
      </c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>
        <v>1</v>
      </c>
      <c r="AO692" s="21">
        <v>4</v>
      </c>
      <c r="AP692" s="21"/>
      <c r="AQ692" s="21"/>
      <c r="AR692" s="21">
        <v>11</v>
      </c>
      <c r="AS692" s="21">
        <v>8</v>
      </c>
      <c r="AT692" s="12" t="str">
        <f>HYPERLINK("http://www.openstreetmap.org/?mlat=33.1124&amp;mlon=44.3786&amp;zoom=12#map=12/33.1124/44.3786","Maplink1")</f>
        <v>Maplink1</v>
      </c>
      <c r="AU692" s="12" t="str">
        <f>HYPERLINK("https://www.google.iq/maps/search/+33.1124,44.3786/@33.1124,44.3786,14z?hl=en","Maplink2")</f>
        <v>Maplink2</v>
      </c>
      <c r="AV692" s="12" t="str">
        <f>HYPERLINK("http://www.bing.com/maps/?lvl=14&amp;sty=h&amp;cp=33.1124~44.3786&amp;sp=point.33.1124_44.3786","Maplink3")</f>
        <v>Maplink3</v>
      </c>
    </row>
    <row r="693" spans="1:48" ht="15" customHeight="1" x14ac:dyDescent="0.25">
      <c r="A693" s="19">
        <v>7753</v>
      </c>
      <c r="B693" s="20" t="s">
        <v>11</v>
      </c>
      <c r="C693" s="20" t="s">
        <v>1374</v>
      </c>
      <c r="D693" s="20" t="s">
        <v>1391</v>
      </c>
      <c r="E693" s="20" t="s">
        <v>1392</v>
      </c>
      <c r="F693" s="20">
        <v>33.075060809999997</v>
      </c>
      <c r="G693" s="20">
        <v>44.345868449999998</v>
      </c>
      <c r="H693" s="22">
        <v>4</v>
      </c>
      <c r="I693" s="22">
        <v>24</v>
      </c>
      <c r="J693" s="21">
        <v>2</v>
      </c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>
        <v>2</v>
      </c>
      <c r="W693" s="21"/>
      <c r="X693" s="21"/>
      <c r="Y693" s="21"/>
      <c r="Z693" s="21"/>
      <c r="AA693" s="21"/>
      <c r="AB693" s="21"/>
      <c r="AC693" s="21">
        <v>2</v>
      </c>
      <c r="AD693" s="21"/>
      <c r="AE693" s="21"/>
      <c r="AF693" s="21"/>
      <c r="AG693" s="21"/>
      <c r="AH693" s="21">
        <v>2</v>
      </c>
      <c r="AI693" s="21"/>
      <c r="AJ693" s="21"/>
      <c r="AK693" s="21"/>
      <c r="AL693" s="21"/>
      <c r="AM693" s="21">
        <v>2</v>
      </c>
      <c r="AN693" s="21"/>
      <c r="AO693" s="21"/>
      <c r="AP693" s="21">
        <v>2</v>
      </c>
      <c r="AQ693" s="21"/>
      <c r="AR693" s="21"/>
      <c r="AS693" s="21"/>
      <c r="AT693" s="12" t="str">
        <f>HYPERLINK("http://www.openstreetmap.org/?mlat=33.0751&amp;mlon=44.3459&amp;zoom=12#map=12/33.0751/44.3459","Maplink1")</f>
        <v>Maplink1</v>
      </c>
      <c r="AU693" s="12" t="str">
        <f>HYPERLINK("https://www.google.iq/maps/search/+33.0751,44.3459/@33.0751,44.3459,14z?hl=en","Maplink2")</f>
        <v>Maplink2</v>
      </c>
      <c r="AV693" s="12" t="str">
        <f>HYPERLINK("http://www.bing.com/maps/?lvl=14&amp;sty=h&amp;cp=33.0751~44.3459&amp;sp=point.33.0751_44.3459","Maplink3")</f>
        <v>Maplink3</v>
      </c>
    </row>
    <row r="694" spans="1:48" ht="15" customHeight="1" x14ac:dyDescent="0.25">
      <c r="A694" s="19">
        <v>28403</v>
      </c>
      <c r="B694" s="20" t="s">
        <v>11</v>
      </c>
      <c r="C694" s="20" t="s">
        <v>1374</v>
      </c>
      <c r="D694" s="20" t="s">
        <v>1393</v>
      </c>
      <c r="E694" s="20" t="s">
        <v>1394</v>
      </c>
      <c r="F694" s="20">
        <v>33.12127795</v>
      </c>
      <c r="G694" s="20">
        <v>44.369145619999998</v>
      </c>
      <c r="H694" s="22">
        <v>2</v>
      </c>
      <c r="I694" s="22">
        <v>12</v>
      </c>
      <c r="J694" s="21"/>
      <c r="K694" s="21"/>
      <c r="L694" s="21">
        <v>2</v>
      </c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>
        <v>2</v>
      </c>
      <c r="AI694" s="21"/>
      <c r="AJ694" s="21"/>
      <c r="AK694" s="21"/>
      <c r="AL694" s="21"/>
      <c r="AM694" s="21"/>
      <c r="AN694" s="21"/>
      <c r="AO694" s="21">
        <v>2</v>
      </c>
      <c r="AP694" s="21"/>
      <c r="AQ694" s="21"/>
      <c r="AR694" s="21"/>
      <c r="AS694" s="21"/>
      <c r="AT694" s="12" t="str">
        <f>HYPERLINK("http://www.openstreetmap.org/?mlat=33.1213&amp;mlon=44.3691&amp;zoom=12#map=12/33.1213/44.3691","Maplink1")</f>
        <v>Maplink1</v>
      </c>
      <c r="AU694" s="12" t="str">
        <f>HYPERLINK("https://www.google.iq/maps/search/+33.1213,44.3691/@33.1213,44.3691,14z?hl=en","Maplink2")</f>
        <v>Maplink2</v>
      </c>
      <c r="AV694" s="12" t="str">
        <f>HYPERLINK("http://www.bing.com/maps/?lvl=14&amp;sty=h&amp;cp=33.1213~44.3691&amp;sp=point.33.1213_44.3691","Maplink3")</f>
        <v>Maplink3</v>
      </c>
    </row>
    <row r="695" spans="1:48" ht="15" customHeight="1" x14ac:dyDescent="0.25">
      <c r="A695" s="19">
        <v>27323</v>
      </c>
      <c r="B695" s="20" t="s">
        <v>11</v>
      </c>
      <c r="C695" s="20" t="s">
        <v>1374</v>
      </c>
      <c r="D695" s="20" t="s">
        <v>1395</v>
      </c>
      <c r="E695" s="20" t="s">
        <v>1396</v>
      </c>
      <c r="F695" s="20">
        <v>33.106951000000002</v>
      </c>
      <c r="G695" s="20">
        <v>44.499209</v>
      </c>
      <c r="H695" s="22">
        <v>2</v>
      </c>
      <c r="I695" s="22">
        <v>12</v>
      </c>
      <c r="J695" s="21">
        <v>2</v>
      </c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>
        <v>2</v>
      </c>
      <c r="AI695" s="21"/>
      <c r="AJ695" s="21"/>
      <c r="AK695" s="21"/>
      <c r="AL695" s="21">
        <v>2</v>
      </c>
      <c r="AM695" s="21"/>
      <c r="AN695" s="21"/>
      <c r="AO695" s="21"/>
      <c r="AP695" s="21"/>
      <c r="AQ695" s="21"/>
      <c r="AR695" s="21"/>
      <c r="AS695" s="21"/>
      <c r="AT695" s="12" t="str">
        <f>HYPERLINK("http://www.openstreetmap.org/?mlat=33.107&amp;mlon=44.4992&amp;zoom=12#map=12/33.107/44.4992","Maplink1")</f>
        <v>Maplink1</v>
      </c>
      <c r="AU695" s="12" t="str">
        <f>HYPERLINK("https://www.google.iq/maps/search/+33.107,44.4992/@33.107,44.4992,14z?hl=en","Maplink2")</f>
        <v>Maplink2</v>
      </c>
      <c r="AV695" s="12" t="str">
        <f>HYPERLINK("http://www.bing.com/maps/?lvl=14&amp;sty=h&amp;cp=33.107~44.4992&amp;sp=point.33.107_44.4992","Maplink3")</f>
        <v>Maplink3</v>
      </c>
    </row>
    <row r="696" spans="1:48" ht="15" customHeight="1" x14ac:dyDescent="0.25">
      <c r="A696" s="19">
        <v>7754</v>
      </c>
      <c r="B696" s="20" t="s">
        <v>11</v>
      </c>
      <c r="C696" s="20" t="s">
        <v>1374</v>
      </c>
      <c r="D696" s="20" t="s">
        <v>1397</v>
      </c>
      <c r="E696" s="20" t="s">
        <v>1398</v>
      </c>
      <c r="F696" s="20">
        <v>33.083241999999998</v>
      </c>
      <c r="G696" s="20">
        <v>44.257379999999998</v>
      </c>
      <c r="H696" s="22">
        <v>15</v>
      </c>
      <c r="I696" s="22">
        <v>90</v>
      </c>
      <c r="J696" s="21"/>
      <c r="K696" s="21">
        <v>15</v>
      </c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>
        <v>15</v>
      </c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>
        <v>15</v>
      </c>
      <c r="AO696" s="21"/>
      <c r="AP696" s="21"/>
      <c r="AQ696" s="21"/>
      <c r="AR696" s="21"/>
      <c r="AS696" s="21"/>
      <c r="AT696" s="12" t="str">
        <f>HYPERLINK("http://www.openstreetmap.org/?mlat=33.0832&amp;mlon=44.2574&amp;zoom=12#map=12/33.0832/44.2574","Maplink1")</f>
        <v>Maplink1</v>
      </c>
      <c r="AU696" s="12" t="str">
        <f>HYPERLINK("https://www.google.iq/maps/search/+33.0832,44.2574/@33.0832,44.2574,14z?hl=en","Maplink2")</f>
        <v>Maplink2</v>
      </c>
      <c r="AV696" s="12" t="str">
        <f>HYPERLINK("http://www.bing.com/maps/?lvl=14&amp;sty=h&amp;cp=33.0832~44.2574&amp;sp=point.33.0832_44.2574","Maplink3")</f>
        <v>Maplink3</v>
      </c>
    </row>
    <row r="697" spans="1:48" ht="15" customHeight="1" x14ac:dyDescent="0.25">
      <c r="A697" s="19">
        <v>25145</v>
      </c>
      <c r="B697" s="20" t="s">
        <v>11</v>
      </c>
      <c r="C697" s="20" t="s">
        <v>1374</v>
      </c>
      <c r="D697" s="20" t="s">
        <v>1399</v>
      </c>
      <c r="E697" s="20" t="s">
        <v>1400</v>
      </c>
      <c r="F697" s="20">
        <v>33.104407084199998</v>
      </c>
      <c r="G697" s="20">
        <v>44.211379194099997</v>
      </c>
      <c r="H697" s="22">
        <v>9</v>
      </c>
      <c r="I697" s="22">
        <v>54</v>
      </c>
      <c r="J697" s="21">
        <v>2</v>
      </c>
      <c r="K697" s="21">
        <v>7</v>
      </c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>
        <v>2</v>
      </c>
      <c r="AD697" s="21"/>
      <c r="AE697" s="21"/>
      <c r="AF697" s="21"/>
      <c r="AG697" s="21"/>
      <c r="AH697" s="21">
        <v>7</v>
      </c>
      <c r="AI697" s="21"/>
      <c r="AJ697" s="21"/>
      <c r="AK697" s="21"/>
      <c r="AL697" s="21"/>
      <c r="AM697" s="21"/>
      <c r="AN697" s="21">
        <v>4</v>
      </c>
      <c r="AO697" s="21">
        <v>5</v>
      </c>
      <c r="AP697" s="21"/>
      <c r="AQ697" s="21"/>
      <c r="AR697" s="21"/>
      <c r="AS697" s="21"/>
      <c r="AT697" s="12" t="str">
        <f>HYPERLINK("http://www.openstreetmap.org/?mlat=33.1044&amp;mlon=44.2114&amp;zoom=12#map=12/33.1044/44.2114","Maplink1")</f>
        <v>Maplink1</v>
      </c>
      <c r="AU697" s="12" t="str">
        <f>HYPERLINK("https://www.google.iq/maps/search/+33.1044,44.2114/@33.1044,44.2114,14z?hl=en","Maplink2")</f>
        <v>Maplink2</v>
      </c>
      <c r="AV697" s="12" t="str">
        <f>HYPERLINK("http://www.bing.com/maps/?lvl=14&amp;sty=h&amp;cp=33.1044~44.2114&amp;sp=point.33.1044_44.2114","Maplink3")</f>
        <v>Maplink3</v>
      </c>
    </row>
    <row r="698" spans="1:48" ht="15" customHeight="1" x14ac:dyDescent="0.25">
      <c r="A698" s="19">
        <v>21463</v>
      </c>
      <c r="B698" s="20" t="s">
        <v>11</v>
      </c>
      <c r="C698" s="20" t="s">
        <v>1374</v>
      </c>
      <c r="D698" s="20" t="s">
        <v>1401</v>
      </c>
      <c r="E698" s="20" t="s">
        <v>1402</v>
      </c>
      <c r="F698" s="20">
        <v>33.003963421000002</v>
      </c>
      <c r="G698" s="20">
        <v>44.366192255500003</v>
      </c>
      <c r="H698" s="22">
        <v>37</v>
      </c>
      <c r="I698" s="22">
        <v>222</v>
      </c>
      <c r="J698" s="21"/>
      <c r="K698" s="21">
        <v>33</v>
      </c>
      <c r="L698" s="21">
        <v>4</v>
      </c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>
        <v>7</v>
      </c>
      <c r="AD698" s="21"/>
      <c r="AE698" s="21"/>
      <c r="AF698" s="21"/>
      <c r="AG698" s="21"/>
      <c r="AH698" s="21">
        <v>19</v>
      </c>
      <c r="AI698" s="21"/>
      <c r="AJ698" s="21">
        <v>11</v>
      </c>
      <c r="AK698" s="21"/>
      <c r="AL698" s="21"/>
      <c r="AM698" s="21"/>
      <c r="AN698" s="21">
        <v>37</v>
      </c>
      <c r="AO698" s="21"/>
      <c r="AP698" s="21"/>
      <c r="AQ698" s="21"/>
      <c r="AR698" s="21"/>
      <c r="AS698" s="21"/>
      <c r="AT698" s="12" t="str">
        <f>HYPERLINK("http://www.openstreetmap.org/?mlat=33.004&amp;mlon=44.3662&amp;zoom=12#map=12/33.004/44.3662","Maplink1")</f>
        <v>Maplink1</v>
      </c>
      <c r="AU698" s="12" t="str">
        <f>HYPERLINK("https://www.google.iq/maps/search/+33.004,44.3662/@33.004,44.3662,14z?hl=en","Maplink2")</f>
        <v>Maplink2</v>
      </c>
      <c r="AV698" s="12" t="str">
        <f>HYPERLINK("http://www.bing.com/maps/?lvl=14&amp;sty=h&amp;cp=33.004~44.3662&amp;sp=point.33.004_44.3662","Maplink3")</f>
        <v>Maplink3</v>
      </c>
    </row>
    <row r="699" spans="1:48" ht="15" customHeight="1" x14ac:dyDescent="0.25">
      <c r="A699" s="19">
        <v>24121</v>
      </c>
      <c r="B699" s="20" t="s">
        <v>11</v>
      </c>
      <c r="C699" s="20" t="s">
        <v>1374</v>
      </c>
      <c r="D699" s="20" t="s">
        <v>1403</v>
      </c>
      <c r="E699" s="20" t="s">
        <v>1404</v>
      </c>
      <c r="F699" s="20">
        <v>33.063377809999999</v>
      </c>
      <c r="G699" s="20">
        <v>44.359249409999997</v>
      </c>
      <c r="H699" s="22">
        <v>7</v>
      </c>
      <c r="I699" s="22">
        <v>42</v>
      </c>
      <c r="J699" s="21"/>
      <c r="K699" s="21">
        <v>1</v>
      </c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>
        <v>4</v>
      </c>
      <c r="W699" s="21"/>
      <c r="X699" s="21">
        <v>2</v>
      </c>
      <c r="Y699" s="21"/>
      <c r="Z699" s="21"/>
      <c r="AA699" s="21"/>
      <c r="AB699" s="21"/>
      <c r="AC699" s="21">
        <v>3</v>
      </c>
      <c r="AD699" s="21"/>
      <c r="AE699" s="21"/>
      <c r="AF699" s="21"/>
      <c r="AG699" s="21"/>
      <c r="AH699" s="21">
        <v>4</v>
      </c>
      <c r="AI699" s="21"/>
      <c r="AJ699" s="21"/>
      <c r="AK699" s="21"/>
      <c r="AL699" s="21"/>
      <c r="AM699" s="21">
        <v>4</v>
      </c>
      <c r="AN699" s="21"/>
      <c r="AO699" s="21">
        <v>3</v>
      </c>
      <c r="AP699" s="21"/>
      <c r="AQ699" s="21"/>
      <c r="AR699" s="21"/>
      <c r="AS699" s="21"/>
      <c r="AT699" s="12" t="str">
        <f>HYPERLINK("http://www.openstreetmap.org/?mlat=33.0634&amp;mlon=44.3592&amp;zoom=12#map=12/33.0634/44.3592","Maplink1")</f>
        <v>Maplink1</v>
      </c>
      <c r="AU699" s="12" t="str">
        <f>HYPERLINK("https://www.google.iq/maps/search/+33.0634,44.3592/@33.0634,44.3592,14z?hl=en","Maplink2")</f>
        <v>Maplink2</v>
      </c>
      <c r="AV699" s="12" t="str">
        <f>HYPERLINK("http://www.bing.com/maps/?lvl=14&amp;sty=h&amp;cp=33.0634~44.3592&amp;sp=point.33.0634_44.3592","Maplink3")</f>
        <v>Maplink3</v>
      </c>
    </row>
    <row r="700" spans="1:48" ht="15" customHeight="1" x14ac:dyDescent="0.25">
      <c r="A700" s="19">
        <v>27252</v>
      </c>
      <c r="B700" s="20" t="s">
        <v>11</v>
      </c>
      <c r="C700" s="20" t="s">
        <v>1374</v>
      </c>
      <c r="D700" s="20" t="s">
        <v>1406</v>
      </c>
      <c r="E700" s="20" t="s">
        <v>216</v>
      </c>
      <c r="F700" s="20">
        <v>33.046919944800003</v>
      </c>
      <c r="G700" s="20">
        <v>44.357779768599997</v>
      </c>
      <c r="H700" s="22">
        <v>8</v>
      </c>
      <c r="I700" s="22">
        <v>48</v>
      </c>
      <c r="J700" s="21">
        <v>2</v>
      </c>
      <c r="K700" s="21">
        <v>1</v>
      </c>
      <c r="L700" s="21">
        <v>2</v>
      </c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>
        <v>3</v>
      </c>
      <c r="Y700" s="21"/>
      <c r="Z700" s="21"/>
      <c r="AA700" s="21"/>
      <c r="AB700" s="21"/>
      <c r="AC700" s="21">
        <v>2</v>
      </c>
      <c r="AD700" s="21"/>
      <c r="AE700" s="21"/>
      <c r="AF700" s="21"/>
      <c r="AG700" s="21"/>
      <c r="AH700" s="21">
        <v>6</v>
      </c>
      <c r="AI700" s="21"/>
      <c r="AJ700" s="21"/>
      <c r="AK700" s="21"/>
      <c r="AL700" s="21"/>
      <c r="AM700" s="21">
        <v>2</v>
      </c>
      <c r="AN700" s="21"/>
      <c r="AO700" s="21">
        <v>1</v>
      </c>
      <c r="AP700" s="21">
        <v>5</v>
      </c>
      <c r="AQ700" s="21"/>
      <c r="AR700" s="21"/>
      <c r="AS700" s="21"/>
      <c r="AT700" s="12" t="str">
        <f>HYPERLINK("http://www.openstreetmap.org/?mlat=33.0469&amp;mlon=44.3578&amp;zoom=12#map=12/33.0469/44.3578","Maplink1")</f>
        <v>Maplink1</v>
      </c>
      <c r="AU700" s="12" t="str">
        <f>HYPERLINK("https://www.google.iq/maps/search/+33.0469,44.3578/@33.0469,44.3578,14z?hl=en","Maplink2")</f>
        <v>Maplink2</v>
      </c>
      <c r="AV700" s="12" t="str">
        <f>HYPERLINK("http://www.bing.com/maps/?lvl=14&amp;sty=h&amp;cp=33.0469~44.3578&amp;sp=point.33.0469_44.3578","Maplink3")</f>
        <v>Maplink3</v>
      </c>
    </row>
    <row r="701" spans="1:48" ht="15" customHeight="1" x14ac:dyDescent="0.25">
      <c r="A701" s="19">
        <v>29523</v>
      </c>
      <c r="B701" s="20" t="s">
        <v>11</v>
      </c>
      <c r="C701" s="20" t="s">
        <v>1374</v>
      </c>
      <c r="D701" s="20" t="s">
        <v>1407</v>
      </c>
      <c r="E701" s="20" t="s">
        <v>1408</v>
      </c>
      <c r="F701" s="20">
        <v>33.064230000000002</v>
      </c>
      <c r="G701" s="20">
        <v>44.233170000000001</v>
      </c>
      <c r="H701" s="22">
        <v>20</v>
      </c>
      <c r="I701" s="22">
        <v>120</v>
      </c>
      <c r="J701" s="21">
        <v>4</v>
      </c>
      <c r="K701" s="21">
        <v>16</v>
      </c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>
        <v>4</v>
      </c>
      <c r="AD701" s="21"/>
      <c r="AE701" s="21"/>
      <c r="AF701" s="21"/>
      <c r="AG701" s="21"/>
      <c r="AH701" s="21">
        <v>16</v>
      </c>
      <c r="AI701" s="21"/>
      <c r="AJ701" s="21"/>
      <c r="AK701" s="21"/>
      <c r="AL701" s="21">
        <v>16</v>
      </c>
      <c r="AM701" s="21"/>
      <c r="AN701" s="21"/>
      <c r="AO701" s="21">
        <v>4</v>
      </c>
      <c r="AP701" s="21"/>
      <c r="AQ701" s="21"/>
      <c r="AR701" s="21"/>
      <c r="AS701" s="21"/>
      <c r="AT701" s="12" t="str">
        <f>HYPERLINK("http://www.openstreetmap.org/?mlat=33.0642&amp;mlon=44.2332&amp;zoom=12#map=12/33.0642/44.2332","Maplink1")</f>
        <v>Maplink1</v>
      </c>
      <c r="AU701" s="12" t="str">
        <f>HYPERLINK("https://www.google.iq/maps/search/+33.0642,44.2332/@33.0642,44.2332,14z?hl=en","Maplink2")</f>
        <v>Maplink2</v>
      </c>
      <c r="AV701" s="12" t="str">
        <f>HYPERLINK("http://www.bing.com/maps/?lvl=14&amp;sty=h&amp;cp=33.0642~44.2332&amp;sp=point.33.0642_44.2332","Maplink3")</f>
        <v>Maplink3</v>
      </c>
    </row>
    <row r="702" spans="1:48" ht="15" customHeight="1" x14ac:dyDescent="0.25">
      <c r="A702" s="19">
        <v>7733</v>
      </c>
      <c r="B702" s="20" t="s">
        <v>11</v>
      </c>
      <c r="C702" s="20" t="s">
        <v>1374</v>
      </c>
      <c r="D702" s="20" t="s">
        <v>1410</v>
      </c>
      <c r="E702" s="20" t="s">
        <v>153</v>
      </c>
      <c r="F702" s="20">
        <v>33.001849152399998</v>
      </c>
      <c r="G702" s="20">
        <v>44.3657135033</v>
      </c>
      <c r="H702" s="22">
        <v>75</v>
      </c>
      <c r="I702" s="22">
        <v>450</v>
      </c>
      <c r="J702" s="21"/>
      <c r="K702" s="21">
        <v>69</v>
      </c>
      <c r="L702" s="21">
        <v>6</v>
      </c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>
        <v>23</v>
      </c>
      <c r="AD702" s="21"/>
      <c r="AE702" s="21"/>
      <c r="AF702" s="21"/>
      <c r="AG702" s="21"/>
      <c r="AH702" s="21">
        <v>42</v>
      </c>
      <c r="AI702" s="21"/>
      <c r="AJ702" s="21">
        <v>10</v>
      </c>
      <c r="AK702" s="21"/>
      <c r="AL702" s="21"/>
      <c r="AM702" s="21"/>
      <c r="AN702" s="21">
        <v>27</v>
      </c>
      <c r="AO702" s="21">
        <v>48</v>
      </c>
      <c r="AP702" s="21"/>
      <c r="AQ702" s="21"/>
      <c r="AR702" s="21"/>
      <c r="AS702" s="21"/>
      <c r="AT702" s="12" t="str">
        <f>HYPERLINK("http://www.openstreetmap.org/?mlat=33.0018&amp;mlon=44.3657&amp;zoom=12#map=12/33.0018/44.3657","Maplink1")</f>
        <v>Maplink1</v>
      </c>
      <c r="AU702" s="12" t="str">
        <f>HYPERLINK("https://www.google.iq/maps/search/+33.0018,44.3657/@33.0018,44.3657,14z?hl=en","Maplink2")</f>
        <v>Maplink2</v>
      </c>
      <c r="AV702" s="12" t="str">
        <f>HYPERLINK("http://www.bing.com/maps/?lvl=14&amp;sty=h&amp;cp=33.0018~44.3657&amp;sp=point.33.0018_44.3657","Maplink3")</f>
        <v>Maplink3</v>
      </c>
    </row>
    <row r="703" spans="1:48" ht="15" customHeight="1" x14ac:dyDescent="0.25">
      <c r="A703" s="19">
        <v>7615</v>
      </c>
      <c r="B703" s="20" t="s">
        <v>11</v>
      </c>
      <c r="C703" s="20" t="s">
        <v>1374</v>
      </c>
      <c r="D703" s="20" t="s">
        <v>1411</v>
      </c>
      <c r="E703" s="20" t="s">
        <v>112</v>
      </c>
      <c r="F703" s="20">
        <v>32.962685319999999</v>
      </c>
      <c r="G703" s="20">
        <v>44.358617479999999</v>
      </c>
      <c r="H703" s="22">
        <v>32</v>
      </c>
      <c r="I703" s="22">
        <v>192</v>
      </c>
      <c r="J703" s="21"/>
      <c r="K703" s="21">
        <v>32</v>
      </c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>
        <v>22</v>
      </c>
      <c r="AD703" s="21"/>
      <c r="AE703" s="21"/>
      <c r="AF703" s="21"/>
      <c r="AG703" s="21"/>
      <c r="AH703" s="21">
        <v>10</v>
      </c>
      <c r="AI703" s="21"/>
      <c r="AJ703" s="21"/>
      <c r="AK703" s="21"/>
      <c r="AL703" s="21"/>
      <c r="AM703" s="21">
        <v>5</v>
      </c>
      <c r="AN703" s="21">
        <v>10</v>
      </c>
      <c r="AO703" s="21">
        <v>17</v>
      </c>
      <c r="AP703" s="21"/>
      <c r="AQ703" s="21"/>
      <c r="AR703" s="21"/>
      <c r="AS703" s="21"/>
      <c r="AT703" s="12" t="str">
        <f>HYPERLINK("http://www.openstreetmap.org/?mlat=32.9627&amp;mlon=44.3586&amp;zoom=12#map=12/32.9627/44.3586","Maplink1")</f>
        <v>Maplink1</v>
      </c>
      <c r="AU703" s="12" t="str">
        <f>HYPERLINK("https://www.google.iq/maps/search/+32.9627,44.3586/@32.9627,44.3586,14z?hl=en","Maplink2")</f>
        <v>Maplink2</v>
      </c>
      <c r="AV703" s="12" t="str">
        <f>HYPERLINK("http://www.bing.com/maps/?lvl=14&amp;sty=h&amp;cp=32.9627~44.3586&amp;sp=point.32.9627_44.3586","Maplink3")</f>
        <v>Maplink3</v>
      </c>
    </row>
    <row r="704" spans="1:48" ht="15" customHeight="1" x14ac:dyDescent="0.25">
      <c r="A704" s="19">
        <v>24091</v>
      </c>
      <c r="B704" s="20" t="s">
        <v>11</v>
      </c>
      <c r="C704" s="20" t="s">
        <v>1374</v>
      </c>
      <c r="D704" s="20" t="s">
        <v>1412</v>
      </c>
      <c r="E704" s="20" t="s">
        <v>1413</v>
      </c>
      <c r="F704" s="20">
        <v>33.068148324600003</v>
      </c>
      <c r="G704" s="20">
        <v>44.363817600700003</v>
      </c>
      <c r="H704" s="22">
        <v>7</v>
      </c>
      <c r="I704" s="22">
        <v>42</v>
      </c>
      <c r="J704" s="21">
        <v>4</v>
      </c>
      <c r="K704" s="21"/>
      <c r="L704" s="21">
        <v>1</v>
      </c>
      <c r="M704" s="21"/>
      <c r="N704" s="21"/>
      <c r="O704" s="21"/>
      <c r="P704" s="21"/>
      <c r="Q704" s="21"/>
      <c r="R704" s="21"/>
      <c r="S704" s="21"/>
      <c r="T704" s="21"/>
      <c r="U704" s="21"/>
      <c r="V704" s="21">
        <v>2</v>
      </c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>
        <v>7</v>
      </c>
      <c r="AI704" s="21"/>
      <c r="AJ704" s="21"/>
      <c r="AK704" s="21"/>
      <c r="AL704" s="21"/>
      <c r="AM704" s="21">
        <v>1</v>
      </c>
      <c r="AN704" s="21">
        <v>2</v>
      </c>
      <c r="AO704" s="21"/>
      <c r="AP704" s="21">
        <v>4</v>
      </c>
      <c r="AQ704" s="21"/>
      <c r="AR704" s="21"/>
      <c r="AS704" s="21"/>
      <c r="AT704" s="12" t="str">
        <f>HYPERLINK("http://www.openstreetmap.org/?mlat=33.0681&amp;mlon=44.3638&amp;zoom=12#map=12/33.0681/44.3638","Maplink1")</f>
        <v>Maplink1</v>
      </c>
      <c r="AU704" s="12" t="str">
        <f>HYPERLINK("https://www.google.iq/maps/search/+33.0681,44.3638/@33.0681,44.3638,14z?hl=en","Maplink2")</f>
        <v>Maplink2</v>
      </c>
      <c r="AV704" s="12" t="str">
        <f>HYPERLINK("http://www.bing.com/maps/?lvl=14&amp;sty=h&amp;cp=33.0681~44.3638&amp;sp=point.33.0681_44.3638","Maplink3")</f>
        <v>Maplink3</v>
      </c>
    </row>
    <row r="705" spans="1:48" ht="15" customHeight="1" x14ac:dyDescent="0.25">
      <c r="A705" s="19">
        <v>7616</v>
      </c>
      <c r="B705" s="20" t="s">
        <v>11</v>
      </c>
      <c r="C705" s="20" t="s">
        <v>1374</v>
      </c>
      <c r="D705" s="20" t="s">
        <v>1414</v>
      </c>
      <c r="E705" s="20" t="s">
        <v>310</v>
      </c>
      <c r="F705" s="20">
        <v>33.081219439999998</v>
      </c>
      <c r="G705" s="20">
        <v>44.255091450000002</v>
      </c>
      <c r="H705" s="22">
        <v>4</v>
      </c>
      <c r="I705" s="22">
        <v>24</v>
      </c>
      <c r="J705" s="21"/>
      <c r="K705" s="21">
        <v>4</v>
      </c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>
        <v>4</v>
      </c>
      <c r="AD705" s="21"/>
      <c r="AE705" s="21"/>
      <c r="AF705" s="21"/>
      <c r="AG705" s="21"/>
      <c r="AH705" s="21"/>
      <c r="AI705" s="21"/>
      <c r="AJ705" s="21"/>
      <c r="AK705" s="21"/>
      <c r="AL705" s="21">
        <v>4</v>
      </c>
      <c r="AM705" s="21"/>
      <c r="AN705" s="21"/>
      <c r="AO705" s="21"/>
      <c r="AP705" s="21"/>
      <c r="AQ705" s="21"/>
      <c r="AR705" s="21"/>
      <c r="AS705" s="21"/>
      <c r="AT705" s="12" t="str">
        <f>HYPERLINK("http://www.openstreetmap.org/?mlat=33.0812&amp;mlon=44.2551&amp;zoom=12#map=12/33.0812/44.2551","Maplink1")</f>
        <v>Maplink1</v>
      </c>
      <c r="AU705" s="12" t="str">
        <f>HYPERLINK("https://www.google.iq/maps/search/+33.0812,44.2551/@33.0812,44.2551,14z?hl=en","Maplink2")</f>
        <v>Maplink2</v>
      </c>
      <c r="AV705" s="12" t="str">
        <f>HYPERLINK("http://www.bing.com/maps/?lvl=14&amp;sty=h&amp;cp=33.0812~44.2551&amp;sp=point.33.0812_44.2551","Maplink3")</f>
        <v>Maplink3</v>
      </c>
    </row>
    <row r="706" spans="1:48" ht="15" customHeight="1" x14ac:dyDescent="0.25">
      <c r="A706" s="19">
        <v>7752</v>
      </c>
      <c r="B706" s="20" t="s">
        <v>11</v>
      </c>
      <c r="C706" s="20" t="s">
        <v>1374</v>
      </c>
      <c r="D706" s="20" t="s">
        <v>170</v>
      </c>
      <c r="E706" s="20" t="s">
        <v>117</v>
      </c>
      <c r="F706" s="20">
        <v>33.164030700600001</v>
      </c>
      <c r="G706" s="20">
        <v>44.360948232299997</v>
      </c>
      <c r="H706" s="22">
        <v>1</v>
      </c>
      <c r="I706" s="22">
        <v>6</v>
      </c>
      <c r="J706" s="21"/>
      <c r="K706" s="21"/>
      <c r="L706" s="21">
        <v>1</v>
      </c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>
        <v>1</v>
      </c>
      <c r="AI706" s="21"/>
      <c r="AJ706" s="21"/>
      <c r="AK706" s="21"/>
      <c r="AL706" s="21">
        <v>1</v>
      </c>
      <c r="AM706" s="21"/>
      <c r="AN706" s="21"/>
      <c r="AO706" s="21"/>
      <c r="AP706" s="21"/>
      <c r="AQ706" s="21"/>
      <c r="AR706" s="21"/>
      <c r="AS706" s="21"/>
      <c r="AT706" s="12" t="str">
        <f>HYPERLINK("http://www.openstreetmap.org/?mlat=33.164&amp;mlon=44.3609&amp;zoom=12#map=12/33.164/44.3609","Maplink1")</f>
        <v>Maplink1</v>
      </c>
      <c r="AU706" s="12" t="str">
        <f>HYPERLINK("https://www.google.iq/maps/search/+33.164,44.3609/@33.164,44.3609,14z?hl=en","Maplink2")</f>
        <v>Maplink2</v>
      </c>
      <c r="AV706" s="12" t="str">
        <f>HYPERLINK("http://www.bing.com/maps/?lvl=14&amp;sty=h&amp;cp=33.164~44.3609&amp;sp=point.33.164_44.3609","Maplink3")</f>
        <v>Maplink3</v>
      </c>
    </row>
    <row r="707" spans="1:48" ht="15" customHeight="1" x14ac:dyDescent="0.25">
      <c r="A707" s="19">
        <v>27321</v>
      </c>
      <c r="B707" s="20" t="s">
        <v>11</v>
      </c>
      <c r="C707" s="20" t="s">
        <v>1374</v>
      </c>
      <c r="D707" s="20" t="s">
        <v>1415</v>
      </c>
      <c r="E707" s="20" t="s">
        <v>1416</v>
      </c>
      <c r="F707" s="20">
        <v>33.1183166</v>
      </c>
      <c r="G707" s="20">
        <v>44.368324710000003</v>
      </c>
      <c r="H707" s="22">
        <v>8</v>
      </c>
      <c r="I707" s="22">
        <v>48</v>
      </c>
      <c r="J707" s="21">
        <v>1</v>
      </c>
      <c r="K707" s="21">
        <v>5</v>
      </c>
      <c r="L707" s="21">
        <v>1</v>
      </c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>
        <v>1</v>
      </c>
      <c r="Y707" s="21"/>
      <c r="Z707" s="21"/>
      <c r="AA707" s="21"/>
      <c r="AB707" s="21"/>
      <c r="AC707" s="21"/>
      <c r="AD707" s="21"/>
      <c r="AE707" s="21"/>
      <c r="AF707" s="21"/>
      <c r="AG707" s="21"/>
      <c r="AH707" s="21">
        <v>8</v>
      </c>
      <c r="AI707" s="21"/>
      <c r="AJ707" s="21"/>
      <c r="AK707" s="21"/>
      <c r="AL707" s="21"/>
      <c r="AM707" s="21"/>
      <c r="AN707" s="21">
        <v>7</v>
      </c>
      <c r="AO707" s="21"/>
      <c r="AP707" s="21">
        <v>1</v>
      </c>
      <c r="AQ707" s="21"/>
      <c r="AR707" s="21"/>
      <c r="AS707" s="21"/>
      <c r="AT707" s="12" t="str">
        <f>HYPERLINK("http://www.openstreetmap.org/?mlat=33.1183&amp;mlon=44.3683&amp;zoom=12#map=12/33.1183/44.3683","Maplink1")</f>
        <v>Maplink1</v>
      </c>
      <c r="AU707" s="12" t="str">
        <f>HYPERLINK("https://www.google.iq/maps/search/+33.1183,44.3683/@33.1183,44.3683,14z?hl=en","Maplink2")</f>
        <v>Maplink2</v>
      </c>
      <c r="AV707" s="12" t="str">
        <f>HYPERLINK("http://www.bing.com/maps/?lvl=14&amp;sty=h&amp;cp=33.1183~44.3683&amp;sp=point.33.1183_44.3683","Maplink3")</f>
        <v>Maplink3</v>
      </c>
    </row>
    <row r="708" spans="1:48" ht="15" customHeight="1" x14ac:dyDescent="0.25">
      <c r="A708" s="19">
        <v>27322</v>
      </c>
      <c r="B708" s="20" t="s">
        <v>11</v>
      </c>
      <c r="C708" s="20" t="s">
        <v>1374</v>
      </c>
      <c r="D708" s="20" t="s">
        <v>1417</v>
      </c>
      <c r="E708" s="20" t="s">
        <v>1418</v>
      </c>
      <c r="F708" s="20">
        <v>33.124203199999997</v>
      </c>
      <c r="G708" s="20">
        <v>44.365598519999999</v>
      </c>
      <c r="H708" s="22">
        <v>1</v>
      </c>
      <c r="I708" s="22">
        <v>6</v>
      </c>
      <c r="J708" s="21"/>
      <c r="K708" s="21"/>
      <c r="L708" s="21">
        <v>1</v>
      </c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>
        <v>1</v>
      </c>
      <c r="AI708" s="21"/>
      <c r="AJ708" s="21"/>
      <c r="AK708" s="21"/>
      <c r="AL708" s="21"/>
      <c r="AM708" s="21"/>
      <c r="AN708" s="21"/>
      <c r="AO708" s="21">
        <v>1</v>
      </c>
      <c r="AP708" s="21"/>
      <c r="AQ708" s="21"/>
      <c r="AR708" s="21"/>
      <c r="AS708" s="21"/>
      <c r="AT708" s="12" t="str">
        <f>HYPERLINK("http://www.openstreetmap.org/?mlat=33.1242&amp;mlon=44.3656&amp;zoom=12#map=12/33.1242/44.3656","Maplink1")</f>
        <v>Maplink1</v>
      </c>
      <c r="AU708" s="12" t="str">
        <f>HYPERLINK("https://www.google.iq/maps/search/+33.1242,44.3656/@33.1242,44.3656,14z?hl=en","Maplink2")</f>
        <v>Maplink2</v>
      </c>
      <c r="AV708" s="12" t="str">
        <f>HYPERLINK("http://www.bing.com/maps/?lvl=14&amp;sty=h&amp;cp=33.1242~44.3656&amp;sp=point.33.1242_44.3656","Maplink3")</f>
        <v>Maplink3</v>
      </c>
    </row>
    <row r="709" spans="1:48" ht="15" customHeight="1" x14ac:dyDescent="0.25">
      <c r="A709" s="19">
        <v>7758</v>
      </c>
      <c r="B709" s="20" t="s">
        <v>11</v>
      </c>
      <c r="C709" s="20" t="s">
        <v>1374</v>
      </c>
      <c r="D709" s="20" t="s">
        <v>1419</v>
      </c>
      <c r="E709" s="20" t="s">
        <v>1367</v>
      </c>
      <c r="F709" s="20">
        <v>33.093831289999997</v>
      </c>
      <c r="G709" s="20">
        <v>44.368727030000002</v>
      </c>
      <c r="H709" s="22">
        <v>5</v>
      </c>
      <c r="I709" s="22">
        <v>30</v>
      </c>
      <c r="J709" s="21">
        <v>2</v>
      </c>
      <c r="K709" s="21">
        <v>1</v>
      </c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>
        <v>2</v>
      </c>
      <c r="Y709" s="21"/>
      <c r="Z709" s="21"/>
      <c r="AA709" s="21"/>
      <c r="AB709" s="21"/>
      <c r="AC709" s="21"/>
      <c r="AD709" s="21"/>
      <c r="AE709" s="21"/>
      <c r="AF709" s="21"/>
      <c r="AG709" s="21"/>
      <c r="AH709" s="21">
        <v>5</v>
      </c>
      <c r="AI709" s="21"/>
      <c r="AJ709" s="21"/>
      <c r="AK709" s="21"/>
      <c r="AL709" s="21">
        <v>2</v>
      </c>
      <c r="AM709" s="21"/>
      <c r="AN709" s="21"/>
      <c r="AO709" s="21">
        <v>3</v>
      </c>
      <c r="AP709" s="21"/>
      <c r="AQ709" s="21"/>
      <c r="AR709" s="21"/>
      <c r="AS709" s="21"/>
      <c r="AT709" s="12" t="str">
        <f>HYPERLINK("http://www.openstreetmap.org/?mlat=33.0938&amp;mlon=44.3687&amp;zoom=12#map=12/33.0938/44.3687","Maplink1")</f>
        <v>Maplink1</v>
      </c>
      <c r="AU709" s="12" t="str">
        <f>HYPERLINK("https://www.google.iq/maps/search/+33.0938,44.3687/@33.0938,44.3687,14z?hl=en","Maplink2")</f>
        <v>Maplink2</v>
      </c>
      <c r="AV709" s="12" t="str">
        <f>HYPERLINK("http://www.bing.com/maps/?lvl=14&amp;sty=h&amp;cp=33.0938~44.3687&amp;sp=point.33.0938_44.3687","Maplink3")</f>
        <v>Maplink3</v>
      </c>
    </row>
    <row r="710" spans="1:48" ht="15" customHeight="1" x14ac:dyDescent="0.25">
      <c r="A710" s="19">
        <v>25152</v>
      </c>
      <c r="B710" s="20" t="s">
        <v>11</v>
      </c>
      <c r="C710" s="20" t="s">
        <v>1374</v>
      </c>
      <c r="D710" s="20" t="s">
        <v>174</v>
      </c>
      <c r="E710" s="20" t="s">
        <v>175</v>
      </c>
      <c r="F710" s="20">
        <v>32.9585087655</v>
      </c>
      <c r="G710" s="20">
        <v>44.343019298800002</v>
      </c>
      <c r="H710" s="22">
        <v>170</v>
      </c>
      <c r="I710" s="22">
        <v>1020</v>
      </c>
      <c r="J710" s="21"/>
      <c r="K710" s="21">
        <v>170</v>
      </c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>
        <v>100</v>
      </c>
      <c r="AD710" s="21"/>
      <c r="AE710" s="21"/>
      <c r="AF710" s="21"/>
      <c r="AG710" s="21"/>
      <c r="AH710" s="21">
        <v>70</v>
      </c>
      <c r="AI710" s="21"/>
      <c r="AJ710" s="21"/>
      <c r="AK710" s="21"/>
      <c r="AL710" s="21"/>
      <c r="AM710" s="21"/>
      <c r="AN710" s="21">
        <v>112</v>
      </c>
      <c r="AO710" s="21">
        <v>58</v>
      </c>
      <c r="AP710" s="21"/>
      <c r="AQ710" s="21"/>
      <c r="AR710" s="21"/>
      <c r="AS710" s="21"/>
      <c r="AT710" s="12" t="str">
        <f>HYPERLINK("http://www.openstreetmap.org/?mlat=32.9585&amp;mlon=44.343&amp;zoom=12#map=12/32.9585/44.343","Maplink1")</f>
        <v>Maplink1</v>
      </c>
      <c r="AU710" s="12" t="str">
        <f>HYPERLINK("https://www.google.iq/maps/search/+32.9585,44.343/@32.9585,44.343,14z?hl=en","Maplink2")</f>
        <v>Maplink2</v>
      </c>
      <c r="AV710" s="12" t="str">
        <f>HYPERLINK("http://www.bing.com/maps/?lvl=14&amp;sty=h&amp;cp=32.9585~44.343&amp;sp=point.32.9585_44.343","Maplink3")</f>
        <v>Maplink3</v>
      </c>
    </row>
    <row r="711" spans="1:48" ht="15" customHeight="1" x14ac:dyDescent="0.25">
      <c r="A711" s="19">
        <v>25154</v>
      </c>
      <c r="B711" s="20" t="s">
        <v>11</v>
      </c>
      <c r="C711" s="20" t="s">
        <v>1374</v>
      </c>
      <c r="D711" s="20" t="s">
        <v>1420</v>
      </c>
      <c r="E711" s="20" t="s">
        <v>1421</v>
      </c>
      <c r="F711" s="20">
        <v>32.957549299999997</v>
      </c>
      <c r="G711" s="20">
        <v>44.329585850000001</v>
      </c>
      <c r="H711" s="22">
        <v>20</v>
      </c>
      <c r="I711" s="22">
        <v>120</v>
      </c>
      <c r="J711" s="21">
        <v>2</v>
      </c>
      <c r="K711" s="21">
        <v>18</v>
      </c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>
        <v>18</v>
      </c>
      <c r="AD711" s="21"/>
      <c r="AE711" s="21"/>
      <c r="AF711" s="21"/>
      <c r="AG711" s="21"/>
      <c r="AH711" s="21">
        <v>2</v>
      </c>
      <c r="AI711" s="21"/>
      <c r="AJ711" s="21"/>
      <c r="AK711" s="21"/>
      <c r="AL711" s="21"/>
      <c r="AM711" s="21"/>
      <c r="AN711" s="21">
        <v>4</v>
      </c>
      <c r="AO711" s="21">
        <v>14</v>
      </c>
      <c r="AP711" s="21">
        <v>2</v>
      </c>
      <c r="AQ711" s="21"/>
      <c r="AR711" s="21"/>
      <c r="AS711" s="21"/>
      <c r="AT711" s="12" t="str">
        <f>HYPERLINK("http://www.openstreetmap.org/?mlat=32.9575&amp;mlon=44.3296&amp;zoom=12#map=12/32.9575/44.3296","Maplink1")</f>
        <v>Maplink1</v>
      </c>
      <c r="AU711" s="12" t="str">
        <f>HYPERLINK("https://www.google.iq/maps/search/+32.9575,44.3296/@32.9575,44.3296,14z?hl=en","Maplink2")</f>
        <v>Maplink2</v>
      </c>
      <c r="AV711" s="12" t="str">
        <f>HYPERLINK("http://www.bing.com/maps/?lvl=14&amp;sty=h&amp;cp=32.9575~44.3296&amp;sp=point.32.9575_44.3296","Maplink3")</f>
        <v>Maplink3</v>
      </c>
    </row>
    <row r="712" spans="1:48" ht="15" customHeight="1" x14ac:dyDescent="0.25">
      <c r="A712" s="19">
        <v>25153</v>
      </c>
      <c r="B712" s="20" t="s">
        <v>11</v>
      </c>
      <c r="C712" s="20" t="s">
        <v>1374</v>
      </c>
      <c r="D712" s="20" t="s">
        <v>5635</v>
      </c>
      <c r="E712" s="20" t="s">
        <v>5636</v>
      </c>
      <c r="F712" s="20">
        <v>32.944312009999997</v>
      </c>
      <c r="G712" s="20">
        <v>44.35577996</v>
      </c>
      <c r="H712" s="22">
        <v>6</v>
      </c>
      <c r="I712" s="22">
        <v>36</v>
      </c>
      <c r="J712" s="21"/>
      <c r="K712" s="21">
        <v>6</v>
      </c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>
        <v>6</v>
      </c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>
        <v>6</v>
      </c>
      <c r="AO712" s="21"/>
      <c r="AP712" s="21"/>
      <c r="AQ712" s="21"/>
      <c r="AR712" s="21"/>
      <c r="AS712" s="21"/>
      <c r="AT712" s="12" t="str">
        <f>HYPERLINK("http://www.openstreetmap.org/?mlat=32.9443&amp;mlon=44.3558&amp;zoom=12#map=12/32.9443/44.3558","Maplink1")</f>
        <v>Maplink1</v>
      </c>
      <c r="AU712" s="12" t="str">
        <f>HYPERLINK("https://www.google.iq/maps/search/+32.9443,44.3558/@32.9443,44.3558,14z?hl=en","Maplink2")</f>
        <v>Maplink2</v>
      </c>
      <c r="AV712" s="12" t="str">
        <f>HYPERLINK("http://www.bing.com/maps/?lvl=14&amp;sty=h&amp;cp=32.9443~44.3558&amp;sp=point.32.9443_44.3558","Maplink3")</f>
        <v>Maplink3</v>
      </c>
    </row>
    <row r="713" spans="1:48" ht="15" customHeight="1" x14ac:dyDescent="0.25">
      <c r="A713" s="19">
        <v>27324</v>
      </c>
      <c r="B713" s="20" t="s">
        <v>11</v>
      </c>
      <c r="C713" s="20" t="s">
        <v>1374</v>
      </c>
      <c r="D713" s="20" t="s">
        <v>1422</v>
      </c>
      <c r="E713" s="20" t="s">
        <v>1423</v>
      </c>
      <c r="F713" s="20">
        <v>33.175978084500002</v>
      </c>
      <c r="G713" s="20">
        <v>44.365288557100001</v>
      </c>
      <c r="H713" s="22">
        <v>9</v>
      </c>
      <c r="I713" s="22">
        <v>54</v>
      </c>
      <c r="J713" s="21">
        <v>4</v>
      </c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>
        <v>2</v>
      </c>
      <c r="W713" s="21"/>
      <c r="X713" s="21">
        <v>3</v>
      </c>
      <c r="Y713" s="21"/>
      <c r="Z713" s="21"/>
      <c r="AA713" s="21"/>
      <c r="AB713" s="21"/>
      <c r="AC713" s="21">
        <v>3</v>
      </c>
      <c r="AD713" s="21"/>
      <c r="AE713" s="21"/>
      <c r="AF713" s="21"/>
      <c r="AG713" s="21"/>
      <c r="AH713" s="21">
        <v>6</v>
      </c>
      <c r="AI713" s="21"/>
      <c r="AJ713" s="21"/>
      <c r="AK713" s="21"/>
      <c r="AL713" s="21"/>
      <c r="AM713" s="21"/>
      <c r="AN713" s="21">
        <v>3</v>
      </c>
      <c r="AO713" s="21">
        <v>2</v>
      </c>
      <c r="AP713" s="21">
        <v>2</v>
      </c>
      <c r="AQ713" s="21">
        <v>2</v>
      </c>
      <c r="AR713" s="21"/>
      <c r="AS713" s="21"/>
      <c r="AT713" s="12" t="str">
        <f>HYPERLINK("http://www.openstreetmap.org/?mlat=33.176&amp;mlon=44.3653&amp;zoom=12#map=12/33.176/44.3653","Maplink1")</f>
        <v>Maplink1</v>
      </c>
      <c r="AU713" s="12" t="str">
        <f>HYPERLINK("https://www.google.iq/maps/search/+33.176,44.3653/@33.176,44.3653,14z?hl=en","Maplink2")</f>
        <v>Maplink2</v>
      </c>
      <c r="AV713" s="12" t="str">
        <f>HYPERLINK("http://www.bing.com/maps/?lvl=14&amp;sty=h&amp;cp=33.176~44.3653&amp;sp=point.33.176_44.3653","Maplink3")</f>
        <v>Maplink3</v>
      </c>
    </row>
    <row r="714" spans="1:48" ht="15" customHeight="1" x14ac:dyDescent="0.25">
      <c r="A714" s="19">
        <v>29588</v>
      </c>
      <c r="B714" s="20" t="s">
        <v>11</v>
      </c>
      <c r="C714" s="20" t="s">
        <v>1374</v>
      </c>
      <c r="D714" s="20" t="s">
        <v>6067</v>
      </c>
      <c r="E714" s="20" t="s">
        <v>1424</v>
      </c>
      <c r="F714" s="20">
        <v>32.968873000000002</v>
      </c>
      <c r="G714" s="20">
        <v>44.351599999999998</v>
      </c>
      <c r="H714" s="22">
        <v>45</v>
      </c>
      <c r="I714" s="22">
        <v>270</v>
      </c>
      <c r="J714" s="21"/>
      <c r="K714" s="21">
        <v>45</v>
      </c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>
        <v>45</v>
      </c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>
        <v>45</v>
      </c>
      <c r="AO714" s="21"/>
      <c r="AP714" s="21"/>
      <c r="AQ714" s="21"/>
      <c r="AR714" s="21"/>
      <c r="AS714" s="21"/>
      <c r="AT714" s="12" t="str">
        <f>HYPERLINK("http://www.openstreetmap.org/?mlat=32.9689&amp;mlon=44.3516&amp;zoom=12#map=12/32.9689/44.3516","Maplink1")</f>
        <v>Maplink1</v>
      </c>
      <c r="AU714" s="12" t="str">
        <f>HYPERLINK("https://www.google.iq/maps/search/+32.9689,44.3516/@32.9689,44.3516,14z?hl=en","Maplink2")</f>
        <v>Maplink2</v>
      </c>
      <c r="AV714" s="12" t="str">
        <f>HYPERLINK("http://www.bing.com/maps/?lvl=14&amp;sty=h&amp;cp=32.9689~44.3516&amp;sp=point.32.9689_44.3516","Maplink3")</f>
        <v>Maplink3</v>
      </c>
    </row>
    <row r="715" spans="1:48" ht="15" customHeight="1" x14ac:dyDescent="0.25">
      <c r="A715" s="19">
        <v>7364</v>
      </c>
      <c r="B715" s="20" t="s">
        <v>11</v>
      </c>
      <c r="C715" s="20" t="s">
        <v>1374</v>
      </c>
      <c r="D715" s="20" t="s">
        <v>1425</v>
      </c>
      <c r="E715" s="20" t="s">
        <v>1426</v>
      </c>
      <c r="F715" s="20">
        <v>33.113624764199997</v>
      </c>
      <c r="G715" s="20">
        <v>44.166568858399998</v>
      </c>
      <c r="H715" s="22">
        <v>25</v>
      </c>
      <c r="I715" s="22">
        <v>150</v>
      </c>
      <c r="J715" s="21">
        <v>18</v>
      </c>
      <c r="K715" s="21">
        <v>7</v>
      </c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>
        <v>5</v>
      </c>
      <c r="AD715" s="21"/>
      <c r="AE715" s="21">
        <v>2</v>
      </c>
      <c r="AF715" s="21"/>
      <c r="AG715" s="21"/>
      <c r="AH715" s="21">
        <v>17</v>
      </c>
      <c r="AI715" s="21">
        <v>1</v>
      </c>
      <c r="AJ715" s="21"/>
      <c r="AK715" s="21"/>
      <c r="AL715" s="21"/>
      <c r="AM715" s="21"/>
      <c r="AN715" s="21"/>
      <c r="AO715" s="21"/>
      <c r="AP715" s="21">
        <v>25</v>
      </c>
      <c r="AQ715" s="21"/>
      <c r="AR715" s="21"/>
      <c r="AS715" s="21"/>
      <c r="AT715" s="12" t="str">
        <f>HYPERLINK("http://www.openstreetmap.org/?mlat=33.1136&amp;mlon=44.1666&amp;zoom=12#map=12/33.1136/44.1666","Maplink1")</f>
        <v>Maplink1</v>
      </c>
      <c r="AU715" s="12" t="str">
        <f>HYPERLINK("https://www.google.iq/maps/search/+33.1136,44.1666/@33.1136,44.1666,14z?hl=en","Maplink2")</f>
        <v>Maplink2</v>
      </c>
      <c r="AV715" s="12" t="str">
        <f>HYPERLINK("http://www.bing.com/maps/?lvl=14&amp;sty=h&amp;cp=33.1136~44.1666&amp;sp=point.33.1136_44.1666","Maplink3")</f>
        <v>Maplink3</v>
      </c>
    </row>
    <row r="716" spans="1:48" ht="15" customHeight="1" x14ac:dyDescent="0.25">
      <c r="A716" s="19">
        <v>25155</v>
      </c>
      <c r="B716" s="20" t="s">
        <v>11</v>
      </c>
      <c r="C716" s="20" t="s">
        <v>1374</v>
      </c>
      <c r="D716" s="20" t="s">
        <v>1427</v>
      </c>
      <c r="E716" s="20" t="s">
        <v>1428</v>
      </c>
      <c r="F716" s="20">
        <v>33.022399999999998</v>
      </c>
      <c r="G716" s="20">
        <v>44.575800000000001</v>
      </c>
      <c r="H716" s="22">
        <v>11</v>
      </c>
      <c r="I716" s="22">
        <v>66</v>
      </c>
      <c r="J716" s="21"/>
      <c r="K716" s="21">
        <v>11</v>
      </c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>
        <v>11</v>
      </c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>
        <v>11</v>
      </c>
      <c r="AO716" s="21"/>
      <c r="AP716" s="21"/>
      <c r="AQ716" s="21"/>
      <c r="AR716" s="21"/>
      <c r="AS716" s="21"/>
      <c r="AT716" s="12" t="str">
        <f>HYPERLINK("http://www.openstreetmap.org/?mlat=33.0224&amp;mlon=44.5758&amp;zoom=12#map=12/33.0224/44.5758","Maplink1")</f>
        <v>Maplink1</v>
      </c>
      <c r="AU716" s="12" t="str">
        <f>HYPERLINK("https://www.google.iq/maps/search/+33.0224,44.5758/@33.0224,44.5758,14z?hl=en","Maplink2")</f>
        <v>Maplink2</v>
      </c>
      <c r="AV716" s="12" t="str">
        <f>HYPERLINK("http://www.bing.com/maps/?lvl=14&amp;sty=h&amp;cp=33.0224~44.5758&amp;sp=point.33.0224_44.5758","Maplink3")</f>
        <v>Maplink3</v>
      </c>
    </row>
    <row r="717" spans="1:48" ht="15" customHeight="1" x14ac:dyDescent="0.25">
      <c r="A717" s="19">
        <v>25427</v>
      </c>
      <c r="B717" s="20" t="s">
        <v>11</v>
      </c>
      <c r="C717" s="20" t="s">
        <v>1429</v>
      </c>
      <c r="D717" s="20" t="s">
        <v>1430</v>
      </c>
      <c r="E717" s="20" t="s">
        <v>1431</v>
      </c>
      <c r="F717" s="20">
        <v>33.703060000000001</v>
      </c>
      <c r="G717" s="20">
        <v>44.421230000000001</v>
      </c>
      <c r="H717" s="22">
        <v>30</v>
      </c>
      <c r="I717" s="22">
        <v>180</v>
      </c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>
        <v>30</v>
      </c>
      <c r="Y717" s="21"/>
      <c r="Z717" s="21"/>
      <c r="AA717" s="21"/>
      <c r="AB717" s="21"/>
      <c r="AC717" s="21">
        <v>12</v>
      </c>
      <c r="AD717" s="21"/>
      <c r="AE717" s="21"/>
      <c r="AF717" s="21"/>
      <c r="AG717" s="21"/>
      <c r="AH717" s="21">
        <v>18</v>
      </c>
      <c r="AI717" s="21"/>
      <c r="AJ717" s="21"/>
      <c r="AK717" s="21"/>
      <c r="AL717" s="21"/>
      <c r="AM717" s="21"/>
      <c r="AN717" s="21">
        <v>13</v>
      </c>
      <c r="AO717" s="21">
        <v>9</v>
      </c>
      <c r="AP717" s="21">
        <v>8</v>
      </c>
      <c r="AQ717" s="21"/>
      <c r="AR717" s="21"/>
      <c r="AS717" s="21"/>
      <c r="AT717" s="12" t="str">
        <f>HYPERLINK("http://www.openstreetmap.org/?mlat=33.7031&amp;mlon=44.4212&amp;zoom=12#map=12/33.7031/44.4212","Maplink1")</f>
        <v>Maplink1</v>
      </c>
      <c r="AU717" s="12" t="str">
        <f>HYPERLINK("https://www.google.iq/maps/search/+33.7031,44.4212/@33.7031,44.4212,14z?hl=en","Maplink2")</f>
        <v>Maplink2</v>
      </c>
      <c r="AV717" s="12" t="str">
        <f>HYPERLINK("http://www.bing.com/maps/?lvl=14&amp;sty=h&amp;cp=33.7031~44.4212&amp;sp=point.33.7031_44.4212","Maplink3")</f>
        <v>Maplink3</v>
      </c>
    </row>
    <row r="718" spans="1:48" ht="15" customHeight="1" x14ac:dyDescent="0.25">
      <c r="A718" s="19">
        <v>25416</v>
      </c>
      <c r="B718" s="20" t="s">
        <v>11</v>
      </c>
      <c r="C718" s="20" t="s">
        <v>1429</v>
      </c>
      <c r="D718" s="20" t="s">
        <v>1432</v>
      </c>
      <c r="E718" s="20" t="s">
        <v>1433</v>
      </c>
      <c r="F718" s="20">
        <v>33.682679999999998</v>
      </c>
      <c r="G718" s="20">
        <v>44.375450000000001</v>
      </c>
      <c r="H718" s="22">
        <v>45</v>
      </c>
      <c r="I718" s="22">
        <v>270</v>
      </c>
      <c r="J718" s="21">
        <v>30</v>
      </c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>
        <v>15</v>
      </c>
      <c r="Y718" s="21"/>
      <c r="Z718" s="21"/>
      <c r="AA718" s="21"/>
      <c r="AB718" s="21"/>
      <c r="AC718" s="21">
        <v>25</v>
      </c>
      <c r="AD718" s="21"/>
      <c r="AE718" s="21"/>
      <c r="AF718" s="21"/>
      <c r="AG718" s="21"/>
      <c r="AH718" s="21">
        <v>20</v>
      </c>
      <c r="AI718" s="21"/>
      <c r="AJ718" s="21"/>
      <c r="AK718" s="21"/>
      <c r="AL718" s="21"/>
      <c r="AM718" s="21"/>
      <c r="AN718" s="21">
        <v>35</v>
      </c>
      <c r="AO718" s="21">
        <v>10</v>
      </c>
      <c r="AP718" s="21"/>
      <c r="AQ718" s="21"/>
      <c r="AR718" s="21"/>
      <c r="AS718" s="21"/>
      <c r="AT718" s="12" t="str">
        <f>HYPERLINK("http://www.openstreetmap.org/?mlat=33.6827&amp;mlon=44.3755&amp;zoom=12#map=12/33.6827/44.3755","Maplink1")</f>
        <v>Maplink1</v>
      </c>
      <c r="AU718" s="12" t="str">
        <f>HYPERLINK("https://www.google.iq/maps/search/+33.6827,44.3755/@33.6827,44.3755,14z?hl=en","Maplink2")</f>
        <v>Maplink2</v>
      </c>
      <c r="AV718" s="12" t="str">
        <f>HYPERLINK("http://www.bing.com/maps/?lvl=14&amp;sty=h&amp;cp=33.6827~44.3755&amp;sp=point.33.6827_44.3755","Maplink3")</f>
        <v>Maplink3</v>
      </c>
    </row>
    <row r="719" spans="1:48" ht="15" customHeight="1" x14ac:dyDescent="0.25">
      <c r="A719" s="19">
        <v>25417</v>
      </c>
      <c r="B719" s="20" t="s">
        <v>11</v>
      </c>
      <c r="C719" s="20" t="s">
        <v>1429</v>
      </c>
      <c r="D719" s="20" t="s">
        <v>1434</v>
      </c>
      <c r="E719" s="20" t="s">
        <v>1435</v>
      </c>
      <c r="F719" s="20">
        <v>33.661839999999998</v>
      </c>
      <c r="G719" s="20">
        <v>44.390419999999999</v>
      </c>
      <c r="H719" s="22">
        <v>37</v>
      </c>
      <c r="I719" s="22">
        <v>222</v>
      </c>
      <c r="J719" s="21">
        <v>37</v>
      </c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>
        <v>18</v>
      </c>
      <c r="AD719" s="21"/>
      <c r="AE719" s="21"/>
      <c r="AF719" s="21"/>
      <c r="AG719" s="21"/>
      <c r="AH719" s="21">
        <v>19</v>
      </c>
      <c r="AI719" s="21"/>
      <c r="AJ719" s="21"/>
      <c r="AK719" s="21"/>
      <c r="AL719" s="21">
        <v>12</v>
      </c>
      <c r="AM719" s="21"/>
      <c r="AN719" s="21">
        <v>8</v>
      </c>
      <c r="AO719" s="21">
        <v>17</v>
      </c>
      <c r="AP719" s="21"/>
      <c r="AQ719" s="21"/>
      <c r="AR719" s="21"/>
      <c r="AS719" s="21"/>
      <c r="AT719" s="12" t="str">
        <f>HYPERLINK("http://www.openstreetmap.org/?mlat=33.6618&amp;mlon=44.3904&amp;zoom=12#map=12/33.6618/44.3904","Maplink1")</f>
        <v>Maplink1</v>
      </c>
      <c r="AU719" s="12" t="str">
        <f>HYPERLINK("https://www.google.iq/maps/search/+33.6618,44.3904/@33.6618,44.3904,14z?hl=en","Maplink2")</f>
        <v>Maplink2</v>
      </c>
      <c r="AV719" s="12" t="str">
        <f>HYPERLINK("http://www.bing.com/maps/?lvl=14&amp;sty=h&amp;cp=33.6618~44.3904&amp;sp=point.33.6618_44.3904","Maplink3")</f>
        <v>Maplink3</v>
      </c>
    </row>
    <row r="720" spans="1:48" ht="15" customHeight="1" x14ac:dyDescent="0.25">
      <c r="A720" s="19">
        <v>21685</v>
      </c>
      <c r="B720" s="20" t="s">
        <v>11</v>
      </c>
      <c r="C720" s="20" t="s">
        <v>1429</v>
      </c>
      <c r="D720" s="20" t="s">
        <v>1436</v>
      </c>
      <c r="E720" s="20" t="s">
        <v>1437</v>
      </c>
      <c r="F720" s="20">
        <v>33.669110000000003</v>
      </c>
      <c r="G720" s="20">
        <v>44.359670000000001</v>
      </c>
      <c r="H720" s="22">
        <v>33</v>
      </c>
      <c r="I720" s="22">
        <v>198</v>
      </c>
      <c r="J720" s="21">
        <v>33</v>
      </c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>
        <v>33</v>
      </c>
      <c r="AD720" s="21"/>
      <c r="AE720" s="21"/>
      <c r="AF720" s="21"/>
      <c r="AG720" s="21"/>
      <c r="AH720" s="21"/>
      <c r="AI720" s="21"/>
      <c r="AJ720" s="21"/>
      <c r="AK720" s="21"/>
      <c r="AL720" s="21">
        <v>6</v>
      </c>
      <c r="AM720" s="21">
        <v>13</v>
      </c>
      <c r="AN720" s="21">
        <v>14</v>
      </c>
      <c r="AO720" s="21"/>
      <c r="AP720" s="21"/>
      <c r="AQ720" s="21"/>
      <c r="AR720" s="21"/>
      <c r="AS720" s="21"/>
      <c r="AT720" s="12" t="str">
        <f>HYPERLINK("http://www.openstreetmap.org/?mlat=33.6691&amp;mlon=44.3597&amp;zoom=12#map=12/33.6691/44.3597","Maplink1")</f>
        <v>Maplink1</v>
      </c>
      <c r="AU720" s="12" t="str">
        <f>HYPERLINK("https://www.google.iq/maps/search/+33.6691,44.3597/@33.6691,44.3597,14z?hl=en","Maplink2")</f>
        <v>Maplink2</v>
      </c>
      <c r="AV720" s="12" t="str">
        <f>HYPERLINK("http://www.bing.com/maps/?lvl=14&amp;sty=h&amp;cp=33.6691~44.3597&amp;sp=point.33.6691_44.3597","Maplink3")</f>
        <v>Maplink3</v>
      </c>
    </row>
    <row r="721" spans="1:48" ht="15" customHeight="1" x14ac:dyDescent="0.25">
      <c r="A721" s="19">
        <v>23738</v>
      </c>
      <c r="B721" s="20" t="s">
        <v>11</v>
      </c>
      <c r="C721" s="20" t="s">
        <v>1429</v>
      </c>
      <c r="D721" s="20" t="s">
        <v>1438</v>
      </c>
      <c r="E721" s="20" t="s">
        <v>1439</v>
      </c>
      <c r="F721" s="20">
        <v>33.729529999999997</v>
      </c>
      <c r="G721" s="20">
        <v>44.258679999999998</v>
      </c>
      <c r="H721" s="22">
        <v>29</v>
      </c>
      <c r="I721" s="22">
        <v>174</v>
      </c>
      <c r="J721" s="21">
        <v>29</v>
      </c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>
        <v>25</v>
      </c>
      <c r="AD721" s="21"/>
      <c r="AE721" s="21">
        <v>4</v>
      </c>
      <c r="AF721" s="21"/>
      <c r="AG721" s="21"/>
      <c r="AH721" s="21"/>
      <c r="AI721" s="21"/>
      <c r="AJ721" s="21"/>
      <c r="AK721" s="21"/>
      <c r="AL721" s="21">
        <v>29</v>
      </c>
      <c r="AM721" s="21"/>
      <c r="AN721" s="21"/>
      <c r="AO721" s="21"/>
      <c r="AP721" s="21"/>
      <c r="AQ721" s="21"/>
      <c r="AR721" s="21"/>
      <c r="AS721" s="21"/>
      <c r="AT721" s="12" t="str">
        <f>HYPERLINK("http://www.openstreetmap.org/?mlat=33.7295&amp;mlon=44.2587&amp;zoom=12#map=12/33.7295/44.2587","Maplink1")</f>
        <v>Maplink1</v>
      </c>
      <c r="AU721" s="12" t="str">
        <f>HYPERLINK("https://www.google.iq/maps/search/+33.7295,44.2587/@33.7295,44.2587,14z?hl=en","Maplink2")</f>
        <v>Maplink2</v>
      </c>
      <c r="AV721" s="12" t="str">
        <f>HYPERLINK("http://www.bing.com/maps/?lvl=14&amp;sty=h&amp;cp=33.7295~44.2587&amp;sp=point.33.7295_44.2587","Maplink3")</f>
        <v>Maplink3</v>
      </c>
    </row>
    <row r="722" spans="1:48" ht="15" customHeight="1" x14ac:dyDescent="0.25">
      <c r="A722" s="19">
        <v>24061</v>
      </c>
      <c r="B722" s="20" t="s">
        <v>11</v>
      </c>
      <c r="C722" s="20" t="s">
        <v>1429</v>
      </c>
      <c r="D722" s="20" t="s">
        <v>1440</v>
      </c>
      <c r="E722" s="20" t="s">
        <v>1441</v>
      </c>
      <c r="F722" s="20">
        <v>33.661960000000001</v>
      </c>
      <c r="G722" s="20">
        <v>44.391440000000003</v>
      </c>
      <c r="H722" s="22">
        <v>55</v>
      </c>
      <c r="I722" s="22">
        <v>330</v>
      </c>
      <c r="J722" s="21">
        <v>55</v>
      </c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>
        <v>35</v>
      </c>
      <c r="AD722" s="21"/>
      <c r="AE722" s="21"/>
      <c r="AF722" s="21"/>
      <c r="AG722" s="21"/>
      <c r="AH722" s="21">
        <v>20</v>
      </c>
      <c r="AI722" s="21"/>
      <c r="AJ722" s="21"/>
      <c r="AK722" s="21"/>
      <c r="AL722" s="21">
        <v>55</v>
      </c>
      <c r="AM722" s="21"/>
      <c r="AN722" s="21"/>
      <c r="AO722" s="21"/>
      <c r="AP722" s="21"/>
      <c r="AQ722" s="21"/>
      <c r="AR722" s="21"/>
      <c r="AS722" s="21"/>
      <c r="AT722" s="12" t="str">
        <f>HYPERLINK("http://www.openstreetmap.org/?mlat=33.662&amp;mlon=44.3914&amp;zoom=12#map=12/33.662/44.3914","Maplink1")</f>
        <v>Maplink1</v>
      </c>
      <c r="AU722" s="12" t="str">
        <f>HYPERLINK("https://www.google.iq/maps/search/+33.662,44.3914/@33.662,44.3914,14z?hl=en","Maplink2")</f>
        <v>Maplink2</v>
      </c>
      <c r="AV722" s="12" t="str">
        <f>HYPERLINK("http://www.bing.com/maps/?lvl=14&amp;sty=h&amp;cp=33.662~44.3914&amp;sp=point.33.662_44.3914","Maplink3")</f>
        <v>Maplink3</v>
      </c>
    </row>
    <row r="723" spans="1:48" ht="15" customHeight="1" x14ac:dyDescent="0.25">
      <c r="A723" s="19">
        <v>24063</v>
      </c>
      <c r="B723" s="20" t="s">
        <v>11</v>
      </c>
      <c r="C723" s="20" t="s">
        <v>1429</v>
      </c>
      <c r="D723" s="20" t="s">
        <v>1442</v>
      </c>
      <c r="E723" s="20" t="s">
        <v>1443</v>
      </c>
      <c r="F723" s="20">
        <v>33.668520000000001</v>
      </c>
      <c r="G723" s="20">
        <v>44.375239999999998</v>
      </c>
      <c r="H723" s="22">
        <v>33</v>
      </c>
      <c r="I723" s="22">
        <v>198</v>
      </c>
      <c r="J723" s="21">
        <v>10</v>
      </c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>
        <v>23</v>
      </c>
      <c r="Y723" s="21"/>
      <c r="Z723" s="21"/>
      <c r="AA723" s="21"/>
      <c r="AB723" s="21"/>
      <c r="AC723" s="21">
        <v>10</v>
      </c>
      <c r="AD723" s="21"/>
      <c r="AE723" s="21"/>
      <c r="AF723" s="21"/>
      <c r="AG723" s="21"/>
      <c r="AH723" s="21">
        <v>23</v>
      </c>
      <c r="AI723" s="21"/>
      <c r="AJ723" s="21"/>
      <c r="AK723" s="21"/>
      <c r="AL723" s="21">
        <v>10</v>
      </c>
      <c r="AM723" s="21">
        <v>7</v>
      </c>
      <c r="AN723" s="21">
        <v>16</v>
      </c>
      <c r="AO723" s="21"/>
      <c r="AP723" s="21"/>
      <c r="AQ723" s="21"/>
      <c r="AR723" s="21"/>
      <c r="AS723" s="21"/>
      <c r="AT723" s="12" t="str">
        <f>HYPERLINK("http://www.openstreetmap.org/?mlat=33.6685&amp;mlon=44.3752&amp;zoom=12#map=12/33.6685/44.3752","Maplink1")</f>
        <v>Maplink1</v>
      </c>
      <c r="AU723" s="12" t="str">
        <f>HYPERLINK("https://www.google.iq/maps/search/+33.6685,44.3752/@33.6685,44.3752,14z?hl=en","Maplink2")</f>
        <v>Maplink2</v>
      </c>
      <c r="AV723" s="12" t="str">
        <f>HYPERLINK("http://www.bing.com/maps/?lvl=14&amp;sty=h&amp;cp=33.6685~44.3752&amp;sp=point.33.6685_44.3752","Maplink3")</f>
        <v>Maplink3</v>
      </c>
    </row>
    <row r="724" spans="1:48" ht="15" customHeight="1" x14ac:dyDescent="0.25">
      <c r="A724" s="19">
        <v>24071</v>
      </c>
      <c r="B724" s="20" t="s">
        <v>11</v>
      </c>
      <c r="C724" s="20" t="s">
        <v>1429</v>
      </c>
      <c r="D724" s="20" t="s">
        <v>1444</v>
      </c>
      <c r="E724" s="20" t="s">
        <v>1445</v>
      </c>
      <c r="F724" s="20">
        <v>33.666730000000001</v>
      </c>
      <c r="G724" s="20">
        <v>44.386429999999997</v>
      </c>
      <c r="H724" s="22">
        <v>29</v>
      </c>
      <c r="I724" s="22">
        <v>174</v>
      </c>
      <c r="J724" s="21">
        <v>9</v>
      </c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>
        <v>20</v>
      </c>
      <c r="Y724" s="21"/>
      <c r="Z724" s="21"/>
      <c r="AA724" s="21"/>
      <c r="AB724" s="21"/>
      <c r="AC724" s="21">
        <v>12</v>
      </c>
      <c r="AD724" s="21"/>
      <c r="AE724" s="21"/>
      <c r="AF724" s="21"/>
      <c r="AG724" s="21"/>
      <c r="AH724" s="21">
        <v>17</v>
      </c>
      <c r="AI724" s="21"/>
      <c r="AJ724" s="21"/>
      <c r="AK724" s="21"/>
      <c r="AL724" s="21">
        <v>9</v>
      </c>
      <c r="AM724" s="21"/>
      <c r="AN724" s="21">
        <v>9</v>
      </c>
      <c r="AO724" s="21">
        <v>11</v>
      </c>
      <c r="AP724" s="21"/>
      <c r="AQ724" s="21"/>
      <c r="AR724" s="21"/>
      <c r="AS724" s="21"/>
      <c r="AT724" s="12" t="str">
        <f>HYPERLINK("http://www.openstreetmap.org/?mlat=33.6667&amp;mlon=44.3864&amp;zoom=12#map=12/33.6667/44.3864","Maplink1")</f>
        <v>Maplink1</v>
      </c>
      <c r="AU724" s="12" t="str">
        <f>HYPERLINK("https://www.google.iq/maps/search/+33.6667,44.3864/@33.6667,44.3864,14z?hl=en","Maplink2")</f>
        <v>Maplink2</v>
      </c>
      <c r="AV724" s="12" t="str">
        <f>HYPERLINK("http://www.bing.com/maps/?lvl=14&amp;sty=h&amp;cp=33.6667~44.3864&amp;sp=point.33.6667_44.3864","Maplink3")</f>
        <v>Maplink3</v>
      </c>
    </row>
    <row r="725" spans="1:48" ht="15" customHeight="1" x14ac:dyDescent="0.25">
      <c r="A725" s="19">
        <v>25419</v>
      </c>
      <c r="B725" s="20" t="s">
        <v>11</v>
      </c>
      <c r="C725" s="20" t="s">
        <v>1429</v>
      </c>
      <c r="D725" s="20" t="s">
        <v>1446</v>
      </c>
      <c r="E725" s="20" t="s">
        <v>1447</v>
      </c>
      <c r="F725" s="20">
        <v>33.659059999999997</v>
      </c>
      <c r="G725" s="20">
        <v>44.36477</v>
      </c>
      <c r="H725" s="22">
        <v>54</v>
      </c>
      <c r="I725" s="22">
        <v>324</v>
      </c>
      <c r="J725" s="21">
        <v>37</v>
      </c>
      <c r="K725" s="21"/>
      <c r="L725" s="21"/>
      <c r="M725" s="21"/>
      <c r="N725" s="21"/>
      <c r="O725" s="21">
        <v>11</v>
      </c>
      <c r="P725" s="21"/>
      <c r="Q725" s="21"/>
      <c r="R725" s="21"/>
      <c r="S725" s="21"/>
      <c r="T725" s="21"/>
      <c r="U725" s="21"/>
      <c r="V725" s="21"/>
      <c r="W725" s="21"/>
      <c r="X725" s="21">
        <v>6</v>
      </c>
      <c r="Y725" s="21"/>
      <c r="Z725" s="21"/>
      <c r="AA725" s="21"/>
      <c r="AB725" s="21"/>
      <c r="AC725" s="21">
        <v>31</v>
      </c>
      <c r="AD725" s="21"/>
      <c r="AE725" s="21"/>
      <c r="AF725" s="21"/>
      <c r="AG725" s="21"/>
      <c r="AH725" s="21">
        <v>23</v>
      </c>
      <c r="AI725" s="21"/>
      <c r="AJ725" s="21"/>
      <c r="AK725" s="21"/>
      <c r="AL725" s="21">
        <v>22</v>
      </c>
      <c r="AM725" s="21"/>
      <c r="AN725" s="21">
        <v>32</v>
      </c>
      <c r="AO725" s="21"/>
      <c r="AP725" s="21"/>
      <c r="AQ725" s="21"/>
      <c r="AR725" s="21"/>
      <c r="AS725" s="21"/>
      <c r="AT725" s="12" t="str">
        <f>HYPERLINK("http://www.openstreetmap.org/?mlat=33.6591&amp;mlon=44.3648&amp;zoom=12#map=12/33.6591/44.3648","Maplink1")</f>
        <v>Maplink1</v>
      </c>
      <c r="AU725" s="12" t="str">
        <f>HYPERLINK("https://www.google.iq/maps/search/+33.6591,44.3648/@33.6591,44.3648,14z?hl=en","Maplink2")</f>
        <v>Maplink2</v>
      </c>
      <c r="AV725" s="12" t="str">
        <f>HYPERLINK("http://www.bing.com/maps/?lvl=14&amp;sty=h&amp;cp=33.6591~44.3648&amp;sp=point.33.6591_44.3648","Maplink3")</f>
        <v>Maplink3</v>
      </c>
    </row>
    <row r="726" spans="1:48" ht="15" customHeight="1" x14ac:dyDescent="0.25">
      <c r="A726" s="19">
        <v>25423</v>
      </c>
      <c r="B726" s="20" t="s">
        <v>11</v>
      </c>
      <c r="C726" s="20" t="s">
        <v>1429</v>
      </c>
      <c r="D726" s="20" t="s">
        <v>1448</v>
      </c>
      <c r="E726" s="20" t="s">
        <v>1449</v>
      </c>
      <c r="F726" s="20">
        <v>33.654829999999997</v>
      </c>
      <c r="G726" s="20">
        <v>44.301020000000001</v>
      </c>
      <c r="H726" s="22">
        <v>81</v>
      </c>
      <c r="I726" s="22">
        <v>486</v>
      </c>
      <c r="J726" s="21">
        <v>66</v>
      </c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>
        <v>15</v>
      </c>
      <c r="Y726" s="21"/>
      <c r="Z726" s="21"/>
      <c r="AA726" s="21"/>
      <c r="AB726" s="21"/>
      <c r="AC726" s="21">
        <v>40</v>
      </c>
      <c r="AD726" s="21"/>
      <c r="AE726" s="21"/>
      <c r="AF726" s="21"/>
      <c r="AG726" s="21"/>
      <c r="AH726" s="21">
        <v>41</v>
      </c>
      <c r="AI726" s="21"/>
      <c r="AJ726" s="21"/>
      <c r="AK726" s="21"/>
      <c r="AL726" s="21"/>
      <c r="AM726" s="21"/>
      <c r="AN726" s="21">
        <v>50</v>
      </c>
      <c r="AO726" s="21">
        <v>31</v>
      </c>
      <c r="AP726" s="21"/>
      <c r="AQ726" s="21"/>
      <c r="AR726" s="21"/>
      <c r="AS726" s="21"/>
      <c r="AT726" s="12" t="str">
        <f>HYPERLINK("http://www.openstreetmap.org/?mlat=33.6548&amp;mlon=44.301&amp;zoom=12#map=12/33.6548/44.301","Maplink1")</f>
        <v>Maplink1</v>
      </c>
      <c r="AU726" s="12" t="str">
        <f>HYPERLINK("https://www.google.iq/maps/search/+33.6548,44.301/@33.6548,44.301,14z?hl=en","Maplink2")</f>
        <v>Maplink2</v>
      </c>
      <c r="AV726" s="12" t="str">
        <f>HYPERLINK("http://www.bing.com/maps/?lvl=14&amp;sty=h&amp;cp=33.6548~44.301&amp;sp=point.33.6548_44.301","Maplink3")</f>
        <v>Maplink3</v>
      </c>
    </row>
    <row r="727" spans="1:48" ht="15" customHeight="1" x14ac:dyDescent="0.25">
      <c r="A727" s="19">
        <v>25424</v>
      </c>
      <c r="B727" s="20" t="s">
        <v>11</v>
      </c>
      <c r="C727" s="20" t="s">
        <v>1429</v>
      </c>
      <c r="D727" s="20" t="s">
        <v>1450</v>
      </c>
      <c r="E727" s="20" t="s">
        <v>1451</v>
      </c>
      <c r="F727" s="20">
        <v>33.642569999999999</v>
      </c>
      <c r="G727" s="20">
        <v>44.287889999999997</v>
      </c>
      <c r="H727" s="22">
        <v>66</v>
      </c>
      <c r="I727" s="22">
        <v>396</v>
      </c>
      <c r="J727" s="21">
        <v>49</v>
      </c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>
        <v>17</v>
      </c>
      <c r="Y727" s="21"/>
      <c r="Z727" s="21"/>
      <c r="AA727" s="21"/>
      <c r="AB727" s="21"/>
      <c r="AC727" s="21">
        <v>40</v>
      </c>
      <c r="AD727" s="21"/>
      <c r="AE727" s="21"/>
      <c r="AF727" s="21"/>
      <c r="AG727" s="21"/>
      <c r="AH727" s="21">
        <v>26</v>
      </c>
      <c r="AI727" s="21"/>
      <c r="AJ727" s="21"/>
      <c r="AK727" s="21"/>
      <c r="AL727" s="21">
        <v>21</v>
      </c>
      <c r="AM727" s="21"/>
      <c r="AN727" s="21">
        <v>33</v>
      </c>
      <c r="AO727" s="21">
        <v>12</v>
      </c>
      <c r="AP727" s="21"/>
      <c r="AQ727" s="21"/>
      <c r="AR727" s="21"/>
      <c r="AS727" s="21"/>
      <c r="AT727" s="12" t="str">
        <f>HYPERLINK("http://www.openstreetmap.org/?mlat=33.6426&amp;mlon=44.2879&amp;zoom=12#map=12/33.6426/44.2879","Maplink1")</f>
        <v>Maplink1</v>
      </c>
      <c r="AU727" s="12" t="str">
        <f>HYPERLINK("https://www.google.iq/maps/search/+33.6426,44.2879/@33.6426,44.2879,14z?hl=en","Maplink2")</f>
        <v>Maplink2</v>
      </c>
      <c r="AV727" s="12" t="str">
        <f>HYPERLINK("http://www.bing.com/maps/?lvl=14&amp;sty=h&amp;cp=33.6426~44.2879&amp;sp=point.33.6426_44.2879","Maplink3")</f>
        <v>Maplink3</v>
      </c>
    </row>
    <row r="728" spans="1:48" ht="15" customHeight="1" x14ac:dyDescent="0.25">
      <c r="A728" s="19">
        <v>25418</v>
      </c>
      <c r="B728" s="20" t="s">
        <v>11</v>
      </c>
      <c r="C728" s="20" t="s">
        <v>1429</v>
      </c>
      <c r="D728" s="20" t="s">
        <v>1452</v>
      </c>
      <c r="E728" s="20" t="s">
        <v>1453</v>
      </c>
      <c r="F728" s="20">
        <v>33.677999999999997</v>
      </c>
      <c r="G728" s="20">
        <v>44.374299999999998</v>
      </c>
      <c r="H728" s="22">
        <v>52</v>
      </c>
      <c r="I728" s="22">
        <v>312</v>
      </c>
      <c r="J728" s="21">
        <v>46</v>
      </c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>
        <v>6</v>
      </c>
      <c r="Y728" s="21"/>
      <c r="Z728" s="21"/>
      <c r="AA728" s="21"/>
      <c r="AB728" s="21"/>
      <c r="AC728" s="21">
        <v>17</v>
      </c>
      <c r="AD728" s="21"/>
      <c r="AE728" s="21"/>
      <c r="AF728" s="21"/>
      <c r="AG728" s="21"/>
      <c r="AH728" s="21">
        <v>35</v>
      </c>
      <c r="AI728" s="21"/>
      <c r="AJ728" s="21"/>
      <c r="AK728" s="21"/>
      <c r="AL728" s="21">
        <v>27</v>
      </c>
      <c r="AM728" s="21"/>
      <c r="AN728" s="21"/>
      <c r="AO728" s="21">
        <v>25</v>
      </c>
      <c r="AP728" s="21"/>
      <c r="AQ728" s="21"/>
      <c r="AR728" s="21"/>
      <c r="AS728" s="21"/>
      <c r="AT728" s="12" t="str">
        <f>HYPERLINK("http://www.openstreetmap.org/?mlat=33.678&amp;mlon=44.3743&amp;zoom=12#map=12/33.678/44.3743","Maplink1")</f>
        <v>Maplink1</v>
      </c>
      <c r="AU728" s="12" t="str">
        <f>HYPERLINK("https://www.google.iq/maps/search/+33.678,44.3743/@33.678,44.3743,14z?hl=en","Maplink2")</f>
        <v>Maplink2</v>
      </c>
      <c r="AV728" s="12" t="str">
        <f>HYPERLINK("http://www.bing.com/maps/?lvl=14&amp;sty=h&amp;cp=33.678~44.3743&amp;sp=point.33.678_44.3743","Maplink3")</f>
        <v>Maplink3</v>
      </c>
    </row>
    <row r="729" spans="1:48" ht="15" customHeight="1" x14ac:dyDescent="0.25">
      <c r="A729" s="19">
        <v>25420</v>
      </c>
      <c r="B729" s="20" t="s">
        <v>11</v>
      </c>
      <c r="C729" s="20" t="s">
        <v>1429</v>
      </c>
      <c r="D729" s="20" t="s">
        <v>1454</v>
      </c>
      <c r="E729" s="20" t="s">
        <v>571</v>
      </c>
      <c r="F729" s="20">
        <v>33.669170000000001</v>
      </c>
      <c r="G729" s="20">
        <v>44.357655000000001</v>
      </c>
      <c r="H729" s="22">
        <v>61</v>
      </c>
      <c r="I729" s="22">
        <v>366</v>
      </c>
      <c r="J729" s="21">
        <v>55</v>
      </c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>
        <v>6</v>
      </c>
      <c r="Y729" s="21"/>
      <c r="Z729" s="21"/>
      <c r="AA729" s="21"/>
      <c r="AB729" s="21"/>
      <c r="AC729" s="21">
        <v>20</v>
      </c>
      <c r="AD729" s="21"/>
      <c r="AE729" s="21"/>
      <c r="AF729" s="21"/>
      <c r="AG729" s="21"/>
      <c r="AH729" s="21">
        <v>41</v>
      </c>
      <c r="AI729" s="21"/>
      <c r="AJ729" s="21"/>
      <c r="AK729" s="21"/>
      <c r="AL729" s="21"/>
      <c r="AM729" s="21"/>
      <c r="AN729" s="21">
        <v>35</v>
      </c>
      <c r="AO729" s="21">
        <v>26</v>
      </c>
      <c r="AP729" s="21"/>
      <c r="AQ729" s="21"/>
      <c r="AR729" s="21"/>
      <c r="AS729" s="21"/>
      <c r="AT729" s="12" t="str">
        <f>HYPERLINK("http://www.openstreetmap.org/?mlat=33.6692&amp;mlon=44.3577&amp;zoom=12#map=12/33.6692/44.3577","Maplink1")</f>
        <v>Maplink1</v>
      </c>
      <c r="AU729" s="12" t="str">
        <f>HYPERLINK("https://www.google.iq/maps/search/+33.6692,44.3577/@33.6692,44.3577,14z?hl=en","Maplink2")</f>
        <v>Maplink2</v>
      </c>
      <c r="AV729" s="12" t="str">
        <f>HYPERLINK("http://www.bing.com/maps/?lvl=14&amp;sty=h&amp;cp=33.6692~44.3577&amp;sp=point.33.6692_44.3577","Maplink3")</f>
        <v>Maplink3</v>
      </c>
    </row>
    <row r="730" spans="1:48" ht="15" customHeight="1" x14ac:dyDescent="0.25">
      <c r="A730" s="19">
        <v>25422</v>
      </c>
      <c r="B730" s="20" t="s">
        <v>11</v>
      </c>
      <c r="C730" s="20" t="s">
        <v>1429</v>
      </c>
      <c r="D730" s="20" t="s">
        <v>1455</v>
      </c>
      <c r="E730" s="20" t="s">
        <v>1456</v>
      </c>
      <c r="F730" s="20">
        <v>33.64</v>
      </c>
      <c r="G730" s="20">
        <v>44.377470000000002</v>
      </c>
      <c r="H730" s="22">
        <v>56</v>
      </c>
      <c r="I730" s="22">
        <v>336</v>
      </c>
      <c r="J730" s="21">
        <v>36</v>
      </c>
      <c r="K730" s="21"/>
      <c r="L730" s="21"/>
      <c r="M730" s="21"/>
      <c r="N730" s="21"/>
      <c r="O730" s="21">
        <v>5</v>
      </c>
      <c r="P730" s="21"/>
      <c r="Q730" s="21"/>
      <c r="R730" s="21"/>
      <c r="S730" s="21"/>
      <c r="T730" s="21"/>
      <c r="U730" s="21"/>
      <c r="V730" s="21"/>
      <c r="W730" s="21"/>
      <c r="X730" s="21">
        <v>15</v>
      </c>
      <c r="Y730" s="21"/>
      <c r="Z730" s="21"/>
      <c r="AA730" s="21"/>
      <c r="AB730" s="21"/>
      <c r="AC730" s="21">
        <v>14</v>
      </c>
      <c r="AD730" s="21"/>
      <c r="AE730" s="21"/>
      <c r="AF730" s="21"/>
      <c r="AG730" s="21"/>
      <c r="AH730" s="21">
        <v>42</v>
      </c>
      <c r="AI730" s="21"/>
      <c r="AJ730" s="21"/>
      <c r="AK730" s="21"/>
      <c r="AL730" s="21">
        <v>25</v>
      </c>
      <c r="AM730" s="21">
        <v>26</v>
      </c>
      <c r="AN730" s="21"/>
      <c r="AO730" s="21">
        <v>5</v>
      </c>
      <c r="AP730" s="21"/>
      <c r="AQ730" s="21"/>
      <c r="AR730" s="21"/>
      <c r="AS730" s="21"/>
      <c r="AT730" s="12" t="str">
        <f>HYPERLINK("http://www.openstreetmap.org/?mlat=33.64&amp;mlon=44.3775&amp;zoom=12#map=12/33.64/44.3775","Maplink1")</f>
        <v>Maplink1</v>
      </c>
      <c r="AU730" s="12" t="str">
        <f>HYPERLINK("https://www.google.iq/maps/search/+33.64,44.3775/@33.64,44.3775,14z?hl=en","Maplink2")</f>
        <v>Maplink2</v>
      </c>
      <c r="AV730" s="12" t="str">
        <f>HYPERLINK("http://www.bing.com/maps/?lvl=14&amp;sty=h&amp;cp=33.64~44.3775&amp;sp=point.33.64_44.3775","Maplink3")</f>
        <v>Maplink3</v>
      </c>
    </row>
    <row r="731" spans="1:48" ht="15" customHeight="1" x14ac:dyDescent="0.25">
      <c r="A731" s="19">
        <v>25421</v>
      </c>
      <c r="B731" s="20" t="s">
        <v>11</v>
      </c>
      <c r="C731" s="20" t="s">
        <v>1429</v>
      </c>
      <c r="D731" s="20" t="s">
        <v>1457</v>
      </c>
      <c r="E731" s="20" t="s">
        <v>1458</v>
      </c>
      <c r="F731" s="20">
        <v>33.663229999999999</v>
      </c>
      <c r="G731" s="20">
        <v>44.37276</v>
      </c>
      <c r="H731" s="22">
        <v>71</v>
      </c>
      <c r="I731" s="22">
        <v>426</v>
      </c>
      <c r="J731" s="21">
        <v>51</v>
      </c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>
        <v>20</v>
      </c>
      <c r="Y731" s="21"/>
      <c r="Z731" s="21"/>
      <c r="AA731" s="21"/>
      <c r="AB731" s="21"/>
      <c r="AC731" s="21">
        <v>37</v>
      </c>
      <c r="AD731" s="21"/>
      <c r="AE731" s="21"/>
      <c r="AF731" s="21"/>
      <c r="AG731" s="21"/>
      <c r="AH731" s="21">
        <v>34</v>
      </c>
      <c r="AI731" s="21"/>
      <c r="AJ731" s="21"/>
      <c r="AK731" s="21"/>
      <c r="AL731" s="21"/>
      <c r="AM731" s="21"/>
      <c r="AN731" s="21">
        <v>37</v>
      </c>
      <c r="AO731" s="21">
        <v>34</v>
      </c>
      <c r="AP731" s="21"/>
      <c r="AQ731" s="21"/>
      <c r="AR731" s="21"/>
      <c r="AS731" s="21"/>
      <c r="AT731" s="12" t="str">
        <f>HYPERLINK("http://www.openstreetmap.org/?mlat=33.6632&amp;mlon=44.3728&amp;zoom=12#map=12/33.6632/44.3728","Maplink1")</f>
        <v>Maplink1</v>
      </c>
      <c r="AU731" s="12" t="str">
        <f>HYPERLINK("https://www.google.iq/maps/search/+33.6632,44.3728/@33.6632,44.3728,14z?hl=en","Maplink2")</f>
        <v>Maplink2</v>
      </c>
      <c r="AV731" s="12" t="str">
        <f>HYPERLINK("http://www.bing.com/maps/?lvl=14&amp;sty=h&amp;cp=33.6632~44.3728&amp;sp=point.33.6632_44.3728","Maplink3")</f>
        <v>Maplink3</v>
      </c>
    </row>
    <row r="732" spans="1:48" ht="15" customHeight="1" x14ac:dyDescent="0.25">
      <c r="A732" s="19">
        <v>25428</v>
      </c>
      <c r="B732" s="20" t="s">
        <v>11</v>
      </c>
      <c r="C732" s="20" t="s">
        <v>1429</v>
      </c>
      <c r="D732" s="20" t="s">
        <v>1459</v>
      </c>
      <c r="E732" s="20" t="s">
        <v>1460</v>
      </c>
      <c r="F732" s="20">
        <v>33.716059999999999</v>
      </c>
      <c r="G732" s="20">
        <v>44.34404</v>
      </c>
      <c r="H732" s="22">
        <v>33</v>
      </c>
      <c r="I732" s="22">
        <v>198</v>
      </c>
      <c r="J732" s="21">
        <v>11</v>
      </c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>
        <v>22</v>
      </c>
      <c r="Y732" s="21"/>
      <c r="Z732" s="21"/>
      <c r="AA732" s="21"/>
      <c r="AB732" s="21"/>
      <c r="AC732" s="21">
        <v>17</v>
      </c>
      <c r="AD732" s="21"/>
      <c r="AE732" s="21"/>
      <c r="AF732" s="21"/>
      <c r="AG732" s="21"/>
      <c r="AH732" s="21">
        <v>16</v>
      </c>
      <c r="AI732" s="21"/>
      <c r="AJ732" s="21"/>
      <c r="AK732" s="21"/>
      <c r="AL732" s="21">
        <v>6</v>
      </c>
      <c r="AM732" s="21">
        <v>5</v>
      </c>
      <c r="AN732" s="21">
        <v>12</v>
      </c>
      <c r="AO732" s="21">
        <v>10</v>
      </c>
      <c r="AP732" s="21"/>
      <c r="AQ732" s="21"/>
      <c r="AR732" s="21"/>
      <c r="AS732" s="21"/>
      <c r="AT732" s="12" t="str">
        <f>HYPERLINK("http://www.openstreetmap.org/?mlat=33.7161&amp;mlon=44.344&amp;zoom=12#map=12/33.7161/44.344","Maplink1")</f>
        <v>Maplink1</v>
      </c>
      <c r="AU732" s="12" t="str">
        <f>HYPERLINK("https://www.google.iq/maps/search/+33.7161,44.344/@33.7161,44.344,14z?hl=en","Maplink2")</f>
        <v>Maplink2</v>
      </c>
      <c r="AV732" s="12" t="str">
        <f>HYPERLINK("http://www.bing.com/maps/?lvl=14&amp;sty=h&amp;cp=33.7161~44.344&amp;sp=point.33.7161_44.344","Maplink3")</f>
        <v>Maplink3</v>
      </c>
    </row>
    <row r="733" spans="1:48" ht="15" customHeight="1" x14ac:dyDescent="0.25">
      <c r="A733" s="19">
        <v>25425</v>
      </c>
      <c r="B733" s="20" t="s">
        <v>11</v>
      </c>
      <c r="C733" s="20" t="s">
        <v>1429</v>
      </c>
      <c r="D733" s="20" t="s">
        <v>1461</v>
      </c>
      <c r="E733" s="20" t="s">
        <v>1462</v>
      </c>
      <c r="F733" s="20">
        <v>33.672519999999999</v>
      </c>
      <c r="G733" s="20">
        <v>44.261789999999998</v>
      </c>
      <c r="H733" s="22">
        <v>38</v>
      </c>
      <c r="I733" s="22">
        <v>228</v>
      </c>
      <c r="J733" s="21">
        <v>29</v>
      </c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>
        <v>9</v>
      </c>
      <c r="Y733" s="21"/>
      <c r="Z733" s="21"/>
      <c r="AA733" s="21"/>
      <c r="AB733" s="21"/>
      <c r="AC733" s="21">
        <v>38</v>
      </c>
      <c r="AD733" s="21"/>
      <c r="AE733" s="21"/>
      <c r="AF733" s="21"/>
      <c r="AG733" s="21"/>
      <c r="AH733" s="21"/>
      <c r="AI733" s="21"/>
      <c r="AJ733" s="21"/>
      <c r="AK733" s="21"/>
      <c r="AL733" s="21"/>
      <c r="AM733" s="21">
        <v>9</v>
      </c>
      <c r="AN733" s="21">
        <v>15</v>
      </c>
      <c r="AO733" s="21">
        <v>14</v>
      </c>
      <c r="AP733" s="21"/>
      <c r="AQ733" s="21"/>
      <c r="AR733" s="21"/>
      <c r="AS733" s="21"/>
      <c r="AT733" s="12" t="str">
        <f>HYPERLINK("http://www.openstreetmap.org/?mlat=33.6725&amp;mlon=44.2618&amp;zoom=12#map=12/33.6725/44.2618","Maplink1")</f>
        <v>Maplink1</v>
      </c>
      <c r="AU733" s="12" t="str">
        <f>HYPERLINK("https://www.google.iq/maps/search/+33.6725,44.2618/@33.6725,44.2618,14z?hl=en","Maplink2")</f>
        <v>Maplink2</v>
      </c>
      <c r="AV733" s="12" t="str">
        <f>HYPERLINK("http://www.bing.com/maps/?lvl=14&amp;sty=h&amp;cp=33.6725~44.2618&amp;sp=point.33.6725_44.2618","Maplink3")</f>
        <v>Maplink3</v>
      </c>
    </row>
    <row r="734" spans="1:48" ht="15" customHeight="1" x14ac:dyDescent="0.25">
      <c r="A734" s="19">
        <v>25426</v>
      </c>
      <c r="B734" s="20" t="s">
        <v>11</v>
      </c>
      <c r="C734" s="20" t="s">
        <v>1429</v>
      </c>
      <c r="D734" s="20" t="s">
        <v>1463</v>
      </c>
      <c r="E734" s="20" t="s">
        <v>1464</v>
      </c>
      <c r="F734" s="20">
        <v>33.650930000000002</v>
      </c>
      <c r="G734" s="20">
        <v>44.27129</v>
      </c>
      <c r="H734" s="22">
        <v>32</v>
      </c>
      <c r="I734" s="22">
        <v>192</v>
      </c>
      <c r="J734" s="21"/>
      <c r="K734" s="21"/>
      <c r="L734" s="21"/>
      <c r="M734" s="21"/>
      <c r="N734" s="21"/>
      <c r="O734" s="21">
        <v>22</v>
      </c>
      <c r="P734" s="21"/>
      <c r="Q734" s="21"/>
      <c r="R734" s="21"/>
      <c r="S734" s="21"/>
      <c r="T734" s="21"/>
      <c r="U734" s="21"/>
      <c r="V734" s="21"/>
      <c r="W734" s="21"/>
      <c r="X734" s="21">
        <v>10</v>
      </c>
      <c r="Y734" s="21"/>
      <c r="Z734" s="21"/>
      <c r="AA734" s="21"/>
      <c r="AB734" s="21"/>
      <c r="AC734" s="21">
        <v>32</v>
      </c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>
        <v>16</v>
      </c>
      <c r="AO734" s="21">
        <v>16</v>
      </c>
      <c r="AP734" s="21"/>
      <c r="AQ734" s="21"/>
      <c r="AR734" s="21"/>
      <c r="AS734" s="21"/>
      <c r="AT734" s="12" t="str">
        <f>HYPERLINK("http://www.openstreetmap.org/?mlat=33.6509&amp;mlon=44.2713&amp;zoom=12#map=12/33.6509/44.2713","Maplink1")</f>
        <v>Maplink1</v>
      </c>
      <c r="AU734" s="12" t="str">
        <f>HYPERLINK("https://www.google.iq/maps/search/+33.6509,44.2713/@33.6509,44.2713,14z?hl=en","Maplink2")</f>
        <v>Maplink2</v>
      </c>
      <c r="AV734" s="12" t="str">
        <f>HYPERLINK("http://www.bing.com/maps/?lvl=14&amp;sty=h&amp;cp=33.6509~44.2713&amp;sp=point.33.6509_44.2713","Maplink3")</f>
        <v>Maplink3</v>
      </c>
    </row>
    <row r="735" spans="1:48" ht="15" customHeight="1" x14ac:dyDescent="0.25">
      <c r="A735" s="19">
        <v>24736</v>
      </c>
      <c r="B735" s="20" t="s">
        <v>11</v>
      </c>
      <c r="C735" s="20" t="s">
        <v>1465</v>
      </c>
      <c r="D735" s="20" t="s">
        <v>1466</v>
      </c>
      <c r="E735" s="20" t="s">
        <v>1467</v>
      </c>
      <c r="F735" s="20">
        <v>33.37497072</v>
      </c>
      <c r="G735" s="20">
        <v>44.450368019999999</v>
      </c>
      <c r="H735" s="22">
        <v>5</v>
      </c>
      <c r="I735" s="22">
        <v>30</v>
      </c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>
        <v>5</v>
      </c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>
        <v>5</v>
      </c>
      <c r="AI735" s="21"/>
      <c r="AJ735" s="21"/>
      <c r="AK735" s="21"/>
      <c r="AL735" s="21"/>
      <c r="AM735" s="21"/>
      <c r="AN735" s="21">
        <v>5</v>
      </c>
      <c r="AO735" s="21"/>
      <c r="AP735" s="21"/>
      <c r="AQ735" s="21"/>
      <c r="AR735" s="21"/>
      <c r="AS735" s="21"/>
      <c r="AT735" s="12" t="str">
        <f>HYPERLINK("http://www.openstreetmap.org/?mlat=33.375&amp;mlon=44.4504&amp;zoom=12#map=12/33.375/44.4504","Maplink1")</f>
        <v>Maplink1</v>
      </c>
      <c r="AU735" s="12" t="str">
        <f>HYPERLINK("https://www.google.iq/maps/search/+33.375,44.4504/@33.375,44.4504,14z?hl=en","Maplink2")</f>
        <v>Maplink2</v>
      </c>
      <c r="AV735" s="12" t="str">
        <f>HYPERLINK("http://www.bing.com/maps/?lvl=14&amp;sty=h&amp;cp=33.375~44.4504&amp;sp=point.33.375_44.4504","Maplink3")</f>
        <v>Maplink3</v>
      </c>
    </row>
    <row r="736" spans="1:48" ht="15" customHeight="1" x14ac:dyDescent="0.25">
      <c r="A736" s="19">
        <v>24503</v>
      </c>
      <c r="B736" s="20" t="s">
        <v>11</v>
      </c>
      <c r="C736" s="20" t="s">
        <v>1468</v>
      </c>
      <c r="D736" s="20" t="s">
        <v>1469</v>
      </c>
      <c r="E736" s="20" t="s">
        <v>1470</v>
      </c>
      <c r="F736" s="20">
        <v>33.362776050000001</v>
      </c>
      <c r="G736" s="20">
        <v>44.43326004</v>
      </c>
      <c r="H736" s="22">
        <v>4</v>
      </c>
      <c r="I736" s="22">
        <v>24</v>
      </c>
      <c r="J736" s="21"/>
      <c r="K736" s="21"/>
      <c r="L736" s="21"/>
      <c r="M736" s="21"/>
      <c r="N736" s="21"/>
      <c r="O736" s="21">
        <v>2</v>
      </c>
      <c r="P736" s="21"/>
      <c r="Q736" s="21"/>
      <c r="R736" s="21"/>
      <c r="S736" s="21"/>
      <c r="T736" s="21"/>
      <c r="U736" s="21"/>
      <c r="V736" s="21">
        <v>2</v>
      </c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>
        <v>4</v>
      </c>
      <c r="AI736" s="21"/>
      <c r="AJ736" s="21"/>
      <c r="AK736" s="21"/>
      <c r="AL736" s="21"/>
      <c r="AM736" s="21"/>
      <c r="AN736" s="21">
        <v>2</v>
      </c>
      <c r="AO736" s="21"/>
      <c r="AP736" s="21"/>
      <c r="AQ736" s="21"/>
      <c r="AR736" s="21">
        <v>2</v>
      </c>
      <c r="AS736" s="21"/>
      <c r="AT736" s="12" t="str">
        <f>HYPERLINK("http://www.openstreetmap.org/?mlat=33.3628&amp;mlon=44.4333&amp;zoom=12#map=12/33.3628/44.4333","Maplink1")</f>
        <v>Maplink1</v>
      </c>
      <c r="AU736" s="12" t="str">
        <f>HYPERLINK("https://www.google.iq/maps/search/+33.3628,44.4333/@33.3628,44.4333,14z?hl=en","Maplink2")</f>
        <v>Maplink2</v>
      </c>
      <c r="AV736" s="12" t="str">
        <f>HYPERLINK("http://www.bing.com/maps/?lvl=14&amp;sty=h&amp;cp=33.3628~44.4333&amp;sp=point.33.3628_44.4333","Maplink3")</f>
        <v>Maplink3</v>
      </c>
    </row>
    <row r="737" spans="1:48" ht="15" customHeight="1" x14ac:dyDescent="0.25">
      <c r="A737" s="19">
        <v>24622</v>
      </c>
      <c r="B737" s="20" t="s">
        <v>11</v>
      </c>
      <c r="C737" s="20" t="s">
        <v>1468</v>
      </c>
      <c r="D737" s="20" t="s">
        <v>1471</v>
      </c>
      <c r="E737" s="20" t="s">
        <v>1472</v>
      </c>
      <c r="F737" s="20">
        <v>33.376643569999999</v>
      </c>
      <c r="G737" s="20">
        <v>44.416156710000003</v>
      </c>
      <c r="H737" s="22">
        <v>4</v>
      </c>
      <c r="I737" s="22">
        <v>24</v>
      </c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>
        <v>4</v>
      </c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>
        <v>4</v>
      </c>
      <c r="AI737" s="21"/>
      <c r="AJ737" s="21"/>
      <c r="AK737" s="21"/>
      <c r="AL737" s="21"/>
      <c r="AM737" s="21"/>
      <c r="AN737" s="21">
        <v>4</v>
      </c>
      <c r="AO737" s="21"/>
      <c r="AP737" s="21"/>
      <c r="AQ737" s="21"/>
      <c r="AR737" s="21"/>
      <c r="AS737" s="21"/>
      <c r="AT737" s="12" t="str">
        <f>HYPERLINK("http://www.openstreetmap.org/?mlat=33.3766&amp;mlon=44.4162&amp;zoom=12#map=12/33.3766/44.4162","Maplink1")</f>
        <v>Maplink1</v>
      </c>
      <c r="AU737" s="12" t="str">
        <f>HYPERLINK("https://www.google.iq/maps/search/+33.3766,44.4162/@33.3766,44.4162,14z?hl=en","Maplink2")</f>
        <v>Maplink2</v>
      </c>
      <c r="AV737" s="12" t="str">
        <f>HYPERLINK("http://www.bing.com/maps/?lvl=14&amp;sty=h&amp;cp=33.3766~44.4162&amp;sp=point.33.3766_44.4162","Maplink3")</f>
        <v>Maplink3</v>
      </c>
    </row>
    <row r="738" spans="1:48" ht="15" customHeight="1" x14ac:dyDescent="0.25">
      <c r="A738" s="19">
        <v>24656</v>
      </c>
      <c r="B738" s="20" t="s">
        <v>11</v>
      </c>
      <c r="C738" s="20" t="s">
        <v>1468</v>
      </c>
      <c r="D738" s="20" t="s">
        <v>1473</v>
      </c>
      <c r="E738" s="20" t="s">
        <v>1474</v>
      </c>
      <c r="F738" s="20">
        <v>33.360755285499998</v>
      </c>
      <c r="G738" s="20">
        <v>44.4390015476</v>
      </c>
      <c r="H738" s="22">
        <v>3</v>
      </c>
      <c r="I738" s="22">
        <v>18</v>
      </c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>
        <v>3</v>
      </c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>
        <v>3</v>
      </c>
      <c r="AI738" s="21"/>
      <c r="AJ738" s="21"/>
      <c r="AK738" s="21"/>
      <c r="AL738" s="21"/>
      <c r="AM738" s="21">
        <v>3</v>
      </c>
      <c r="AN738" s="21"/>
      <c r="AO738" s="21"/>
      <c r="AP738" s="21"/>
      <c r="AQ738" s="21"/>
      <c r="AR738" s="21"/>
      <c r="AS738" s="21"/>
      <c r="AT738" s="12" t="str">
        <f>HYPERLINK("http://www.openstreetmap.org/?mlat=33.3608&amp;mlon=44.439&amp;zoom=12#map=12/33.3608/44.439","Maplink1")</f>
        <v>Maplink1</v>
      </c>
      <c r="AU738" s="12" t="str">
        <f>HYPERLINK("https://www.google.iq/maps/search/+33.3608,44.439/@33.3608,44.439,14z?hl=en","Maplink2")</f>
        <v>Maplink2</v>
      </c>
      <c r="AV738" s="12" t="str">
        <f>HYPERLINK("http://www.bing.com/maps/?lvl=14&amp;sty=h&amp;cp=33.3608~44.439&amp;sp=point.33.3608_44.439","Maplink3")</f>
        <v>Maplink3</v>
      </c>
    </row>
    <row r="739" spans="1:48" ht="15" customHeight="1" x14ac:dyDescent="0.25">
      <c r="A739" s="19">
        <v>24655</v>
      </c>
      <c r="B739" s="20" t="s">
        <v>11</v>
      </c>
      <c r="C739" s="20" t="s">
        <v>1468</v>
      </c>
      <c r="D739" s="20" t="s">
        <v>1475</v>
      </c>
      <c r="E739" s="20" t="s">
        <v>1476</v>
      </c>
      <c r="F739" s="20">
        <v>33.355584409999999</v>
      </c>
      <c r="G739" s="20">
        <v>44.445682359999999</v>
      </c>
      <c r="H739" s="22">
        <v>3</v>
      </c>
      <c r="I739" s="22">
        <v>18</v>
      </c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>
        <v>3</v>
      </c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>
        <v>3</v>
      </c>
      <c r="AI739" s="21"/>
      <c r="AJ739" s="21"/>
      <c r="AK739" s="21"/>
      <c r="AL739" s="21"/>
      <c r="AM739" s="21"/>
      <c r="AN739" s="21">
        <v>3</v>
      </c>
      <c r="AO739" s="21"/>
      <c r="AP739" s="21"/>
      <c r="AQ739" s="21"/>
      <c r="AR739" s="21"/>
      <c r="AS739" s="21"/>
      <c r="AT739" s="12" t="str">
        <f>HYPERLINK("http://www.openstreetmap.org/?mlat=33.3556&amp;mlon=44.4457&amp;zoom=12#map=12/33.3556/44.4457","Maplink1")</f>
        <v>Maplink1</v>
      </c>
      <c r="AU739" s="12" t="str">
        <f>HYPERLINK("https://www.google.iq/maps/search/+33.3556,44.4457/@33.3556,44.4457,14z?hl=en","Maplink2")</f>
        <v>Maplink2</v>
      </c>
      <c r="AV739" s="12" t="str">
        <f>HYPERLINK("http://www.bing.com/maps/?lvl=14&amp;sty=h&amp;cp=33.3556~44.4457&amp;sp=point.33.3556_44.4457","Maplink3")</f>
        <v>Maplink3</v>
      </c>
    </row>
    <row r="740" spans="1:48" ht="15" customHeight="1" x14ac:dyDescent="0.25">
      <c r="A740" s="19">
        <v>22883</v>
      </c>
      <c r="B740" s="20" t="s">
        <v>11</v>
      </c>
      <c r="C740" s="20" t="s">
        <v>1468</v>
      </c>
      <c r="D740" s="20" t="s">
        <v>1477</v>
      </c>
      <c r="E740" s="20" t="s">
        <v>1478</v>
      </c>
      <c r="F740" s="20">
        <v>33.380823024500003</v>
      </c>
      <c r="G740" s="20">
        <v>44.427298467299998</v>
      </c>
      <c r="H740" s="22">
        <v>3</v>
      </c>
      <c r="I740" s="22">
        <v>18</v>
      </c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>
        <v>3</v>
      </c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>
        <v>3</v>
      </c>
      <c r="AI740" s="21"/>
      <c r="AJ740" s="21"/>
      <c r="AK740" s="21"/>
      <c r="AL740" s="21"/>
      <c r="AM740" s="21"/>
      <c r="AN740" s="21"/>
      <c r="AO740" s="21">
        <v>3</v>
      </c>
      <c r="AP740" s="21"/>
      <c r="AQ740" s="21"/>
      <c r="AR740" s="21"/>
      <c r="AS740" s="21"/>
      <c r="AT740" s="12" t="str">
        <f>HYPERLINK("http://www.openstreetmap.org/?mlat=33.3808&amp;mlon=44.4273&amp;zoom=12#map=12/33.3808/44.4273","Maplink1")</f>
        <v>Maplink1</v>
      </c>
      <c r="AU740" s="12" t="str">
        <f>HYPERLINK("https://www.google.iq/maps/search/+33.3808,44.4273/@33.3808,44.4273,14z?hl=en","Maplink2")</f>
        <v>Maplink2</v>
      </c>
      <c r="AV740" s="12" t="str">
        <f>HYPERLINK("http://www.bing.com/maps/?lvl=14&amp;sty=h&amp;cp=33.3808~44.4273&amp;sp=point.33.3808_44.4273","Maplink3")</f>
        <v>Maplink3</v>
      </c>
    </row>
    <row r="741" spans="1:48" ht="15" customHeight="1" x14ac:dyDescent="0.25">
      <c r="A741" s="19">
        <v>24659</v>
      </c>
      <c r="B741" s="20" t="s">
        <v>11</v>
      </c>
      <c r="C741" s="20" t="s">
        <v>1468</v>
      </c>
      <c r="D741" s="20" t="s">
        <v>1479</v>
      </c>
      <c r="E741" s="20" t="s">
        <v>1480</v>
      </c>
      <c r="F741" s="20">
        <v>33.36766429</v>
      </c>
      <c r="G741" s="20">
        <v>44.437470269999999</v>
      </c>
      <c r="H741" s="22">
        <v>4</v>
      </c>
      <c r="I741" s="22">
        <v>24</v>
      </c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>
        <v>4</v>
      </c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>
        <v>4</v>
      </c>
      <c r="AI741" s="21"/>
      <c r="AJ741" s="21"/>
      <c r="AK741" s="21"/>
      <c r="AL741" s="21"/>
      <c r="AM741" s="21"/>
      <c r="AN741" s="21"/>
      <c r="AO741" s="21">
        <v>4</v>
      </c>
      <c r="AP741" s="21"/>
      <c r="AQ741" s="21"/>
      <c r="AR741" s="21"/>
      <c r="AS741" s="21"/>
      <c r="AT741" s="12" t="str">
        <f>HYPERLINK("http://www.openstreetmap.org/?mlat=33.3677&amp;mlon=44.4375&amp;zoom=12#map=12/33.3677/44.4375","Maplink1")</f>
        <v>Maplink1</v>
      </c>
      <c r="AU741" s="12" t="str">
        <f>HYPERLINK("https://www.google.iq/maps/search/+33.3677,44.4375/@33.3677,44.4375,14z?hl=en","Maplink2")</f>
        <v>Maplink2</v>
      </c>
      <c r="AV741" s="12" t="str">
        <f>HYPERLINK("http://www.bing.com/maps/?lvl=14&amp;sty=h&amp;cp=33.3677~44.4375&amp;sp=point.33.3677_44.4375","Maplink3")</f>
        <v>Maplink3</v>
      </c>
    </row>
    <row r="742" spans="1:48" ht="15" customHeight="1" x14ac:dyDescent="0.25">
      <c r="A742" s="19">
        <v>22884</v>
      </c>
      <c r="B742" s="20" t="s">
        <v>11</v>
      </c>
      <c r="C742" s="20" t="s">
        <v>1468</v>
      </c>
      <c r="D742" s="20" t="s">
        <v>1481</v>
      </c>
      <c r="E742" s="20" t="s">
        <v>1482</v>
      </c>
      <c r="F742" s="20">
        <v>33.380834450000002</v>
      </c>
      <c r="G742" s="20">
        <v>44.425036409999997</v>
      </c>
      <c r="H742" s="22">
        <v>3</v>
      </c>
      <c r="I742" s="22">
        <v>18</v>
      </c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>
        <v>3</v>
      </c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>
        <v>3</v>
      </c>
      <c r="AI742" s="21"/>
      <c r="AJ742" s="21"/>
      <c r="AK742" s="21"/>
      <c r="AL742" s="21"/>
      <c r="AM742" s="21">
        <v>3</v>
      </c>
      <c r="AN742" s="21"/>
      <c r="AO742" s="21"/>
      <c r="AP742" s="21"/>
      <c r="AQ742" s="21"/>
      <c r="AR742" s="21"/>
      <c r="AS742" s="21"/>
      <c r="AT742" s="12" t="str">
        <f>HYPERLINK("http://www.openstreetmap.org/?mlat=33.3808&amp;mlon=44.425&amp;zoom=12#map=12/33.3808/44.425","Maplink1")</f>
        <v>Maplink1</v>
      </c>
      <c r="AU742" s="12" t="str">
        <f>HYPERLINK("https://www.google.iq/maps/search/+33.3808,44.425/@33.3808,44.425,14z?hl=en","Maplink2")</f>
        <v>Maplink2</v>
      </c>
      <c r="AV742" s="12" t="str">
        <f>HYPERLINK("http://www.bing.com/maps/?lvl=14&amp;sty=h&amp;cp=33.3808~44.425&amp;sp=point.33.3808_44.425","Maplink3")</f>
        <v>Maplink3</v>
      </c>
    </row>
    <row r="743" spans="1:48" ht="15" customHeight="1" x14ac:dyDescent="0.25">
      <c r="A743" s="19">
        <v>24658</v>
      </c>
      <c r="B743" s="20" t="s">
        <v>11</v>
      </c>
      <c r="C743" s="20" t="s">
        <v>1468</v>
      </c>
      <c r="D743" s="20" t="s">
        <v>1483</v>
      </c>
      <c r="E743" s="20" t="s">
        <v>1484</v>
      </c>
      <c r="F743" s="20">
        <v>33.380219160000003</v>
      </c>
      <c r="G743" s="20">
        <v>44.456161229999999</v>
      </c>
      <c r="H743" s="22">
        <v>4</v>
      </c>
      <c r="I743" s="22">
        <v>24</v>
      </c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>
        <v>4</v>
      </c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>
        <v>4</v>
      </c>
      <c r="AI743" s="21"/>
      <c r="AJ743" s="21"/>
      <c r="AK743" s="21"/>
      <c r="AL743" s="21"/>
      <c r="AM743" s="21"/>
      <c r="AN743" s="21"/>
      <c r="AO743" s="21">
        <v>4</v>
      </c>
      <c r="AP743" s="21"/>
      <c r="AQ743" s="21"/>
      <c r="AR743" s="21"/>
      <c r="AS743" s="21"/>
      <c r="AT743" s="12" t="str">
        <f>HYPERLINK("http://www.openstreetmap.org/?mlat=33.3802&amp;mlon=44.4562&amp;zoom=12#map=12/33.3802/44.4562","Maplink1")</f>
        <v>Maplink1</v>
      </c>
      <c r="AU743" s="12" t="str">
        <f>HYPERLINK("https://www.google.iq/maps/search/+33.3802,44.4562/@33.3802,44.4562,14z?hl=en","Maplink2")</f>
        <v>Maplink2</v>
      </c>
      <c r="AV743" s="12" t="str">
        <f>HYPERLINK("http://www.bing.com/maps/?lvl=14&amp;sty=h&amp;cp=33.3802~44.4562&amp;sp=point.33.3802_44.4562","Maplink3")</f>
        <v>Maplink3</v>
      </c>
    </row>
    <row r="744" spans="1:48" ht="15" customHeight="1" x14ac:dyDescent="0.25">
      <c r="A744" s="19">
        <v>24657</v>
      </c>
      <c r="B744" s="20" t="s">
        <v>11</v>
      </c>
      <c r="C744" s="20" t="s">
        <v>1468</v>
      </c>
      <c r="D744" s="20" t="s">
        <v>6016</v>
      </c>
      <c r="E744" s="20" t="s">
        <v>6017</v>
      </c>
      <c r="F744" s="20">
        <v>33.385092</v>
      </c>
      <c r="G744" s="20">
        <v>44.481923190000003</v>
      </c>
      <c r="H744" s="22">
        <v>3</v>
      </c>
      <c r="I744" s="22">
        <v>18</v>
      </c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>
        <v>2</v>
      </c>
      <c r="W744" s="21"/>
      <c r="X744" s="21">
        <v>1</v>
      </c>
      <c r="Y744" s="21"/>
      <c r="Z744" s="21"/>
      <c r="AA744" s="21"/>
      <c r="AB744" s="21"/>
      <c r="AC744" s="21"/>
      <c r="AD744" s="21"/>
      <c r="AE744" s="21"/>
      <c r="AF744" s="21"/>
      <c r="AG744" s="21"/>
      <c r="AH744" s="21">
        <v>3</v>
      </c>
      <c r="AI744" s="21"/>
      <c r="AJ744" s="21"/>
      <c r="AK744" s="21"/>
      <c r="AL744" s="21"/>
      <c r="AM744" s="21">
        <v>2</v>
      </c>
      <c r="AN744" s="21"/>
      <c r="AO744" s="21">
        <v>1</v>
      </c>
      <c r="AP744" s="21"/>
      <c r="AQ744" s="21"/>
      <c r="AR744" s="21"/>
      <c r="AS744" s="21"/>
      <c r="AT744" s="12" t="str">
        <f>HYPERLINK("http://www.openstreetmap.org/?mlat=33.3851&amp;mlon=44.4819&amp;zoom=12#map=12/33.3851/44.4819","Maplink1")</f>
        <v>Maplink1</v>
      </c>
      <c r="AU744" s="12" t="str">
        <f>HYPERLINK("https://www.google.iq/maps/search/+33.3851,44.4819/@33.3851,44.4819,14z?hl=en","Maplink2")</f>
        <v>Maplink2</v>
      </c>
      <c r="AV744" s="12" t="str">
        <f>HYPERLINK("http://www.bing.com/maps/?lvl=14&amp;sty=h&amp;cp=33.3851~44.4819&amp;sp=point.33.3851_44.4819","Maplink3")</f>
        <v>Maplink3</v>
      </c>
    </row>
    <row r="745" spans="1:48" ht="15" customHeight="1" x14ac:dyDescent="0.25">
      <c r="A745" s="19">
        <v>24504</v>
      </c>
      <c r="B745" s="20" t="s">
        <v>11</v>
      </c>
      <c r="C745" s="20" t="s">
        <v>1468</v>
      </c>
      <c r="D745" s="20" t="s">
        <v>1485</v>
      </c>
      <c r="E745" s="20" t="s">
        <v>1486</v>
      </c>
      <c r="F745" s="20">
        <v>33.378418556100002</v>
      </c>
      <c r="G745" s="20">
        <v>44.4712121994</v>
      </c>
      <c r="H745" s="22">
        <v>3</v>
      </c>
      <c r="I745" s="22">
        <v>18</v>
      </c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>
        <v>3</v>
      </c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>
        <v>3</v>
      </c>
      <c r="AI745" s="21"/>
      <c r="AJ745" s="21"/>
      <c r="AK745" s="21"/>
      <c r="AL745" s="21"/>
      <c r="AM745" s="21"/>
      <c r="AN745" s="21">
        <v>3</v>
      </c>
      <c r="AO745" s="21"/>
      <c r="AP745" s="21"/>
      <c r="AQ745" s="21"/>
      <c r="AR745" s="21"/>
      <c r="AS745" s="21"/>
      <c r="AT745" s="12" t="str">
        <f>HYPERLINK("http://www.openstreetmap.org/?mlat=33.3784&amp;mlon=44.4712&amp;zoom=12#map=12/33.3784/44.4712","Maplink1")</f>
        <v>Maplink1</v>
      </c>
      <c r="AU745" s="12" t="str">
        <f>HYPERLINK("https://www.google.iq/maps/search/+33.3784,44.4712/@33.3784,44.4712,14z?hl=en","Maplink2")</f>
        <v>Maplink2</v>
      </c>
      <c r="AV745" s="12" t="str">
        <f>HYPERLINK("http://www.bing.com/maps/?lvl=14&amp;sty=h&amp;cp=33.3784~44.4712&amp;sp=point.33.3784_44.4712","Maplink3")</f>
        <v>Maplink3</v>
      </c>
    </row>
    <row r="746" spans="1:48" ht="15" customHeight="1" x14ac:dyDescent="0.25">
      <c r="A746" s="19">
        <v>22537</v>
      </c>
      <c r="B746" s="20" t="s">
        <v>11</v>
      </c>
      <c r="C746" s="20" t="s">
        <v>1468</v>
      </c>
      <c r="D746" s="20" t="s">
        <v>1487</v>
      </c>
      <c r="E746" s="20" t="s">
        <v>1488</v>
      </c>
      <c r="F746" s="20">
        <v>33.388024770000001</v>
      </c>
      <c r="G746" s="20">
        <v>44.440283950000001</v>
      </c>
      <c r="H746" s="22">
        <v>4</v>
      </c>
      <c r="I746" s="22">
        <v>24</v>
      </c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>
        <v>4</v>
      </c>
      <c r="W746" s="21"/>
      <c r="X746" s="21"/>
      <c r="Y746" s="21"/>
      <c r="Z746" s="21"/>
      <c r="AA746" s="21"/>
      <c r="AB746" s="21"/>
      <c r="AC746" s="21">
        <v>2</v>
      </c>
      <c r="AD746" s="21"/>
      <c r="AE746" s="21"/>
      <c r="AF746" s="21"/>
      <c r="AG746" s="21"/>
      <c r="AH746" s="21">
        <v>2</v>
      </c>
      <c r="AI746" s="21"/>
      <c r="AJ746" s="21"/>
      <c r="AK746" s="21"/>
      <c r="AL746" s="21"/>
      <c r="AM746" s="21">
        <v>4</v>
      </c>
      <c r="AN746" s="21"/>
      <c r="AO746" s="21"/>
      <c r="AP746" s="21"/>
      <c r="AQ746" s="21"/>
      <c r="AR746" s="21"/>
      <c r="AS746" s="21"/>
      <c r="AT746" s="12" t="str">
        <f>HYPERLINK("http://www.openstreetmap.org/?mlat=33.388&amp;mlon=44.4403&amp;zoom=12#map=12/33.388/44.4403","Maplink1")</f>
        <v>Maplink1</v>
      </c>
      <c r="AU746" s="12" t="str">
        <f>HYPERLINK("https://www.google.iq/maps/search/+33.388,44.4403/@33.388,44.4403,14z?hl=en","Maplink2")</f>
        <v>Maplink2</v>
      </c>
      <c r="AV746" s="12" t="str">
        <f>HYPERLINK("http://www.bing.com/maps/?lvl=14&amp;sty=h&amp;cp=33.388~44.4403&amp;sp=point.33.388_44.4403","Maplink3")</f>
        <v>Maplink3</v>
      </c>
    </row>
    <row r="747" spans="1:48" ht="15" customHeight="1" x14ac:dyDescent="0.25">
      <c r="A747" s="19">
        <v>24502</v>
      </c>
      <c r="B747" s="20" t="s">
        <v>11</v>
      </c>
      <c r="C747" s="20" t="s">
        <v>1468</v>
      </c>
      <c r="D747" s="20" t="s">
        <v>1489</v>
      </c>
      <c r="E747" s="20" t="s">
        <v>1490</v>
      </c>
      <c r="F747" s="20">
        <v>33.401486859999999</v>
      </c>
      <c r="G747" s="20">
        <v>44.455206080000004</v>
      </c>
      <c r="H747" s="22">
        <v>6</v>
      </c>
      <c r="I747" s="22">
        <v>36</v>
      </c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>
        <v>5</v>
      </c>
      <c r="W747" s="21"/>
      <c r="X747" s="21">
        <v>1</v>
      </c>
      <c r="Y747" s="21"/>
      <c r="Z747" s="21"/>
      <c r="AA747" s="21"/>
      <c r="AB747" s="21"/>
      <c r="AC747" s="21"/>
      <c r="AD747" s="21"/>
      <c r="AE747" s="21"/>
      <c r="AF747" s="21"/>
      <c r="AG747" s="21"/>
      <c r="AH747" s="21">
        <v>6</v>
      </c>
      <c r="AI747" s="21"/>
      <c r="AJ747" s="21"/>
      <c r="AK747" s="21"/>
      <c r="AL747" s="21"/>
      <c r="AM747" s="21">
        <v>5</v>
      </c>
      <c r="AN747" s="21"/>
      <c r="AO747" s="21">
        <v>1</v>
      </c>
      <c r="AP747" s="21"/>
      <c r="AQ747" s="21"/>
      <c r="AR747" s="21"/>
      <c r="AS747" s="21"/>
      <c r="AT747" s="12" t="str">
        <f>HYPERLINK("http://www.openstreetmap.org/?mlat=33.4015&amp;mlon=44.4552&amp;zoom=12#map=12/33.4015/44.4552","Maplink1")</f>
        <v>Maplink1</v>
      </c>
      <c r="AU747" s="12" t="str">
        <f>HYPERLINK("https://www.google.iq/maps/search/+33.4015,44.4552/@33.4015,44.4552,14z?hl=en","Maplink2")</f>
        <v>Maplink2</v>
      </c>
      <c r="AV747" s="12" t="str">
        <f>HYPERLINK("http://www.bing.com/maps/?lvl=14&amp;sty=h&amp;cp=33.4015~44.4552&amp;sp=point.33.4015_44.4552","Maplink3")</f>
        <v>Maplink3</v>
      </c>
    </row>
    <row r="748" spans="1:48" ht="15" customHeight="1" x14ac:dyDescent="0.25">
      <c r="A748" s="19">
        <v>24932</v>
      </c>
      <c r="B748" s="20" t="s">
        <v>11</v>
      </c>
      <c r="C748" s="20" t="s">
        <v>1468</v>
      </c>
      <c r="D748" s="20" t="s">
        <v>1491</v>
      </c>
      <c r="E748" s="20" t="s">
        <v>1492</v>
      </c>
      <c r="F748" s="20">
        <v>33.365028283000001</v>
      </c>
      <c r="G748" s="20">
        <v>44.460742312500003</v>
      </c>
      <c r="H748" s="22">
        <v>6</v>
      </c>
      <c r="I748" s="22">
        <v>36</v>
      </c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>
        <v>6</v>
      </c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>
        <v>6</v>
      </c>
      <c r="AI748" s="21"/>
      <c r="AJ748" s="21"/>
      <c r="AK748" s="21"/>
      <c r="AL748" s="21"/>
      <c r="AM748" s="21">
        <v>6</v>
      </c>
      <c r="AN748" s="21"/>
      <c r="AO748" s="21"/>
      <c r="AP748" s="21"/>
      <c r="AQ748" s="21"/>
      <c r="AR748" s="21"/>
      <c r="AS748" s="21"/>
      <c r="AT748" s="12" t="str">
        <f>HYPERLINK("http://www.openstreetmap.org/?mlat=33.365&amp;mlon=44.4607&amp;zoom=12#map=12/33.365/44.4607","Maplink1")</f>
        <v>Maplink1</v>
      </c>
      <c r="AU748" s="12" t="str">
        <f>HYPERLINK("https://www.google.iq/maps/search/+33.365,44.4607/@33.365,44.4607,14z?hl=en","Maplink2")</f>
        <v>Maplink2</v>
      </c>
      <c r="AV748" s="12" t="str">
        <f>HYPERLINK("http://www.bing.com/maps/?lvl=14&amp;sty=h&amp;cp=33.365~44.4607&amp;sp=point.33.365_44.4607","Maplink3")</f>
        <v>Maplink3</v>
      </c>
    </row>
    <row r="749" spans="1:48" ht="15" customHeight="1" x14ac:dyDescent="0.25">
      <c r="A749" s="19">
        <v>24584</v>
      </c>
      <c r="B749" s="20" t="s">
        <v>11</v>
      </c>
      <c r="C749" s="20" t="s">
        <v>1468</v>
      </c>
      <c r="D749" s="20" t="s">
        <v>1493</v>
      </c>
      <c r="E749" s="20" t="s">
        <v>1494</v>
      </c>
      <c r="F749" s="20">
        <v>33.365974999999999</v>
      </c>
      <c r="G749" s="20">
        <v>44.463963999999997</v>
      </c>
      <c r="H749" s="22">
        <v>3</v>
      </c>
      <c r="I749" s="22">
        <v>18</v>
      </c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>
        <v>3</v>
      </c>
      <c r="W749" s="21"/>
      <c r="X749" s="21"/>
      <c r="Y749" s="21"/>
      <c r="Z749" s="21"/>
      <c r="AA749" s="21"/>
      <c r="AB749" s="21"/>
      <c r="AC749" s="21">
        <v>3</v>
      </c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>
        <v>3</v>
      </c>
      <c r="AO749" s="21"/>
      <c r="AP749" s="21"/>
      <c r="AQ749" s="21"/>
      <c r="AR749" s="21"/>
      <c r="AS749" s="21"/>
      <c r="AT749" s="12" t="str">
        <f>HYPERLINK("http://www.openstreetmap.org/?mlat=33.366&amp;mlon=44.464&amp;zoom=12#map=12/33.366/44.464","Maplink1")</f>
        <v>Maplink1</v>
      </c>
      <c r="AU749" s="12" t="str">
        <f>HYPERLINK("https://www.google.iq/maps/search/+33.366,44.464/@33.366,44.464,14z?hl=en","Maplink2")</f>
        <v>Maplink2</v>
      </c>
      <c r="AV749" s="12" t="str">
        <f>HYPERLINK("http://www.bing.com/maps/?lvl=14&amp;sty=h&amp;cp=33.366~44.464&amp;sp=point.33.366_44.464","Maplink3")</f>
        <v>Maplink3</v>
      </c>
    </row>
    <row r="750" spans="1:48" ht="15" customHeight="1" x14ac:dyDescent="0.25">
      <c r="A750" s="19">
        <v>24933</v>
      </c>
      <c r="B750" s="20" t="s">
        <v>11</v>
      </c>
      <c r="C750" s="20" t="s">
        <v>1468</v>
      </c>
      <c r="D750" s="20" t="s">
        <v>1495</v>
      </c>
      <c r="E750" s="20" t="s">
        <v>1496</v>
      </c>
      <c r="F750" s="20">
        <v>33.383544690000001</v>
      </c>
      <c r="G750" s="20">
        <v>44.459876190000003</v>
      </c>
      <c r="H750" s="22">
        <v>4</v>
      </c>
      <c r="I750" s="22">
        <v>24</v>
      </c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>
        <v>4</v>
      </c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>
        <v>4</v>
      </c>
      <c r="AI750" s="21"/>
      <c r="AJ750" s="21"/>
      <c r="AK750" s="21"/>
      <c r="AL750" s="21"/>
      <c r="AM750" s="21">
        <v>4</v>
      </c>
      <c r="AN750" s="21"/>
      <c r="AO750" s="21"/>
      <c r="AP750" s="21"/>
      <c r="AQ750" s="21"/>
      <c r="AR750" s="21"/>
      <c r="AS750" s="21"/>
      <c r="AT750" s="12" t="str">
        <f>HYPERLINK("http://www.openstreetmap.org/?mlat=33.3835&amp;mlon=44.4599&amp;zoom=12#map=12/33.3835/44.4599","Maplink1")</f>
        <v>Maplink1</v>
      </c>
      <c r="AU750" s="12" t="str">
        <f>HYPERLINK("https://www.google.iq/maps/search/+33.3835,44.4599/@33.3835,44.4599,14z?hl=en","Maplink2")</f>
        <v>Maplink2</v>
      </c>
      <c r="AV750" s="12" t="str">
        <f>HYPERLINK("http://www.bing.com/maps/?lvl=14&amp;sty=h&amp;cp=33.3835~44.4599&amp;sp=point.33.3835_44.4599","Maplink3")</f>
        <v>Maplink3</v>
      </c>
    </row>
    <row r="751" spans="1:48" ht="15" customHeight="1" x14ac:dyDescent="0.25">
      <c r="A751" s="19">
        <v>24585</v>
      </c>
      <c r="B751" s="20" t="s">
        <v>11</v>
      </c>
      <c r="C751" s="20" t="s">
        <v>1468</v>
      </c>
      <c r="D751" s="20" t="s">
        <v>1497</v>
      </c>
      <c r="E751" s="20" t="s">
        <v>1498</v>
      </c>
      <c r="F751" s="20">
        <v>33.362739269999999</v>
      </c>
      <c r="G751" s="20">
        <v>44.453274049999997</v>
      </c>
      <c r="H751" s="22">
        <v>3</v>
      </c>
      <c r="I751" s="22">
        <v>18</v>
      </c>
      <c r="J751" s="21"/>
      <c r="K751" s="21"/>
      <c r="L751" s="21"/>
      <c r="M751" s="21"/>
      <c r="N751" s="21"/>
      <c r="O751" s="21">
        <v>2</v>
      </c>
      <c r="P751" s="21"/>
      <c r="Q751" s="21"/>
      <c r="R751" s="21"/>
      <c r="S751" s="21"/>
      <c r="T751" s="21"/>
      <c r="U751" s="21"/>
      <c r="V751" s="21">
        <v>1</v>
      </c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>
        <v>3</v>
      </c>
      <c r="AI751" s="21"/>
      <c r="AJ751" s="21"/>
      <c r="AK751" s="21"/>
      <c r="AL751" s="21"/>
      <c r="AM751" s="21">
        <v>1</v>
      </c>
      <c r="AN751" s="21">
        <v>2</v>
      </c>
      <c r="AO751" s="21"/>
      <c r="AP751" s="21"/>
      <c r="AQ751" s="21"/>
      <c r="AR751" s="21"/>
      <c r="AS751" s="21"/>
      <c r="AT751" s="12" t="str">
        <f>HYPERLINK("http://www.openstreetmap.org/?mlat=33.3627&amp;mlon=44.4533&amp;zoom=12#map=12/33.3627/44.4533","Maplink1")</f>
        <v>Maplink1</v>
      </c>
      <c r="AU751" s="12" t="str">
        <f>HYPERLINK("https://www.google.iq/maps/search/+33.3627,44.4533/@33.3627,44.4533,14z?hl=en","Maplink2")</f>
        <v>Maplink2</v>
      </c>
      <c r="AV751" s="12" t="str">
        <f>HYPERLINK("http://www.bing.com/maps/?lvl=14&amp;sty=h&amp;cp=33.3627~44.4533&amp;sp=point.33.3627_44.4533","Maplink3")</f>
        <v>Maplink3</v>
      </c>
    </row>
    <row r="752" spans="1:48" ht="15" customHeight="1" x14ac:dyDescent="0.25">
      <c r="A752" s="19">
        <v>24586</v>
      </c>
      <c r="B752" s="20" t="s">
        <v>11</v>
      </c>
      <c r="C752" s="20" t="s">
        <v>1468</v>
      </c>
      <c r="D752" s="20" t="s">
        <v>1499</v>
      </c>
      <c r="E752" s="20" t="s">
        <v>1500</v>
      </c>
      <c r="F752" s="20">
        <v>33.381979770000001</v>
      </c>
      <c r="G752" s="20">
        <v>44.441792700000001</v>
      </c>
      <c r="H752" s="22">
        <v>4</v>
      </c>
      <c r="I752" s="22">
        <v>24</v>
      </c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>
        <v>4</v>
      </c>
      <c r="W752" s="21"/>
      <c r="X752" s="21"/>
      <c r="Y752" s="21"/>
      <c r="Z752" s="21"/>
      <c r="AA752" s="21"/>
      <c r="AB752" s="21"/>
      <c r="AC752" s="21">
        <v>2</v>
      </c>
      <c r="AD752" s="21"/>
      <c r="AE752" s="21"/>
      <c r="AF752" s="21"/>
      <c r="AG752" s="21"/>
      <c r="AH752" s="21">
        <v>2</v>
      </c>
      <c r="AI752" s="21"/>
      <c r="AJ752" s="21"/>
      <c r="AK752" s="21"/>
      <c r="AL752" s="21"/>
      <c r="AM752" s="21">
        <v>4</v>
      </c>
      <c r="AN752" s="21"/>
      <c r="AO752" s="21"/>
      <c r="AP752" s="21"/>
      <c r="AQ752" s="21"/>
      <c r="AR752" s="21"/>
      <c r="AS752" s="21"/>
      <c r="AT752" s="12" t="str">
        <f>HYPERLINK("http://www.openstreetmap.org/?mlat=33.382&amp;mlon=44.4418&amp;zoom=12#map=12/33.382/44.4418","Maplink1")</f>
        <v>Maplink1</v>
      </c>
      <c r="AU752" s="12" t="str">
        <f>HYPERLINK("https://www.google.iq/maps/search/+33.382,44.4418/@33.382,44.4418,14z?hl=en","Maplink2")</f>
        <v>Maplink2</v>
      </c>
      <c r="AV752" s="12" t="str">
        <f>HYPERLINK("http://www.bing.com/maps/?lvl=14&amp;sty=h&amp;cp=33.382~44.4418&amp;sp=point.33.382_44.4418","Maplink3")</f>
        <v>Maplink3</v>
      </c>
    </row>
    <row r="753" spans="1:48" ht="15" customHeight="1" x14ac:dyDescent="0.25">
      <c r="A753" s="19">
        <v>24587</v>
      </c>
      <c r="B753" s="20" t="s">
        <v>11</v>
      </c>
      <c r="C753" s="20" t="s">
        <v>1468</v>
      </c>
      <c r="D753" s="20" t="s">
        <v>1501</v>
      </c>
      <c r="E753" s="20" t="s">
        <v>1502</v>
      </c>
      <c r="F753" s="20">
        <v>33.393015519999999</v>
      </c>
      <c r="G753" s="20">
        <v>44.433639300000003</v>
      </c>
      <c r="H753" s="22">
        <v>4</v>
      </c>
      <c r="I753" s="22">
        <v>24</v>
      </c>
      <c r="J753" s="21"/>
      <c r="K753" s="21"/>
      <c r="L753" s="21"/>
      <c r="M753" s="21"/>
      <c r="N753" s="21"/>
      <c r="O753" s="21">
        <v>1</v>
      </c>
      <c r="P753" s="21"/>
      <c r="Q753" s="21"/>
      <c r="R753" s="21"/>
      <c r="S753" s="21"/>
      <c r="T753" s="21"/>
      <c r="U753" s="21"/>
      <c r="V753" s="21">
        <v>2</v>
      </c>
      <c r="W753" s="21"/>
      <c r="X753" s="21">
        <v>1</v>
      </c>
      <c r="Y753" s="21"/>
      <c r="Z753" s="21"/>
      <c r="AA753" s="21"/>
      <c r="AB753" s="21"/>
      <c r="AC753" s="21"/>
      <c r="AD753" s="21"/>
      <c r="AE753" s="21"/>
      <c r="AF753" s="21"/>
      <c r="AG753" s="21"/>
      <c r="AH753" s="21">
        <v>4</v>
      </c>
      <c r="AI753" s="21"/>
      <c r="AJ753" s="21"/>
      <c r="AK753" s="21"/>
      <c r="AL753" s="21"/>
      <c r="AM753" s="21">
        <v>3</v>
      </c>
      <c r="AN753" s="21"/>
      <c r="AO753" s="21"/>
      <c r="AP753" s="21">
        <v>1</v>
      </c>
      <c r="AQ753" s="21"/>
      <c r="AR753" s="21"/>
      <c r="AS753" s="21"/>
      <c r="AT753" s="12" t="str">
        <f>HYPERLINK("http://www.openstreetmap.org/?mlat=33.393&amp;mlon=44.4336&amp;zoom=12#map=12/33.393/44.4336","Maplink1")</f>
        <v>Maplink1</v>
      </c>
      <c r="AU753" s="12" t="str">
        <f>HYPERLINK("https://www.google.iq/maps/search/+33.393,44.4336/@33.393,44.4336,14z?hl=en","Maplink2")</f>
        <v>Maplink2</v>
      </c>
      <c r="AV753" s="12" t="str">
        <f>HYPERLINK("http://www.bing.com/maps/?lvl=14&amp;sty=h&amp;cp=33.393~44.4336&amp;sp=point.33.393_44.4336","Maplink3")</f>
        <v>Maplink3</v>
      </c>
    </row>
    <row r="754" spans="1:48" ht="15" customHeight="1" x14ac:dyDescent="0.25">
      <c r="A754" s="19">
        <v>24588</v>
      </c>
      <c r="B754" s="20" t="s">
        <v>11</v>
      </c>
      <c r="C754" s="20" t="s">
        <v>1468</v>
      </c>
      <c r="D754" s="20" t="s">
        <v>1503</v>
      </c>
      <c r="E754" s="20" t="s">
        <v>1504</v>
      </c>
      <c r="F754" s="20">
        <v>33.388715403299997</v>
      </c>
      <c r="G754" s="20">
        <v>44.442230210399998</v>
      </c>
      <c r="H754" s="22">
        <v>5</v>
      </c>
      <c r="I754" s="22">
        <v>30</v>
      </c>
      <c r="J754" s="21">
        <v>1</v>
      </c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>
        <v>3</v>
      </c>
      <c r="W754" s="21"/>
      <c r="X754" s="21">
        <v>1</v>
      </c>
      <c r="Y754" s="21"/>
      <c r="Z754" s="21"/>
      <c r="AA754" s="21"/>
      <c r="AB754" s="21"/>
      <c r="AC754" s="21"/>
      <c r="AD754" s="21"/>
      <c r="AE754" s="21"/>
      <c r="AF754" s="21"/>
      <c r="AG754" s="21"/>
      <c r="AH754" s="21">
        <v>5</v>
      </c>
      <c r="AI754" s="21"/>
      <c r="AJ754" s="21"/>
      <c r="AK754" s="21"/>
      <c r="AL754" s="21">
        <v>1</v>
      </c>
      <c r="AM754" s="21">
        <v>3</v>
      </c>
      <c r="AN754" s="21"/>
      <c r="AO754" s="21">
        <v>1</v>
      </c>
      <c r="AP754" s="21"/>
      <c r="AQ754" s="21"/>
      <c r="AR754" s="21"/>
      <c r="AS754" s="21"/>
      <c r="AT754" s="12" t="str">
        <f>HYPERLINK("http://www.openstreetmap.org/?mlat=33.3887&amp;mlon=44.4422&amp;zoom=12#map=12/33.3887/44.4422","Maplink1")</f>
        <v>Maplink1</v>
      </c>
      <c r="AU754" s="12" t="str">
        <f>HYPERLINK("https://www.google.iq/maps/search/+33.3887,44.4422/@33.3887,44.4422,14z?hl=en","Maplink2")</f>
        <v>Maplink2</v>
      </c>
      <c r="AV754" s="12" t="str">
        <f>HYPERLINK("http://www.bing.com/maps/?lvl=14&amp;sty=h&amp;cp=33.3887~44.4422&amp;sp=point.33.3887_44.4422","Maplink3")</f>
        <v>Maplink3</v>
      </c>
    </row>
    <row r="755" spans="1:48" ht="15" customHeight="1" x14ac:dyDescent="0.25">
      <c r="A755" s="19">
        <v>25721</v>
      </c>
      <c r="B755" s="20" t="s">
        <v>11</v>
      </c>
      <c r="C755" s="20" t="s">
        <v>1468</v>
      </c>
      <c r="D755" s="20" t="s">
        <v>1505</v>
      </c>
      <c r="E755" s="20" t="s">
        <v>1506</v>
      </c>
      <c r="F755" s="20">
        <v>33.395291129999997</v>
      </c>
      <c r="G755" s="20">
        <v>44.493844299999999</v>
      </c>
      <c r="H755" s="22">
        <v>5</v>
      </c>
      <c r="I755" s="22">
        <v>30</v>
      </c>
      <c r="J755" s="21">
        <v>3</v>
      </c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>
        <v>2</v>
      </c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>
        <v>5</v>
      </c>
      <c r="AI755" s="21"/>
      <c r="AJ755" s="21"/>
      <c r="AK755" s="21"/>
      <c r="AL755" s="21"/>
      <c r="AM755" s="21">
        <v>2</v>
      </c>
      <c r="AN755" s="21"/>
      <c r="AO755" s="21"/>
      <c r="AP755" s="21"/>
      <c r="AQ755" s="21"/>
      <c r="AR755" s="21">
        <v>3</v>
      </c>
      <c r="AS755" s="21"/>
      <c r="AT755" s="12" t="str">
        <f>HYPERLINK("http://www.openstreetmap.org/?mlat=33.3953&amp;mlon=44.4938&amp;zoom=12#map=12/33.3953/44.4938","Maplink1")</f>
        <v>Maplink1</v>
      </c>
      <c r="AU755" s="12" t="str">
        <f>HYPERLINK("https://www.google.iq/maps/search/+33.3953,44.4938/@33.3953,44.4938,14z?hl=en","Maplink2")</f>
        <v>Maplink2</v>
      </c>
      <c r="AV755" s="12" t="str">
        <f>HYPERLINK("http://www.bing.com/maps/?lvl=14&amp;sty=h&amp;cp=33.3953~44.4938&amp;sp=point.33.3953_44.4938","Maplink3")</f>
        <v>Maplink3</v>
      </c>
    </row>
    <row r="756" spans="1:48" ht="15" customHeight="1" x14ac:dyDescent="0.25">
      <c r="A756" s="19">
        <v>23039</v>
      </c>
      <c r="B756" s="20" t="s">
        <v>11</v>
      </c>
      <c r="C756" s="20" t="s">
        <v>1468</v>
      </c>
      <c r="D756" s="20" t="s">
        <v>1507</v>
      </c>
      <c r="E756" s="20" t="s">
        <v>1508</v>
      </c>
      <c r="F756" s="20">
        <v>33.401022380000001</v>
      </c>
      <c r="G756" s="20">
        <v>44.500682230000002</v>
      </c>
      <c r="H756" s="22">
        <v>7</v>
      </c>
      <c r="I756" s="22">
        <v>42</v>
      </c>
      <c r="J756" s="21">
        <v>2</v>
      </c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>
        <v>4</v>
      </c>
      <c r="W756" s="21"/>
      <c r="X756" s="21">
        <v>1</v>
      </c>
      <c r="Y756" s="21"/>
      <c r="Z756" s="21"/>
      <c r="AA756" s="21"/>
      <c r="AB756" s="21"/>
      <c r="AC756" s="21"/>
      <c r="AD756" s="21"/>
      <c r="AE756" s="21"/>
      <c r="AF756" s="21"/>
      <c r="AG756" s="21"/>
      <c r="AH756" s="21">
        <v>7</v>
      </c>
      <c r="AI756" s="21"/>
      <c r="AJ756" s="21"/>
      <c r="AK756" s="21"/>
      <c r="AL756" s="21"/>
      <c r="AM756" s="21"/>
      <c r="AN756" s="21">
        <v>4</v>
      </c>
      <c r="AO756" s="21">
        <v>3</v>
      </c>
      <c r="AP756" s="21"/>
      <c r="AQ756" s="21"/>
      <c r="AR756" s="21"/>
      <c r="AS756" s="21"/>
      <c r="AT756" s="12" t="str">
        <f>HYPERLINK("http://www.openstreetmap.org/?mlat=33.401&amp;mlon=44.5007&amp;zoom=12#map=12/33.401/44.5007","Maplink1")</f>
        <v>Maplink1</v>
      </c>
      <c r="AU756" s="12" t="str">
        <f>HYPERLINK("https://www.google.iq/maps/search/+33.401,44.5007/@33.401,44.5007,14z?hl=en","Maplink2")</f>
        <v>Maplink2</v>
      </c>
      <c r="AV756" s="12" t="str">
        <f>HYPERLINK("http://www.bing.com/maps/?lvl=14&amp;sty=h&amp;cp=33.401~44.5007&amp;sp=point.33.401_44.5007","Maplink3")</f>
        <v>Maplink3</v>
      </c>
    </row>
    <row r="757" spans="1:48" ht="15" customHeight="1" x14ac:dyDescent="0.25">
      <c r="A757" s="19">
        <v>24591</v>
      </c>
      <c r="B757" s="20" t="s">
        <v>11</v>
      </c>
      <c r="C757" s="20" t="s">
        <v>1468</v>
      </c>
      <c r="D757" s="20" t="s">
        <v>1509</v>
      </c>
      <c r="E757" s="20" t="s">
        <v>1510</v>
      </c>
      <c r="F757" s="20">
        <v>33.394569070000003</v>
      </c>
      <c r="G757" s="20">
        <v>44.445584799999999</v>
      </c>
      <c r="H757" s="22">
        <v>5</v>
      </c>
      <c r="I757" s="22">
        <v>30</v>
      </c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>
        <v>5</v>
      </c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>
        <v>5</v>
      </c>
      <c r="AI757" s="21"/>
      <c r="AJ757" s="21"/>
      <c r="AK757" s="21"/>
      <c r="AL757" s="21"/>
      <c r="AM757" s="21">
        <v>5</v>
      </c>
      <c r="AN757" s="21"/>
      <c r="AO757" s="21"/>
      <c r="AP757" s="21"/>
      <c r="AQ757" s="21"/>
      <c r="AR757" s="21"/>
      <c r="AS757" s="21"/>
      <c r="AT757" s="12" t="str">
        <f>HYPERLINK("http://www.openstreetmap.org/?mlat=33.3946&amp;mlon=44.4456&amp;zoom=12#map=12/33.3946/44.4456","Maplink1")</f>
        <v>Maplink1</v>
      </c>
      <c r="AU757" s="12" t="str">
        <f>HYPERLINK("https://www.google.iq/maps/search/+33.3946,44.4456/@33.3946,44.4456,14z?hl=en","Maplink2")</f>
        <v>Maplink2</v>
      </c>
      <c r="AV757" s="12" t="str">
        <f>HYPERLINK("http://www.bing.com/maps/?lvl=14&amp;sty=h&amp;cp=33.3946~44.4456&amp;sp=point.33.3946_44.4456","Maplink3")</f>
        <v>Maplink3</v>
      </c>
    </row>
    <row r="758" spans="1:48" ht="15" customHeight="1" x14ac:dyDescent="0.25">
      <c r="A758" s="19">
        <v>24589</v>
      </c>
      <c r="B758" s="20" t="s">
        <v>11</v>
      </c>
      <c r="C758" s="20" t="s">
        <v>1468</v>
      </c>
      <c r="D758" s="20" t="s">
        <v>1511</v>
      </c>
      <c r="E758" s="20" t="s">
        <v>1512</v>
      </c>
      <c r="F758" s="20">
        <v>33.396186</v>
      </c>
      <c r="G758" s="20">
        <v>44.396186</v>
      </c>
      <c r="H758" s="22">
        <v>4</v>
      </c>
      <c r="I758" s="22">
        <v>24</v>
      </c>
      <c r="J758" s="21">
        <v>2</v>
      </c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>
        <v>2</v>
      </c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>
        <v>4</v>
      </c>
      <c r="AI758" s="21"/>
      <c r="AJ758" s="21"/>
      <c r="AK758" s="21"/>
      <c r="AL758" s="21"/>
      <c r="AM758" s="21"/>
      <c r="AN758" s="21"/>
      <c r="AO758" s="21">
        <v>2</v>
      </c>
      <c r="AP758" s="21">
        <v>2</v>
      </c>
      <c r="AQ758" s="21"/>
      <c r="AR758" s="21"/>
      <c r="AS758" s="21"/>
      <c r="AT758" s="12" t="str">
        <f>HYPERLINK("http://www.openstreetmap.org/?mlat=33.3962&amp;mlon=44.3962&amp;zoom=12#map=12/33.3962/44.3962","Maplink1")</f>
        <v>Maplink1</v>
      </c>
      <c r="AU758" s="12" t="str">
        <f>HYPERLINK("https://www.google.iq/maps/search/+33.3962,44.3962/@33.3962,44.3962,14z?hl=en","Maplink2")</f>
        <v>Maplink2</v>
      </c>
      <c r="AV758" s="12" t="str">
        <f>HYPERLINK("http://www.bing.com/maps/?lvl=14&amp;sty=h&amp;cp=33.3962~44.3962&amp;sp=point.33.3962_44.3962","Maplink3")</f>
        <v>Maplink3</v>
      </c>
    </row>
    <row r="759" spans="1:48" ht="15" customHeight="1" x14ac:dyDescent="0.25">
      <c r="A759" s="19">
        <v>24228</v>
      </c>
      <c r="B759" s="20" t="s">
        <v>12</v>
      </c>
      <c r="C759" s="20" t="s">
        <v>1513</v>
      </c>
      <c r="D759" s="20" t="s">
        <v>1514</v>
      </c>
      <c r="E759" s="20" t="s">
        <v>1515</v>
      </c>
      <c r="F759" s="20">
        <v>30.481525220000002</v>
      </c>
      <c r="G759" s="20">
        <v>47.862287670000001</v>
      </c>
      <c r="H759" s="22">
        <v>1</v>
      </c>
      <c r="I759" s="22">
        <v>6</v>
      </c>
      <c r="J759" s="21">
        <v>1</v>
      </c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>
        <v>1</v>
      </c>
      <c r="AI759" s="21"/>
      <c r="AJ759" s="21"/>
      <c r="AK759" s="21"/>
      <c r="AL759" s="21"/>
      <c r="AM759" s="21">
        <v>1</v>
      </c>
      <c r="AN759" s="21"/>
      <c r="AO759" s="21"/>
      <c r="AP759" s="21"/>
      <c r="AQ759" s="21"/>
      <c r="AR759" s="21"/>
      <c r="AS759" s="21"/>
      <c r="AT759" s="12" t="str">
        <f>HYPERLINK("http://www.openstreetmap.org/?mlat=30.4815&amp;mlon=47.8623&amp;zoom=12#map=12/30.4815/47.8623","Maplink1")</f>
        <v>Maplink1</v>
      </c>
      <c r="AU759" s="12" t="str">
        <f>HYPERLINK("https://www.google.iq/maps/search/+30.4815,47.8623/@30.4815,47.8623,14z?hl=en","Maplink2")</f>
        <v>Maplink2</v>
      </c>
      <c r="AV759" s="12" t="str">
        <f>HYPERLINK("http://www.bing.com/maps/?lvl=14&amp;sty=h&amp;cp=30.4815~47.8623&amp;sp=point.30.4815_47.8623","Maplink3")</f>
        <v>Maplink3</v>
      </c>
    </row>
    <row r="760" spans="1:48" ht="15" customHeight="1" x14ac:dyDescent="0.25">
      <c r="A760" s="19">
        <v>792</v>
      </c>
      <c r="B760" s="20" t="s">
        <v>12</v>
      </c>
      <c r="C760" s="20" t="s">
        <v>1513</v>
      </c>
      <c r="D760" s="20" t="s">
        <v>1516</v>
      </c>
      <c r="E760" s="20" t="s">
        <v>1517</v>
      </c>
      <c r="F760" s="20">
        <v>30.443117619999999</v>
      </c>
      <c r="G760" s="20">
        <v>48.008296649999998</v>
      </c>
      <c r="H760" s="22">
        <v>2</v>
      </c>
      <c r="I760" s="22">
        <v>12</v>
      </c>
      <c r="J760" s="21">
        <v>2</v>
      </c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>
        <v>1</v>
      </c>
      <c r="AD760" s="21"/>
      <c r="AE760" s="21"/>
      <c r="AF760" s="21"/>
      <c r="AG760" s="21"/>
      <c r="AH760" s="21">
        <v>1</v>
      </c>
      <c r="AI760" s="21"/>
      <c r="AJ760" s="21"/>
      <c r="AK760" s="21"/>
      <c r="AL760" s="21">
        <v>2</v>
      </c>
      <c r="AM760" s="21"/>
      <c r="AN760" s="21"/>
      <c r="AO760" s="21"/>
      <c r="AP760" s="21"/>
      <c r="AQ760" s="21"/>
      <c r="AR760" s="21"/>
      <c r="AS760" s="21"/>
      <c r="AT760" s="12" t="str">
        <f>HYPERLINK("http://www.openstreetmap.org/?mlat=30.4431&amp;mlon=48.0083&amp;zoom=12#map=12/30.4431/48.0083","Maplink1")</f>
        <v>Maplink1</v>
      </c>
      <c r="AU760" s="12" t="str">
        <f>HYPERLINK("https://www.google.iq/maps/search/+30.4431,48.0083/@30.4431,48.0083,14z?hl=en","Maplink2")</f>
        <v>Maplink2</v>
      </c>
      <c r="AV760" s="12" t="str">
        <f>HYPERLINK("http://www.bing.com/maps/?lvl=14&amp;sty=h&amp;cp=30.4431~48.0083&amp;sp=point.30.4431_48.0083","Maplink3")</f>
        <v>Maplink3</v>
      </c>
    </row>
    <row r="761" spans="1:48" ht="15" customHeight="1" x14ac:dyDescent="0.25">
      <c r="A761" s="19">
        <v>25540</v>
      </c>
      <c r="B761" s="20" t="s">
        <v>12</v>
      </c>
      <c r="C761" s="20" t="s">
        <v>1513</v>
      </c>
      <c r="D761" s="20" t="s">
        <v>1518</v>
      </c>
      <c r="E761" s="20" t="s">
        <v>1519</v>
      </c>
      <c r="F761" s="20">
        <v>30.441174027500001</v>
      </c>
      <c r="G761" s="20">
        <v>47.959385393200002</v>
      </c>
      <c r="H761" s="22">
        <v>6</v>
      </c>
      <c r="I761" s="22">
        <v>36</v>
      </c>
      <c r="J761" s="21">
        <v>3</v>
      </c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>
        <v>3</v>
      </c>
      <c r="Y761" s="21"/>
      <c r="Z761" s="21"/>
      <c r="AA761" s="21"/>
      <c r="AB761" s="21"/>
      <c r="AC761" s="21">
        <v>3</v>
      </c>
      <c r="AD761" s="21"/>
      <c r="AE761" s="21"/>
      <c r="AF761" s="21"/>
      <c r="AG761" s="21"/>
      <c r="AH761" s="21">
        <v>3</v>
      </c>
      <c r="AI761" s="21"/>
      <c r="AJ761" s="21"/>
      <c r="AK761" s="21"/>
      <c r="AL761" s="21">
        <v>2</v>
      </c>
      <c r="AM761" s="21">
        <v>1</v>
      </c>
      <c r="AN761" s="21"/>
      <c r="AO761" s="21">
        <v>2</v>
      </c>
      <c r="AP761" s="21"/>
      <c r="AQ761" s="21"/>
      <c r="AR761" s="21">
        <v>1</v>
      </c>
      <c r="AS761" s="21"/>
      <c r="AT761" s="12" t="str">
        <f>HYPERLINK("http://www.openstreetmap.org/?mlat=30.4412&amp;mlon=47.9594&amp;zoom=12#map=12/30.4412/47.9594","Maplink1")</f>
        <v>Maplink1</v>
      </c>
      <c r="AU761" s="12" t="str">
        <f>HYPERLINK("https://www.google.iq/maps/search/+30.4412,47.9594/@30.4412,47.9594,14z?hl=en","Maplink2")</f>
        <v>Maplink2</v>
      </c>
      <c r="AV761" s="12" t="str">
        <f>HYPERLINK("http://www.bing.com/maps/?lvl=14&amp;sty=h&amp;cp=30.4412~47.9594&amp;sp=point.30.4412_47.9594","Maplink3")</f>
        <v>Maplink3</v>
      </c>
    </row>
    <row r="762" spans="1:48" ht="15" customHeight="1" x14ac:dyDescent="0.25">
      <c r="A762" s="19">
        <v>601</v>
      </c>
      <c r="B762" s="20" t="s">
        <v>12</v>
      </c>
      <c r="C762" s="20" t="s">
        <v>1513</v>
      </c>
      <c r="D762" s="20" t="s">
        <v>1520</v>
      </c>
      <c r="E762" s="20" t="s">
        <v>1521</v>
      </c>
      <c r="F762" s="20">
        <v>30.460540080000001</v>
      </c>
      <c r="G762" s="20">
        <v>47.957805239999999</v>
      </c>
      <c r="H762" s="22">
        <v>3</v>
      </c>
      <c r="I762" s="22">
        <v>18</v>
      </c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>
        <v>3</v>
      </c>
      <c r="Y762" s="21"/>
      <c r="Z762" s="21"/>
      <c r="AA762" s="21"/>
      <c r="AB762" s="21"/>
      <c r="AC762" s="21">
        <v>3</v>
      </c>
      <c r="AD762" s="21"/>
      <c r="AE762" s="21"/>
      <c r="AF762" s="21"/>
      <c r="AG762" s="21"/>
      <c r="AH762" s="21"/>
      <c r="AI762" s="21"/>
      <c r="AJ762" s="21"/>
      <c r="AK762" s="21"/>
      <c r="AL762" s="21"/>
      <c r="AM762" s="21">
        <v>3</v>
      </c>
      <c r="AN762" s="21"/>
      <c r="AO762" s="21"/>
      <c r="AP762" s="21"/>
      <c r="AQ762" s="21"/>
      <c r="AR762" s="21"/>
      <c r="AS762" s="21"/>
      <c r="AT762" s="12" t="str">
        <f>HYPERLINK("http://www.openstreetmap.org/?mlat=30.4605&amp;mlon=47.9578&amp;zoom=12#map=12/30.4605/47.9578","Maplink1")</f>
        <v>Maplink1</v>
      </c>
      <c r="AU762" s="12" t="str">
        <f>HYPERLINK("https://www.google.iq/maps/search/+30.4605,47.9578/@30.4605,47.9578,14z?hl=en","Maplink2")</f>
        <v>Maplink2</v>
      </c>
      <c r="AV762" s="12" t="str">
        <f>HYPERLINK("http://www.bing.com/maps/?lvl=14&amp;sty=h&amp;cp=30.4605~47.9578&amp;sp=point.30.4605_47.9578","Maplink3")</f>
        <v>Maplink3</v>
      </c>
    </row>
    <row r="763" spans="1:48" ht="15" customHeight="1" x14ac:dyDescent="0.25">
      <c r="A763" s="19">
        <v>25970</v>
      </c>
      <c r="B763" s="20" t="s">
        <v>12</v>
      </c>
      <c r="C763" s="20" t="s">
        <v>1513</v>
      </c>
      <c r="D763" s="20" t="s">
        <v>1522</v>
      </c>
      <c r="E763" s="20" t="s">
        <v>1523</v>
      </c>
      <c r="F763" s="20">
        <v>30.449629229999999</v>
      </c>
      <c r="G763" s="20">
        <v>47.986062560000001</v>
      </c>
      <c r="H763" s="22">
        <v>7</v>
      </c>
      <c r="I763" s="22">
        <v>42</v>
      </c>
      <c r="J763" s="21">
        <v>2</v>
      </c>
      <c r="K763" s="21"/>
      <c r="L763" s="21"/>
      <c r="M763" s="21"/>
      <c r="N763" s="21"/>
      <c r="O763" s="21">
        <v>1</v>
      </c>
      <c r="P763" s="21"/>
      <c r="Q763" s="21"/>
      <c r="R763" s="21">
        <v>1</v>
      </c>
      <c r="S763" s="21"/>
      <c r="T763" s="21"/>
      <c r="U763" s="21"/>
      <c r="V763" s="21">
        <v>2</v>
      </c>
      <c r="W763" s="21"/>
      <c r="X763" s="21">
        <v>1</v>
      </c>
      <c r="Y763" s="21"/>
      <c r="Z763" s="21"/>
      <c r="AA763" s="21"/>
      <c r="AB763" s="21"/>
      <c r="AC763" s="21">
        <v>1</v>
      </c>
      <c r="AD763" s="21"/>
      <c r="AE763" s="21"/>
      <c r="AF763" s="21"/>
      <c r="AG763" s="21"/>
      <c r="AH763" s="21">
        <v>6</v>
      </c>
      <c r="AI763" s="21"/>
      <c r="AJ763" s="21"/>
      <c r="AK763" s="21"/>
      <c r="AL763" s="21"/>
      <c r="AM763" s="21">
        <v>4</v>
      </c>
      <c r="AN763" s="21">
        <v>1</v>
      </c>
      <c r="AO763" s="21">
        <v>1</v>
      </c>
      <c r="AP763" s="21">
        <v>1</v>
      </c>
      <c r="AQ763" s="21"/>
      <c r="AR763" s="21"/>
      <c r="AS763" s="21"/>
      <c r="AT763" s="12" t="str">
        <f>HYPERLINK("http://www.openstreetmap.org/?mlat=30.4496&amp;mlon=47.9861&amp;zoom=12#map=12/30.4496/47.9861","Maplink1")</f>
        <v>Maplink1</v>
      </c>
      <c r="AU763" s="12" t="str">
        <f>HYPERLINK("https://www.google.iq/maps/search/+30.4496,47.9861/@30.4496,47.9861,14z?hl=en","Maplink2")</f>
        <v>Maplink2</v>
      </c>
      <c r="AV763" s="12" t="str">
        <f>HYPERLINK("http://www.bing.com/maps/?lvl=14&amp;sty=h&amp;cp=30.4496~47.9861&amp;sp=point.30.4496_47.9861","Maplink3")</f>
        <v>Maplink3</v>
      </c>
    </row>
    <row r="764" spans="1:48" ht="15" customHeight="1" x14ac:dyDescent="0.25">
      <c r="A764" s="19">
        <v>23896</v>
      </c>
      <c r="B764" s="20" t="s">
        <v>12</v>
      </c>
      <c r="C764" s="20" t="s">
        <v>1513</v>
      </c>
      <c r="D764" s="20" t="s">
        <v>1524</v>
      </c>
      <c r="E764" s="20" t="s">
        <v>1525</v>
      </c>
      <c r="F764" s="20">
        <v>30.477300580000001</v>
      </c>
      <c r="G764" s="20">
        <v>47.866432600000003</v>
      </c>
      <c r="H764" s="22">
        <v>2</v>
      </c>
      <c r="I764" s="22">
        <v>12</v>
      </c>
      <c r="J764" s="21">
        <v>2</v>
      </c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>
        <v>2</v>
      </c>
      <c r="AD764" s="21"/>
      <c r="AE764" s="21"/>
      <c r="AF764" s="21"/>
      <c r="AG764" s="21"/>
      <c r="AH764" s="21"/>
      <c r="AI764" s="21"/>
      <c r="AJ764" s="21"/>
      <c r="AK764" s="21"/>
      <c r="AL764" s="21">
        <v>2</v>
      </c>
      <c r="AM764" s="21"/>
      <c r="AN764" s="21"/>
      <c r="AO764" s="21"/>
      <c r="AP764" s="21"/>
      <c r="AQ764" s="21"/>
      <c r="AR764" s="21"/>
      <c r="AS764" s="21"/>
      <c r="AT764" s="12" t="str">
        <f>HYPERLINK("http://www.openstreetmap.org/?mlat=30.4773&amp;mlon=47.8664&amp;zoom=12#map=12/30.4773/47.8664","Maplink1")</f>
        <v>Maplink1</v>
      </c>
      <c r="AU764" s="12" t="str">
        <f>HYPERLINK("https://www.google.iq/maps/search/+30.4773,47.8664/@30.4773,47.8664,14z?hl=en","Maplink2")</f>
        <v>Maplink2</v>
      </c>
      <c r="AV764" s="12" t="str">
        <f>HYPERLINK("http://www.bing.com/maps/?lvl=14&amp;sty=h&amp;cp=30.4773~47.8664&amp;sp=point.30.4773_47.8664","Maplink3")</f>
        <v>Maplink3</v>
      </c>
    </row>
    <row r="765" spans="1:48" ht="15" customHeight="1" x14ac:dyDescent="0.25">
      <c r="A765" s="19">
        <v>23895</v>
      </c>
      <c r="B765" s="20" t="s">
        <v>12</v>
      </c>
      <c r="C765" s="20" t="s">
        <v>1513</v>
      </c>
      <c r="D765" s="20" t="s">
        <v>1526</v>
      </c>
      <c r="E765" s="20" t="s">
        <v>1527</v>
      </c>
      <c r="F765" s="20">
        <v>30.4340067459</v>
      </c>
      <c r="G765" s="20">
        <v>47.964887106799999</v>
      </c>
      <c r="H765" s="22">
        <v>7</v>
      </c>
      <c r="I765" s="22">
        <v>42</v>
      </c>
      <c r="J765" s="21">
        <v>2</v>
      </c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>
        <v>2</v>
      </c>
      <c r="W765" s="21"/>
      <c r="X765" s="21">
        <v>3</v>
      </c>
      <c r="Y765" s="21"/>
      <c r="Z765" s="21"/>
      <c r="AA765" s="21"/>
      <c r="AB765" s="21"/>
      <c r="AC765" s="21">
        <v>3</v>
      </c>
      <c r="AD765" s="21"/>
      <c r="AE765" s="21"/>
      <c r="AF765" s="21"/>
      <c r="AG765" s="21"/>
      <c r="AH765" s="21">
        <v>4</v>
      </c>
      <c r="AI765" s="21"/>
      <c r="AJ765" s="21"/>
      <c r="AK765" s="21"/>
      <c r="AL765" s="21"/>
      <c r="AM765" s="21">
        <v>2</v>
      </c>
      <c r="AN765" s="21">
        <v>3</v>
      </c>
      <c r="AO765" s="21">
        <v>1</v>
      </c>
      <c r="AP765" s="21"/>
      <c r="AQ765" s="21"/>
      <c r="AR765" s="21">
        <v>1</v>
      </c>
      <c r="AS765" s="21"/>
      <c r="AT765" s="12" t="str">
        <f>HYPERLINK("http://www.openstreetmap.org/?mlat=30.434&amp;mlon=47.9649&amp;zoom=12#map=12/30.434/47.9649","Maplink1")</f>
        <v>Maplink1</v>
      </c>
      <c r="AU765" s="12" t="str">
        <f>HYPERLINK("https://www.google.iq/maps/search/+30.434,47.9649/@30.434,47.9649,14z?hl=en","Maplink2")</f>
        <v>Maplink2</v>
      </c>
      <c r="AV765" s="12" t="str">
        <f>HYPERLINK("http://www.bing.com/maps/?lvl=14&amp;sty=h&amp;cp=30.434~47.9649&amp;sp=point.30.434_47.9649","Maplink3")</f>
        <v>Maplink3</v>
      </c>
    </row>
    <row r="766" spans="1:48" ht="15" customHeight="1" x14ac:dyDescent="0.25">
      <c r="A766" s="19">
        <v>587</v>
      </c>
      <c r="B766" s="20" t="s">
        <v>12</v>
      </c>
      <c r="C766" s="20" t="s">
        <v>1513</v>
      </c>
      <c r="D766" s="20" t="s">
        <v>1528</v>
      </c>
      <c r="E766" s="20" t="s">
        <v>1529</v>
      </c>
      <c r="F766" s="20">
        <v>30.47321389</v>
      </c>
      <c r="G766" s="20">
        <v>47.867906390000002</v>
      </c>
      <c r="H766" s="22">
        <v>6</v>
      </c>
      <c r="I766" s="22">
        <v>36</v>
      </c>
      <c r="J766" s="21"/>
      <c r="K766" s="21"/>
      <c r="L766" s="21"/>
      <c r="M766" s="21"/>
      <c r="N766" s="21"/>
      <c r="O766" s="21">
        <v>1</v>
      </c>
      <c r="P766" s="21"/>
      <c r="Q766" s="21"/>
      <c r="R766" s="21">
        <v>3</v>
      </c>
      <c r="S766" s="21"/>
      <c r="T766" s="21"/>
      <c r="U766" s="21"/>
      <c r="V766" s="21">
        <v>2</v>
      </c>
      <c r="W766" s="21"/>
      <c r="X766" s="21"/>
      <c r="Y766" s="21"/>
      <c r="Z766" s="21"/>
      <c r="AA766" s="21"/>
      <c r="AB766" s="21"/>
      <c r="AC766" s="21">
        <v>1</v>
      </c>
      <c r="AD766" s="21"/>
      <c r="AE766" s="21"/>
      <c r="AF766" s="21"/>
      <c r="AG766" s="21"/>
      <c r="AH766" s="21">
        <v>5</v>
      </c>
      <c r="AI766" s="21"/>
      <c r="AJ766" s="21"/>
      <c r="AK766" s="21"/>
      <c r="AL766" s="21"/>
      <c r="AM766" s="21"/>
      <c r="AN766" s="21">
        <v>2</v>
      </c>
      <c r="AO766" s="21">
        <v>1</v>
      </c>
      <c r="AP766" s="21"/>
      <c r="AQ766" s="21">
        <v>1</v>
      </c>
      <c r="AR766" s="21">
        <v>2</v>
      </c>
      <c r="AS766" s="21"/>
      <c r="AT766" s="12" t="str">
        <f>HYPERLINK("http://www.openstreetmap.org/?mlat=30.4732&amp;mlon=47.8679&amp;zoom=12#map=12/30.4732/47.8679","Maplink1")</f>
        <v>Maplink1</v>
      </c>
      <c r="AU766" s="12" t="str">
        <f>HYPERLINK("https://www.google.iq/maps/search/+30.4732,47.8679/@30.4732,47.8679,14z?hl=en","Maplink2")</f>
        <v>Maplink2</v>
      </c>
      <c r="AV766" s="12" t="str">
        <f>HYPERLINK("http://www.bing.com/maps/?lvl=14&amp;sty=h&amp;cp=30.4732~47.8679&amp;sp=point.30.4732_47.8679","Maplink3")</f>
        <v>Maplink3</v>
      </c>
    </row>
    <row r="767" spans="1:48" ht="15" customHeight="1" x14ac:dyDescent="0.25">
      <c r="A767" s="19">
        <v>780</v>
      </c>
      <c r="B767" s="20" t="s">
        <v>12</v>
      </c>
      <c r="C767" s="20" t="s">
        <v>1513</v>
      </c>
      <c r="D767" s="20" t="s">
        <v>1530</v>
      </c>
      <c r="E767" s="20" t="s">
        <v>1531</v>
      </c>
      <c r="F767" s="20">
        <v>30.431592506400001</v>
      </c>
      <c r="G767" s="20">
        <v>47.9722031672</v>
      </c>
      <c r="H767" s="22">
        <v>5</v>
      </c>
      <c r="I767" s="22">
        <v>30</v>
      </c>
      <c r="J767" s="21">
        <v>5</v>
      </c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>
        <v>1</v>
      </c>
      <c r="AD767" s="21"/>
      <c r="AE767" s="21"/>
      <c r="AF767" s="21"/>
      <c r="AG767" s="21"/>
      <c r="AH767" s="21">
        <v>4</v>
      </c>
      <c r="AI767" s="21"/>
      <c r="AJ767" s="21"/>
      <c r="AK767" s="21"/>
      <c r="AL767" s="21"/>
      <c r="AM767" s="21">
        <v>4</v>
      </c>
      <c r="AN767" s="21"/>
      <c r="AO767" s="21">
        <v>1</v>
      </c>
      <c r="AP767" s="21"/>
      <c r="AQ767" s="21"/>
      <c r="AR767" s="21"/>
      <c r="AS767" s="21"/>
      <c r="AT767" s="12" t="str">
        <f>HYPERLINK("http://www.openstreetmap.org/?mlat=30.4316&amp;mlon=47.9722&amp;zoom=12#map=12/30.4316/47.9722","Maplink1")</f>
        <v>Maplink1</v>
      </c>
      <c r="AU767" s="12" t="str">
        <f>HYPERLINK("https://www.google.iq/maps/search/+30.4316,47.9722/@30.4316,47.9722,14z?hl=en","Maplink2")</f>
        <v>Maplink2</v>
      </c>
      <c r="AV767" s="12" t="str">
        <f>HYPERLINK("http://www.bing.com/maps/?lvl=14&amp;sty=h&amp;cp=30.4316~47.9722&amp;sp=point.30.4316_47.9722","Maplink3")</f>
        <v>Maplink3</v>
      </c>
    </row>
    <row r="768" spans="1:48" ht="15" customHeight="1" x14ac:dyDescent="0.25">
      <c r="A768" s="19">
        <v>820</v>
      </c>
      <c r="B768" s="20" t="s">
        <v>12</v>
      </c>
      <c r="C768" s="20" t="s">
        <v>1513</v>
      </c>
      <c r="D768" s="20" t="s">
        <v>1532</v>
      </c>
      <c r="E768" s="20" t="s">
        <v>1533</v>
      </c>
      <c r="F768" s="20">
        <v>30.4504986</v>
      </c>
      <c r="G768" s="20">
        <v>47.904124680000002</v>
      </c>
      <c r="H768" s="22">
        <v>5</v>
      </c>
      <c r="I768" s="22">
        <v>30</v>
      </c>
      <c r="J768" s="21">
        <v>2</v>
      </c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>
        <v>2</v>
      </c>
      <c r="W768" s="21"/>
      <c r="X768" s="21">
        <v>1</v>
      </c>
      <c r="Y768" s="21"/>
      <c r="Z768" s="21"/>
      <c r="AA768" s="21"/>
      <c r="AB768" s="21"/>
      <c r="AC768" s="21">
        <v>1</v>
      </c>
      <c r="AD768" s="21"/>
      <c r="AE768" s="21"/>
      <c r="AF768" s="21"/>
      <c r="AG768" s="21"/>
      <c r="AH768" s="21">
        <v>4</v>
      </c>
      <c r="AI768" s="21"/>
      <c r="AJ768" s="21"/>
      <c r="AK768" s="21"/>
      <c r="AL768" s="21"/>
      <c r="AM768" s="21"/>
      <c r="AN768" s="21"/>
      <c r="AO768" s="21">
        <v>5</v>
      </c>
      <c r="AP768" s="21"/>
      <c r="AQ768" s="21"/>
      <c r="AR768" s="21"/>
      <c r="AS768" s="21"/>
      <c r="AT768" s="12" t="str">
        <f>HYPERLINK("http://www.openstreetmap.org/?mlat=30.4505&amp;mlon=47.9041&amp;zoom=12#map=12/30.4505/47.9041","Maplink1")</f>
        <v>Maplink1</v>
      </c>
      <c r="AU768" s="12" t="str">
        <f>HYPERLINK("https://www.google.iq/maps/search/+30.4505,47.9041/@30.4505,47.9041,14z?hl=en","Maplink2")</f>
        <v>Maplink2</v>
      </c>
      <c r="AV768" s="12" t="str">
        <f>HYPERLINK("http://www.bing.com/maps/?lvl=14&amp;sty=h&amp;cp=30.4505~47.9041&amp;sp=point.30.4505_47.9041","Maplink3")</f>
        <v>Maplink3</v>
      </c>
    </row>
    <row r="769" spans="1:48" ht="15" customHeight="1" x14ac:dyDescent="0.25">
      <c r="A769" s="19">
        <v>793</v>
      </c>
      <c r="B769" s="20" t="s">
        <v>12</v>
      </c>
      <c r="C769" s="20" t="s">
        <v>1513</v>
      </c>
      <c r="D769" s="20" t="s">
        <v>1534</v>
      </c>
      <c r="E769" s="20" t="s">
        <v>1535</v>
      </c>
      <c r="F769" s="20">
        <v>30.440037610000001</v>
      </c>
      <c r="G769" s="20">
        <v>47.979196860000002</v>
      </c>
      <c r="H769" s="22">
        <v>4</v>
      </c>
      <c r="I769" s="22">
        <v>24</v>
      </c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>
        <v>2</v>
      </c>
      <c r="W769" s="21"/>
      <c r="X769" s="21">
        <v>2</v>
      </c>
      <c r="Y769" s="21"/>
      <c r="Z769" s="21"/>
      <c r="AA769" s="21"/>
      <c r="AB769" s="21"/>
      <c r="AC769" s="21">
        <v>1</v>
      </c>
      <c r="AD769" s="21"/>
      <c r="AE769" s="21"/>
      <c r="AF769" s="21"/>
      <c r="AG769" s="21"/>
      <c r="AH769" s="21">
        <v>3</v>
      </c>
      <c r="AI769" s="21"/>
      <c r="AJ769" s="21"/>
      <c r="AK769" s="21"/>
      <c r="AL769" s="21"/>
      <c r="AM769" s="21"/>
      <c r="AN769" s="21"/>
      <c r="AO769" s="21"/>
      <c r="AP769" s="21">
        <v>3</v>
      </c>
      <c r="AQ769" s="21"/>
      <c r="AR769" s="21"/>
      <c r="AS769" s="21">
        <v>1</v>
      </c>
      <c r="AT769" s="12" t="str">
        <f>HYPERLINK("http://www.openstreetmap.org/?mlat=30.44&amp;mlon=47.9792&amp;zoom=12#map=12/30.44/47.9792","Maplink1")</f>
        <v>Maplink1</v>
      </c>
      <c r="AU769" s="12" t="str">
        <f>HYPERLINK("https://www.google.iq/maps/search/+30.44,47.9792/@30.44,47.9792,14z?hl=en","Maplink2")</f>
        <v>Maplink2</v>
      </c>
      <c r="AV769" s="12" t="str">
        <f>HYPERLINK("http://www.bing.com/maps/?lvl=14&amp;sty=h&amp;cp=30.44~47.9792&amp;sp=point.30.44_47.9792","Maplink3")</f>
        <v>Maplink3</v>
      </c>
    </row>
    <row r="770" spans="1:48" ht="15" customHeight="1" x14ac:dyDescent="0.25">
      <c r="A770" s="19">
        <v>834</v>
      </c>
      <c r="B770" s="20" t="s">
        <v>12</v>
      </c>
      <c r="C770" s="20" t="s">
        <v>1513</v>
      </c>
      <c r="D770" s="20" t="s">
        <v>1536</v>
      </c>
      <c r="E770" s="20" t="s">
        <v>1537</v>
      </c>
      <c r="F770" s="20">
        <v>30.458150985700001</v>
      </c>
      <c r="G770" s="20">
        <v>47.915769405699997</v>
      </c>
      <c r="H770" s="22">
        <v>6</v>
      </c>
      <c r="I770" s="22">
        <v>36</v>
      </c>
      <c r="J770" s="21">
        <v>3</v>
      </c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>
        <v>3</v>
      </c>
      <c r="Y770" s="21"/>
      <c r="Z770" s="21"/>
      <c r="AA770" s="21"/>
      <c r="AB770" s="21"/>
      <c r="AC770" s="21">
        <v>3</v>
      </c>
      <c r="AD770" s="21"/>
      <c r="AE770" s="21"/>
      <c r="AF770" s="21"/>
      <c r="AG770" s="21"/>
      <c r="AH770" s="21">
        <v>3</v>
      </c>
      <c r="AI770" s="21"/>
      <c r="AJ770" s="21"/>
      <c r="AK770" s="21"/>
      <c r="AL770" s="21"/>
      <c r="AM770" s="21">
        <v>1</v>
      </c>
      <c r="AN770" s="21"/>
      <c r="AO770" s="21">
        <v>5</v>
      </c>
      <c r="AP770" s="21"/>
      <c r="AQ770" s="21"/>
      <c r="AR770" s="21"/>
      <c r="AS770" s="21"/>
      <c r="AT770" s="12" t="str">
        <f>HYPERLINK("http://www.openstreetmap.org/?mlat=30.4582&amp;mlon=47.9158&amp;zoom=12#map=12/30.4582/47.9158","Maplink1")</f>
        <v>Maplink1</v>
      </c>
      <c r="AU770" s="12" t="str">
        <f>HYPERLINK("https://www.google.iq/maps/search/+30.4582,47.9158/@30.4582,47.9158,14z?hl=en","Maplink2")</f>
        <v>Maplink2</v>
      </c>
      <c r="AV770" s="12" t="str">
        <f>HYPERLINK("http://www.bing.com/maps/?lvl=14&amp;sty=h&amp;cp=30.4582~47.9158&amp;sp=point.30.4582_47.9158","Maplink3")</f>
        <v>Maplink3</v>
      </c>
    </row>
    <row r="771" spans="1:48" ht="15" customHeight="1" x14ac:dyDescent="0.25">
      <c r="A771" s="19">
        <v>607</v>
      </c>
      <c r="B771" s="20" t="s">
        <v>12</v>
      </c>
      <c r="C771" s="20" t="s">
        <v>1513</v>
      </c>
      <c r="D771" s="20" t="s">
        <v>1538</v>
      </c>
      <c r="E771" s="20" t="s">
        <v>1539</v>
      </c>
      <c r="F771" s="20">
        <v>30.463802439999998</v>
      </c>
      <c r="G771" s="20">
        <v>47.937817670000001</v>
      </c>
      <c r="H771" s="22">
        <v>4</v>
      </c>
      <c r="I771" s="22">
        <v>24</v>
      </c>
      <c r="J771" s="21">
        <v>1</v>
      </c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>
        <v>1</v>
      </c>
      <c r="W771" s="21"/>
      <c r="X771" s="21">
        <v>2</v>
      </c>
      <c r="Y771" s="21"/>
      <c r="Z771" s="21"/>
      <c r="AA771" s="21"/>
      <c r="AB771" s="21"/>
      <c r="AC771" s="21">
        <v>2</v>
      </c>
      <c r="AD771" s="21"/>
      <c r="AE771" s="21"/>
      <c r="AF771" s="21"/>
      <c r="AG771" s="21"/>
      <c r="AH771" s="21">
        <v>2</v>
      </c>
      <c r="AI771" s="21"/>
      <c r="AJ771" s="21"/>
      <c r="AK771" s="21"/>
      <c r="AL771" s="21"/>
      <c r="AM771" s="21">
        <v>1</v>
      </c>
      <c r="AN771" s="21">
        <v>1</v>
      </c>
      <c r="AO771" s="21"/>
      <c r="AP771" s="21"/>
      <c r="AQ771" s="21"/>
      <c r="AR771" s="21">
        <v>2</v>
      </c>
      <c r="AS771" s="21"/>
      <c r="AT771" s="12" t="str">
        <f>HYPERLINK("http://www.openstreetmap.org/?mlat=30.4638&amp;mlon=47.9378&amp;zoom=12#map=12/30.4638/47.9378","Maplink1")</f>
        <v>Maplink1</v>
      </c>
      <c r="AU771" s="12" t="str">
        <f>HYPERLINK("https://www.google.iq/maps/search/+30.4638,47.9378/@30.4638,47.9378,14z?hl=en","Maplink2")</f>
        <v>Maplink2</v>
      </c>
      <c r="AV771" s="12" t="str">
        <f>HYPERLINK("http://www.bing.com/maps/?lvl=14&amp;sty=h&amp;cp=30.4638~47.9378&amp;sp=point.30.4638_47.9378","Maplink3")</f>
        <v>Maplink3</v>
      </c>
    </row>
    <row r="772" spans="1:48" ht="15" customHeight="1" x14ac:dyDescent="0.25">
      <c r="A772" s="19">
        <v>1307</v>
      </c>
      <c r="B772" s="20" t="s">
        <v>12</v>
      </c>
      <c r="C772" s="20" t="s">
        <v>1513</v>
      </c>
      <c r="D772" s="20" t="s">
        <v>1540</v>
      </c>
      <c r="E772" s="20" t="s">
        <v>1541</v>
      </c>
      <c r="F772" s="20">
        <v>30.459056231200002</v>
      </c>
      <c r="G772" s="20">
        <v>47.944449344600002</v>
      </c>
      <c r="H772" s="22">
        <v>6</v>
      </c>
      <c r="I772" s="22">
        <v>36</v>
      </c>
      <c r="J772" s="21">
        <v>1</v>
      </c>
      <c r="K772" s="21"/>
      <c r="L772" s="21">
        <v>1</v>
      </c>
      <c r="M772" s="21"/>
      <c r="N772" s="21"/>
      <c r="O772" s="21">
        <v>1</v>
      </c>
      <c r="P772" s="21"/>
      <c r="Q772" s="21"/>
      <c r="R772" s="21"/>
      <c r="S772" s="21"/>
      <c r="T772" s="21"/>
      <c r="U772" s="21"/>
      <c r="V772" s="21">
        <v>2</v>
      </c>
      <c r="W772" s="21"/>
      <c r="X772" s="21">
        <v>1</v>
      </c>
      <c r="Y772" s="21"/>
      <c r="Z772" s="21"/>
      <c r="AA772" s="21"/>
      <c r="AB772" s="21"/>
      <c r="AC772" s="21">
        <v>3</v>
      </c>
      <c r="AD772" s="21"/>
      <c r="AE772" s="21"/>
      <c r="AF772" s="21"/>
      <c r="AG772" s="21"/>
      <c r="AH772" s="21">
        <v>3</v>
      </c>
      <c r="AI772" s="21"/>
      <c r="AJ772" s="21"/>
      <c r="AK772" s="21"/>
      <c r="AL772" s="21"/>
      <c r="AM772" s="21"/>
      <c r="AN772" s="21"/>
      <c r="AO772" s="21">
        <v>4</v>
      </c>
      <c r="AP772" s="21"/>
      <c r="AQ772" s="21"/>
      <c r="AR772" s="21">
        <v>2</v>
      </c>
      <c r="AS772" s="21"/>
      <c r="AT772" s="12" t="str">
        <f>HYPERLINK("http://www.openstreetmap.org/?mlat=30.4591&amp;mlon=47.9444&amp;zoom=12#map=12/30.4591/47.9444","Maplink1")</f>
        <v>Maplink1</v>
      </c>
      <c r="AU772" s="12" t="str">
        <f>HYPERLINK("https://www.google.iq/maps/search/+30.4591,47.9444/@30.4591,47.9444,14z?hl=en","Maplink2")</f>
        <v>Maplink2</v>
      </c>
      <c r="AV772" s="12" t="str">
        <f>HYPERLINK("http://www.bing.com/maps/?lvl=14&amp;sty=h&amp;cp=30.4591~47.9444&amp;sp=point.30.4591_47.9444","Maplink3")</f>
        <v>Maplink3</v>
      </c>
    </row>
    <row r="773" spans="1:48" ht="15" customHeight="1" x14ac:dyDescent="0.25">
      <c r="A773" s="19">
        <v>841</v>
      </c>
      <c r="B773" s="20" t="s">
        <v>12</v>
      </c>
      <c r="C773" s="20" t="s">
        <v>1513</v>
      </c>
      <c r="D773" s="20" t="s">
        <v>1542</v>
      </c>
      <c r="E773" s="20" t="s">
        <v>1543</v>
      </c>
      <c r="F773" s="20">
        <v>30.484496149999998</v>
      </c>
      <c r="G773" s="20">
        <v>47.85722449</v>
      </c>
      <c r="H773" s="22">
        <v>8</v>
      </c>
      <c r="I773" s="22">
        <v>48</v>
      </c>
      <c r="J773" s="21">
        <v>2</v>
      </c>
      <c r="K773" s="21"/>
      <c r="L773" s="21"/>
      <c r="M773" s="21"/>
      <c r="N773" s="21"/>
      <c r="O773" s="21">
        <v>2</v>
      </c>
      <c r="P773" s="21"/>
      <c r="Q773" s="21"/>
      <c r="R773" s="21">
        <v>1</v>
      </c>
      <c r="S773" s="21"/>
      <c r="T773" s="21"/>
      <c r="U773" s="21"/>
      <c r="V773" s="21">
        <v>3</v>
      </c>
      <c r="W773" s="21"/>
      <c r="X773" s="21"/>
      <c r="Y773" s="21"/>
      <c r="Z773" s="21"/>
      <c r="AA773" s="21"/>
      <c r="AB773" s="21"/>
      <c r="AC773" s="21">
        <v>7</v>
      </c>
      <c r="AD773" s="21"/>
      <c r="AE773" s="21"/>
      <c r="AF773" s="21"/>
      <c r="AG773" s="21"/>
      <c r="AH773" s="21">
        <v>1</v>
      </c>
      <c r="AI773" s="21"/>
      <c r="AJ773" s="21"/>
      <c r="AK773" s="21"/>
      <c r="AL773" s="21"/>
      <c r="AM773" s="21"/>
      <c r="AN773" s="21">
        <v>3</v>
      </c>
      <c r="AO773" s="21">
        <v>3</v>
      </c>
      <c r="AP773" s="21"/>
      <c r="AQ773" s="21"/>
      <c r="AR773" s="21">
        <v>2</v>
      </c>
      <c r="AS773" s="21"/>
      <c r="AT773" s="12" t="str">
        <f>HYPERLINK("http://www.openstreetmap.org/?mlat=30.4845&amp;mlon=47.8572&amp;zoom=12#map=12/30.4845/47.8572","Maplink1")</f>
        <v>Maplink1</v>
      </c>
      <c r="AU773" s="12" t="str">
        <f>HYPERLINK("https://www.google.iq/maps/search/+30.4845,47.8572/@30.4845,47.8572,14z?hl=en","Maplink2")</f>
        <v>Maplink2</v>
      </c>
      <c r="AV773" s="12" t="str">
        <f>HYPERLINK("http://www.bing.com/maps/?lvl=14&amp;sty=h&amp;cp=30.4845~47.8572&amp;sp=point.30.4845_47.8572","Maplink3")</f>
        <v>Maplink3</v>
      </c>
    </row>
    <row r="774" spans="1:48" ht="15" customHeight="1" x14ac:dyDescent="0.25">
      <c r="A774" s="19">
        <v>809</v>
      </c>
      <c r="B774" s="20" t="s">
        <v>12</v>
      </c>
      <c r="C774" s="20" t="s">
        <v>1513</v>
      </c>
      <c r="D774" s="20" t="s">
        <v>1544</v>
      </c>
      <c r="E774" s="20" t="s">
        <v>1545</v>
      </c>
      <c r="F774" s="20">
        <v>30.449273040000001</v>
      </c>
      <c r="G774" s="20">
        <v>47.997070600000001</v>
      </c>
      <c r="H774" s="22">
        <v>6</v>
      </c>
      <c r="I774" s="22">
        <v>36</v>
      </c>
      <c r="J774" s="21">
        <v>1</v>
      </c>
      <c r="K774" s="21"/>
      <c r="L774" s="21"/>
      <c r="M774" s="21"/>
      <c r="N774" s="21"/>
      <c r="O774" s="21"/>
      <c r="P774" s="21"/>
      <c r="Q774" s="21"/>
      <c r="R774" s="21">
        <v>3</v>
      </c>
      <c r="S774" s="21"/>
      <c r="T774" s="21"/>
      <c r="U774" s="21"/>
      <c r="V774" s="21">
        <v>1</v>
      </c>
      <c r="W774" s="21"/>
      <c r="X774" s="21">
        <v>1</v>
      </c>
      <c r="Y774" s="21"/>
      <c r="Z774" s="21"/>
      <c r="AA774" s="21"/>
      <c r="AB774" s="21"/>
      <c r="AC774" s="21">
        <v>5</v>
      </c>
      <c r="AD774" s="21"/>
      <c r="AE774" s="21"/>
      <c r="AF774" s="21"/>
      <c r="AG774" s="21"/>
      <c r="AH774" s="21">
        <v>1</v>
      </c>
      <c r="AI774" s="21"/>
      <c r="AJ774" s="21"/>
      <c r="AK774" s="21"/>
      <c r="AL774" s="21"/>
      <c r="AM774" s="21">
        <v>4</v>
      </c>
      <c r="AN774" s="21"/>
      <c r="AO774" s="21"/>
      <c r="AP774" s="21">
        <v>2</v>
      </c>
      <c r="AQ774" s="21"/>
      <c r="AR774" s="21"/>
      <c r="AS774" s="21"/>
      <c r="AT774" s="12" t="str">
        <f>HYPERLINK("http://www.openstreetmap.org/?mlat=30.4493&amp;mlon=47.9971&amp;zoom=12#map=12/30.4493/47.9971","Maplink1")</f>
        <v>Maplink1</v>
      </c>
      <c r="AU774" s="12" t="str">
        <f>HYPERLINK("https://www.google.iq/maps/search/+30.4493,47.9971/@30.4493,47.9971,14z?hl=en","Maplink2")</f>
        <v>Maplink2</v>
      </c>
      <c r="AV774" s="12" t="str">
        <f>HYPERLINK("http://www.bing.com/maps/?lvl=14&amp;sty=h&amp;cp=30.4493~47.9971&amp;sp=point.30.4493_47.9971","Maplink3")</f>
        <v>Maplink3</v>
      </c>
    </row>
    <row r="775" spans="1:48" ht="15" customHeight="1" x14ac:dyDescent="0.25">
      <c r="A775" s="19">
        <v>512</v>
      </c>
      <c r="B775" s="20" t="s">
        <v>12</v>
      </c>
      <c r="C775" s="20" t="s">
        <v>1513</v>
      </c>
      <c r="D775" s="20" t="s">
        <v>1546</v>
      </c>
      <c r="E775" s="20" t="s">
        <v>1547</v>
      </c>
      <c r="F775" s="20">
        <v>30.456956519999999</v>
      </c>
      <c r="G775" s="20">
        <v>47.99385178</v>
      </c>
      <c r="H775" s="22">
        <v>9</v>
      </c>
      <c r="I775" s="22">
        <v>54</v>
      </c>
      <c r="J775" s="21">
        <v>2</v>
      </c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>
        <v>2</v>
      </c>
      <c r="W775" s="21"/>
      <c r="X775" s="21">
        <v>5</v>
      </c>
      <c r="Y775" s="21"/>
      <c r="Z775" s="21"/>
      <c r="AA775" s="21"/>
      <c r="AB775" s="21"/>
      <c r="AC775" s="21"/>
      <c r="AD775" s="21"/>
      <c r="AE775" s="21"/>
      <c r="AF775" s="21"/>
      <c r="AG775" s="21"/>
      <c r="AH775" s="21">
        <v>9</v>
      </c>
      <c r="AI775" s="21"/>
      <c r="AJ775" s="21"/>
      <c r="AK775" s="21"/>
      <c r="AL775" s="21"/>
      <c r="AM775" s="21">
        <v>5</v>
      </c>
      <c r="AN775" s="21"/>
      <c r="AO775" s="21">
        <v>3</v>
      </c>
      <c r="AP775" s="21">
        <v>1</v>
      </c>
      <c r="AQ775" s="21"/>
      <c r="AR775" s="21"/>
      <c r="AS775" s="21"/>
      <c r="AT775" s="12" t="str">
        <f>HYPERLINK("http://www.openstreetmap.org/?mlat=30.457&amp;mlon=47.9939&amp;zoom=12#map=12/30.457/47.9939","Maplink1")</f>
        <v>Maplink1</v>
      </c>
      <c r="AU775" s="12" t="str">
        <f>HYPERLINK("https://www.google.iq/maps/search/+30.457,47.9939/@30.457,47.9939,14z?hl=en","Maplink2")</f>
        <v>Maplink2</v>
      </c>
      <c r="AV775" s="12" t="str">
        <f>HYPERLINK("http://www.bing.com/maps/?lvl=14&amp;sty=h&amp;cp=30.457~47.9939&amp;sp=point.30.457_47.9939","Maplink3")</f>
        <v>Maplink3</v>
      </c>
    </row>
    <row r="776" spans="1:48" ht="15" customHeight="1" x14ac:dyDescent="0.25">
      <c r="A776" s="19">
        <v>811</v>
      </c>
      <c r="B776" s="20" t="s">
        <v>12</v>
      </c>
      <c r="C776" s="20" t="s">
        <v>1513</v>
      </c>
      <c r="D776" s="20" t="s">
        <v>1548</v>
      </c>
      <c r="E776" s="20" t="s">
        <v>1549</v>
      </c>
      <c r="F776" s="20">
        <v>30.446885460000001</v>
      </c>
      <c r="G776" s="20">
        <v>47.996092760000003</v>
      </c>
      <c r="H776" s="22">
        <v>11</v>
      </c>
      <c r="I776" s="22">
        <v>66</v>
      </c>
      <c r="J776" s="21">
        <v>2</v>
      </c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>
        <v>9</v>
      </c>
      <c r="Y776" s="21"/>
      <c r="Z776" s="21"/>
      <c r="AA776" s="21"/>
      <c r="AB776" s="21"/>
      <c r="AC776" s="21">
        <v>4</v>
      </c>
      <c r="AD776" s="21"/>
      <c r="AE776" s="21"/>
      <c r="AF776" s="21"/>
      <c r="AG776" s="21"/>
      <c r="AH776" s="21">
        <v>7</v>
      </c>
      <c r="AI776" s="21"/>
      <c r="AJ776" s="21"/>
      <c r="AK776" s="21"/>
      <c r="AL776" s="21">
        <v>2</v>
      </c>
      <c r="AM776" s="21">
        <v>2</v>
      </c>
      <c r="AN776" s="21">
        <v>2</v>
      </c>
      <c r="AO776" s="21">
        <v>4</v>
      </c>
      <c r="AP776" s="21">
        <v>1</v>
      </c>
      <c r="AQ776" s="21"/>
      <c r="AR776" s="21"/>
      <c r="AS776" s="21"/>
      <c r="AT776" s="12" t="str">
        <f>HYPERLINK("http://www.openstreetmap.org/?mlat=30.4469&amp;mlon=47.9961&amp;zoom=12#map=12/30.4469/47.9961","Maplink1")</f>
        <v>Maplink1</v>
      </c>
      <c r="AU776" s="12" t="str">
        <f>HYPERLINK("https://www.google.iq/maps/search/+30.4469,47.9961/@30.4469,47.9961,14z?hl=en","Maplink2")</f>
        <v>Maplink2</v>
      </c>
      <c r="AV776" s="12" t="str">
        <f>HYPERLINK("http://www.bing.com/maps/?lvl=14&amp;sty=h&amp;cp=30.4469~47.9961&amp;sp=point.30.4469_47.9961","Maplink3")</f>
        <v>Maplink3</v>
      </c>
    </row>
    <row r="777" spans="1:48" ht="15" customHeight="1" x14ac:dyDescent="0.25">
      <c r="A777" s="19">
        <v>797</v>
      </c>
      <c r="B777" s="20" t="s">
        <v>12</v>
      </c>
      <c r="C777" s="20" t="s">
        <v>1513</v>
      </c>
      <c r="D777" s="20" t="s">
        <v>1550</v>
      </c>
      <c r="E777" s="20" t="s">
        <v>1551</v>
      </c>
      <c r="F777" s="20">
        <v>30.436587827299999</v>
      </c>
      <c r="G777" s="20">
        <v>47.986562121699997</v>
      </c>
      <c r="H777" s="22">
        <v>3</v>
      </c>
      <c r="I777" s="22">
        <v>18</v>
      </c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>
        <v>1</v>
      </c>
      <c r="W777" s="21"/>
      <c r="X777" s="21">
        <v>2</v>
      </c>
      <c r="Y777" s="21"/>
      <c r="Z777" s="21"/>
      <c r="AA777" s="21"/>
      <c r="AB777" s="21"/>
      <c r="AC777" s="21">
        <v>2</v>
      </c>
      <c r="AD777" s="21"/>
      <c r="AE777" s="21"/>
      <c r="AF777" s="21"/>
      <c r="AG777" s="21"/>
      <c r="AH777" s="21">
        <v>1</v>
      </c>
      <c r="AI777" s="21"/>
      <c r="AJ777" s="21"/>
      <c r="AK777" s="21"/>
      <c r="AL777" s="21"/>
      <c r="AM777" s="21"/>
      <c r="AN777" s="21"/>
      <c r="AO777" s="21">
        <v>2</v>
      </c>
      <c r="AP777" s="21"/>
      <c r="AQ777" s="21"/>
      <c r="AR777" s="21"/>
      <c r="AS777" s="21">
        <v>1</v>
      </c>
      <c r="AT777" s="12" t="str">
        <f>HYPERLINK("http://www.openstreetmap.org/?mlat=30.4366&amp;mlon=47.9866&amp;zoom=12#map=12/30.4366/47.9866","Maplink1")</f>
        <v>Maplink1</v>
      </c>
      <c r="AU777" s="12" t="str">
        <f>HYPERLINK("https://www.google.iq/maps/search/+30.4366,47.9866/@30.4366,47.9866,14z?hl=en","Maplink2")</f>
        <v>Maplink2</v>
      </c>
      <c r="AV777" s="12" t="str">
        <f>HYPERLINK("http://www.bing.com/maps/?lvl=14&amp;sty=h&amp;cp=30.4366~47.9866&amp;sp=point.30.4366_47.9866","Maplink3")</f>
        <v>Maplink3</v>
      </c>
    </row>
    <row r="778" spans="1:48" ht="15" customHeight="1" x14ac:dyDescent="0.25">
      <c r="A778" s="19">
        <v>20783</v>
      </c>
      <c r="B778" s="20" t="s">
        <v>12</v>
      </c>
      <c r="C778" s="20" t="s">
        <v>1513</v>
      </c>
      <c r="D778" s="20" t="s">
        <v>1552</v>
      </c>
      <c r="E778" s="20" t="s">
        <v>1553</v>
      </c>
      <c r="F778" s="20">
        <v>30.453851319999998</v>
      </c>
      <c r="G778" s="20">
        <v>47.985925350000002</v>
      </c>
      <c r="H778" s="22">
        <v>2</v>
      </c>
      <c r="I778" s="22">
        <v>12</v>
      </c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>
        <v>2</v>
      </c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>
        <v>2</v>
      </c>
      <c r="AI778" s="21"/>
      <c r="AJ778" s="21"/>
      <c r="AK778" s="21"/>
      <c r="AL778" s="21"/>
      <c r="AM778" s="21">
        <v>2</v>
      </c>
      <c r="AN778" s="21"/>
      <c r="AO778" s="21"/>
      <c r="AP778" s="21"/>
      <c r="AQ778" s="21"/>
      <c r="AR778" s="21"/>
      <c r="AS778" s="21"/>
      <c r="AT778" s="12" t="str">
        <f>HYPERLINK("http://www.openstreetmap.org/?mlat=30.4539&amp;mlon=47.9859&amp;zoom=12#map=12/30.4539/47.9859","Maplink1")</f>
        <v>Maplink1</v>
      </c>
      <c r="AU778" s="12" t="str">
        <f>HYPERLINK("https://www.google.iq/maps/search/+30.4539,47.9859/@30.4539,47.9859,14z?hl=en","Maplink2")</f>
        <v>Maplink2</v>
      </c>
      <c r="AV778" s="12" t="str">
        <f>HYPERLINK("http://www.bing.com/maps/?lvl=14&amp;sty=h&amp;cp=30.4539~47.9859&amp;sp=point.30.4539_47.9859","Maplink3")</f>
        <v>Maplink3</v>
      </c>
    </row>
    <row r="779" spans="1:48" ht="15" customHeight="1" x14ac:dyDescent="0.25">
      <c r="A779" s="19">
        <v>592</v>
      </c>
      <c r="B779" s="20" t="s">
        <v>12</v>
      </c>
      <c r="C779" s="20" t="s">
        <v>1513</v>
      </c>
      <c r="D779" s="20" t="s">
        <v>5545</v>
      </c>
      <c r="E779" s="20" t="s">
        <v>5546</v>
      </c>
      <c r="F779" s="20">
        <v>30.460277999999999</v>
      </c>
      <c r="G779" s="20">
        <v>47.988889</v>
      </c>
      <c r="H779" s="22">
        <v>1</v>
      </c>
      <c r="I779" s="22">
        <v>6</v>
      </c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>
        <v>1</v>
      </c>
      <c r="W779" s="21"/>
      <c r="X779" s="21"/>
      <c r="Y779" s="21"/>
      <c r="Z779" s="21"/>
      <c r="AA779" s="21"/>
      <c r="AB779" s="21"/>
      <c r="AC779" s="21">
        <v>1</v>
      </c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>
        <v>1</v>
      </c>
      <c r="AP779" s="21"/>
      <c r="AQ779" s="21"/>
      <c r="AR779" s="21"/>
      <c r="AS779" s="21"/>
      <c r="AT779" s="12" t="str">
        <f>HYPERLINK("http://www.openstreetmap.org/?mlat=30.4603&amp;mlon=47.9889&amp;zoom=12#map=12/30.4603/47.9889","Maplink1")</f>
        <v>Maplink1</v>
      </c>
      <c r="AU779" s="12" t="str">
        <f>HYPERLINK("https://www.google.iq/maps/search/+30.4603,47.9889/@30.4603,47.9889,14z?hl=en","Maplink2")</f>
        <v>Maplink2</v>
      </c>
      <c r="AV779" s="12" t="str">
        <f>HYPERLINK("http://www.bing.com/maps/?lvl=14&amp;sty=h&amp;cp=30.4603~47.9889&amp;sp=point.30.4603_47.9889","Maplink3")</f>
        <v>Maplink3</v>
      </c>
    </row>
    <row r="780" spans="1:48" ht="15" customHeight="1" x14ac:dyDescent="0.25">
      <c r="A780" s="19">
        <v>24480</v>
      </c>
      <c r="B780" s="20" t="s">
        <v>12</v>
      </c>
      <c r="C780" s="20" t="s">
        <v>1513</v>
      </c>
      <c r="D780" s="20" t="s">
        <v>1554</v>
      </c>
      <c r="E780" s="20" t="s">
        <v>1555</v>
      </c>
      <c r="F780" s="20">
        <v>30.444507590000001</v>
      </c>
      <c r="G780" s="20">
        <v>48.025947930000001</v>
      </c>
      <c r="H780" s="22">
        <v>1</v>
      </c>
      <c r="I780" s="22">
        <v>6</v>
      </c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>
        <v>1</v>
      </c>
      <c r="Y780" s="21"/>
      <c r="Z780" s="21"/>
      <c r="AA780" s="21"/>
      <c r="AB780" s="21"/>
      <c r="AC780" s="21"/>
      <c r="AD780" s="21"/>
      <c r="AE780" s="21"/>
      <c r="AF780" s="21"/>
      <c r="AG780" s="21"/>
      <c r="AH780" s="21">
        <v>1</v>
      </c>
      <c r="AI780" s="21"/>
      <c r="AJ780" s="21"/>
      <c r="AK780" s="21"/>
      <c r="AL780" s="21"/>
      <c r="AM780" s="21"/>
      <c r="AN780" s="21">
        <v>1</v>
      </c>
      <c r="AO780" s="21"/>
      <c r="AP780" s="21"/>
      <c r="AQ780" s="21"/>
      <c r="AR780" s="21"/>
      <c r="AS780" s="21"/>
      <c r="AT780" s="12" t="str">
        <f>HYPERLINK("http://www.openstreetmap.org/?mlat=30.4445&amp;mlon=48.0259&amp;zoom=12#map=12/30.4445/48.0259","Maplink1")</f>
        <v>Maplink1</v>
      </c>
      <c r="AU780" s="12" t="str">
        <f>HYPERLINK("https://www.google.iq/maps/search/+30.4445,48.0259/@30.4445,48.0259,14z?hl=en","Maplink2")</f>
        <v>Maplink2</v>
      </c>
      <c r="AV780" s="12" t="str">
        <f>HYPERLINK("http://www.bing.com/maps/?lvl=14&amp;sty=h&amp;cp=30.4445~48.0259&amp;sp=point.30.4445_48.0259","Maplink3")</f>
        <v>Maplink3</v>
      </c>
    </row>
    <row r="781" spans="1:48" ht="15" customHeight="1" x14ac:dyDescent="0.25">
      <c r="A781" s="19">
        <v>381</v>
      </c>
      <c r="B781" s="20" t="s">
        <v>12</v>
      </c>
      <c r="C781" s="20" t="s">
        <v>1513</v>
      </c>
      <c r="D781" s="20" t="s">
        <v>1556</v>
      </c>
      <c r="E781" s="20" t="s">
        <v>1557</v>
      </c>
      <c r="F781" s="20">
        <v>30.456532899999999</v>
      </c>
      <c r="G781" s="20">
        <v>47.891750979999998</v>
      </c>
      <c r="H781" s="22">
        <v>37</v>
      </c>
      <c r="I781" s="22">
        <v>222</v>
      </c>
      <c r="J781" s="21">
        <v>9</v>
      </c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>
        <v>13</v>
      </c>
      <c r="W781" s="21"/>
      <c r="X781" s="21">
        <v>15</v>
      </c>
      <c r="Y781" s="21"/>
      <c r="Z781" s="21"/>
      <c r="AA781" s="21"/>
      <c r="AB781" s="21"/>
      <c r="AC781" s="21">
        <v>13</v>
      </c>
      <c r="AD781" s="21"/>
      <c r="AE781" s="21"/>
      <c r="AF781" s="21"/>
      <c r="AG781" s="21"/>
      <c r="AH781" s="21">
        <v>24</v>
      </c>
      <c r="AI781" s="21"/>
      <c r="AJ781" s="21"/>
      <c r="AK781" s="21"/>
      <c r="AL781" s="21"/>
      <c r="AM781" s="21">
        <v>22</v>
      </c>
      <c r="AN781" s="21">
        <v>4</v>
      </c>
      <c r="AO781" s="21">
        <v>7</v>
      </c>
      <c r="AP781" s="21">
        <v>2</v>
      </c>
      <c r="AQ781" s="21"/>
      <c r="AR781" s="21">
        <v>2</v>
      </c>
      <c r="AS781" s="21"/>
      <c r="AT781" s="12" t="str">
        <f>HYPERLINK("http://www.openstreetmap.org/?mlat=30.4565&amp;mlon=47.8918&amp;zoom=12#map=12/30.4565/47.8918","Maplink1")</f>
        <v>Maplink1</v>
      </c>
      <c r="AU781" s="12" t="str">
        <f>HYPERLINK("https://www.google.iq/maps/search/+30.4565,47.8918/@30.4565,47.8918,14z?hl=en","Maplink2")</f>
        <v>Maplink2</v>
      </c>
      <c r="AV781" s="12" t="str">
        <f>HYPERLINK("http://www.bing.com/maps/?lvl=14&amp;sty=h&amp;cp=30.4565~47.8918&amp;sp=point.30.4565_47.8918","Maplink3")</f>
        <v>Maplink3</v>
      </c>
    </row>
    <row r="782" spans="1:48" ht="15" customHeight="1" x14ac:dyDescent="0.25">
      <c r="A782" s="19">
        <v>505</v>
      </c>
      <c r="B782" s="20" t="s">
        <v>12</v>
      </c>
      <c r="C782" s="20" t="s">
        <v>1513</v>
      </c>
      <c r="D782" s="20" t="s">
        <v>1558</v>
      </c>
      <c r="E782" s="20" t="s">
        <v>1559</v>
      </c>
      <c r="F782" s="20">
        <v>30.4378001</v>
      </c>
      <c r="G782" s="20">
        <v>47.941447029999999</v>
      </c>
      <c r="H782" s="22">
        <v>17</v>
      </c>
      <c r="I782" s="22">
        <v>102</v>
      </c>
      <c r="J782" s="21">
        <v>4</v>
      </c>
      <c r="K782" s="21"/>
      <c r="L782" s="21"/>
      <c r="M782" s="21"/>
      <c r="N782" s="21"/>
      <c r="O782" s="21"/>
      <c r="P782" s="21"/>
      <c r="Q782" s="21"/>
      <c r="R782" s="21">
        <v>8</v>
      </c>
      <c r="S782" s="21"/>
      <c r="T782" s="21"/>
      <c r="U782" s="21"/>
      <c r="V782" s="21"/>
      <c r="W782" s="21"/>
      <c r="X782" s="21">
        <v>5</v>
      </c>
      <c r="Y782" s="21"/>
      <c r="Z782" s="21"/>
      <c r="AA782" s="21"/>
      <c r="AB782" s="21"/>
      <c r="AC782" s="21">
        <v>3</v>
      </c>
      <c r="AD782" s="21"/>
      <c r="AE782" s="21"/>
      <c r="AF782" s="21"/>
      <c r="AG782" s="21"/>
      <c r="AH782" s="21">
        <v>14</v>
      </c>
      <c r="AI782" s="21"/>
      <c r="AJ782" s="21"/>
      <c r="AK782" s="21"/>
      <c r="AL782" s="21">
        <v>1</v>
      </c>
      <c r="AM782" s="21">
        <v>7</v>
      </c>
      <c r="AN782" s="21">
        <v>1</v>
      </c>
      <c r="AO782" s="21">
        <v>6</v>
      </c>
      <c r="AP782" s="21">
        <v>2</v>
      </c>
      <c r="AQ782" s="21"/>
      <c r="AR782" s="21"/>
      <c r="AS782" s="21"/>
      <c r="AT782" s="12" t="str">
        <f>HYPERLINK("http://www.openstreetmap.org/?mlat=30.4378&amp;mlon=47.9414&amp;zoom=12#map=12/30.4378/47.9414","Maplink1")</f>
        <v>Maplink1</v>
      </c>
      <c r="AU782" s="12" t="str">
        <f>HYPERLINK("https://www.google.iq/maps/search/+30.4378,47.9414/@30.4378,47.9414,14z?hl=en","Maplink2")</f>
        <v>Maplink2</v>
      </c>
      <c r="AV782" s="12" t="str">
        <f>HYPERLINK("http://www.bing.com/maps/?lvl=14&amp;sty=h&amp;cp=30.4378~47.9414&amp;sp=point.30.4378_47.9414","Maplink3")</f>
        <v>Maplink3</v>
      </c>
    </row>
    <row r="783" spans="1:48" ht="15" customHeight="1" x14ac:dyDescent="0.25">
      <c r="A783" s="19">
        <v>835</v>
      </c>
      <c r="B783" s="20" t="s">
        <v>12</v>
      </c>
      <c r="C783" s="20" t="s">
        <v>1513</v>
      </c>
      <c r="D783" s="20" t="s">
        <v>5946</v>
      </c>
      <c r="E783" s="20" t="s">
        <v>5947</v>
      </c>
      <c r="F783" s="20">
        <v>30.453610999999999</v>
      </c>
      <c r="G783" s="20">
        <v>48.023611000000002</v>
      </c>
      <c r="H783" s="22">
        <v>1</v>
      </c>
      <c r="I783" s="22">
        <v>6</v>
      </c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>
        <v>1</v>
      </c>
      <c r="Y783" s="21"/>
      <c r="Z783" s="21"/>
      <c r="AA783" s="21"/>
      <c r="AB783" s="21"/>
      <c r="AC783" s="21"/>
      <c r="AD783" s="21"/>
      <c r="AE783" s="21"/>
      <c r="AF783" s="21"/>
      <c r="AG783" s="21"/>
      <c r="AH783" s="21">
        <v>1</v>
      </c>
      <c r="AI783" s="21"/>
      <c r="AJ783" s="21"/>
      <c r="AK783" s="21"/>
      <c r="AL783" s="21"/>
      <c r="AM783" s="21">
        <v>1</v>
      </c>
      <c r="AN783" s="21"/>
      <c r="AO783" s="21"/>
      <c r="AP783" s="21"/>
      <c r="AQ783" s="21"/>
      <c r="AR783" s="21"/>
      <c r="AS783" s="21"/>
      <c r="AT783" s="12" t="str">
        <f>HYPERLINK("http://www.openstreetmap.org/?mlat=30.4536&amp;mlon=48.0236&amp;zoom=12#map=12/30.4536/48.0236","Maplink1")</f>
        <v>Maplink1</v>
      </c>
      <c r="AU783" s="12" t="str">
        <f>HYPERLINK("https://www.google.iq/maps/search/+30.4536,48.0236/@30.4536,48.0236,14z?hl=en","Maplink2")</f>
        <v>Maplink2</v>
      </c>
      <c r="AV783" s="12" t="str">
        <f>HYPERLINK("http://www.bing.com/maps/?lvl=14&amp;sty=h&amp;cp=30.4536~48.0236&amp;sp=point.30.4536_48.0236","Maplink3")</f>
        <v>Maplink3</v>
      </c>
    </row>
    <row r="784" spans="1:48" ht="15" customHeight="1" x14ac:dyDescent="0.25">
      <c r="A784" s="19">
        <v>832</v>
      </c>
      <c r="B784" s="20" t="s">
        <v>12</v>
      </c>
      <c r="C784" s="20" t="s">
        <v>1513</v>
      </c>
      <c r="D784" s="20" t="s">
        <v>5948</v>
      </c>
      <c r="E784" s="20" t="s">
        <v>5949</v>
      </c>
      <c r="F784" s="20">
        <v>30.452221999999999</v>
      </c>
      <c r="G784" s="20">
        <v>47.992221999999998</v>
      </c>
      <c r="H784" s="22">
        <v>4</v>
      </c>
      <c r="I784" s="22">
        <v>24</v>
      </c>
      <c r="J784" s="21">
        <v>2</v>
      </c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>
        <v>2</v>
      </c>
      <c r="Y784" s="21"/>
      <c r="Z784" s="21"/>
      <c r="AA784" s="21"/>
      <c r="AB784" s="21"/>
      <c r="AC784" s="21"/>
      <c r="AD784" s="21"/>
      <c r="AE784" s="21"/>
      <c r="AF784" s="21"/>
      <c r="AG784" s="21"/>
      <c r="AH784" s="21">
        <v>4</v>
      </c>
      <c r="AI784" s="21"/>
      <c r="AJ784" s="21"/>
      <c r="AK784" s="21"/>
      <c r="AL784" s="21">
        <v>2</v>
      </c>
      <c r="AM784" s="21"/>
      <c r="AN784" s="21"/>
      <c r="AO784" s="21">
        <v>2</v>
      </c>
      <c r="AP784" s="21"/>
      <c r="AQ784" s="21"/>
      <c r="AR784" s="21"/>
      <c r="AS784" s="21"/>
      <c r="AT784" s="12" t="str">
        <f>HYPERLINK("http://www.openstreetmap.org/?mlat=30.4522&amp;mlon=47.9922&amp;zoom=12#map=12/30.4522/47.9922","Maplink1")</f>
        <v>Maplink1</v>
      </c>
      <c r="AU784" s="12" t="str">
        <f>HYPERLINK("https://www.google.iq/maps/search/+30.4522,47.9922/@30.4522,47.9922,14z?hl=en","Maplink2")</f>
        <v>Maplink2</v>
      </c>
      <c r="AV784" s="12" t="str">
        <f>HYPERLINK("http://www.bing.com/maps/?lvl=14&amp;sty=h&amp;cp=30.4522~47.9922&amp;sp=point.30.4522_47.9922","Maplink3")</f>
        <v>Maplink3</v>
      </c>
    </row>
    <row r="785" spans="1:48" ht="15" customHeight="1" x14ac:dyDescent="0.25">
      <c r="A785" s="19">
        <v>24158</v>
      </c>
      <c r="B785" s="20" t="s">
        <v>12</v>
      </c>
      <c r="C785" s="20" t="s">
        <v>1513</v>
      </c>
      <c r="D785" s="20" t="s">
        <v>1560</v>
      </c>
      <c r="E785" s="20" t="s">
        <v>1561</v>
      </c>
      <c r="F785" s="20">
        <v>30.452040329999999</v>
      </c>
      <c r="G785" s="20">
        <v>47.911217700000002</v>
      </c>
      <c r="H785" s="22">
        <v>12</v>
      </c>
      <c r="I785" s="22">
        <v>72</v>
      </c>
      <c r="J785" s="21">
        <v>2</v>
      </c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>
        <v>6</v>
      </c>
      <c r="W785" s="21"/>
      <c r="X785" s="21">
        <v>4</v>
      </c>
      <c r="Y785" s="21"/>
      <c r="Z785" s="21"/>
      <c r="AA785" s="21"/>
      <c r="AB785" s="21"/>
      <c r="AC785" s="21">
        <v>3</v>
      </c>
      <c r="AD785" s="21"/>
      <c r="AE785" s="21"/>
      <c r="AF785" s="21"/>
      <c r="AG785" s="21"/>
      <c r="AH785" s="21">
        <v>9</v>
      </c>
      <c r="AI785" s="21"/>
      <c r="AJ785" s="21"/>
      <c r="AK785" s="21"/>
      <c r="AL785" s="21">
        <v>2</v>
      </c>
      <c r="AM785" s="21">
        <v>4</v>
      </c>
      <c r="AN785" s="21">
        <v>1</v>
      </c>
      <c r="AO785" s="21">
        <v>2</v>
      </c>
      <c r="AP785" s="21"/>
      <c r="AQ785" s="21"/>
      <c r="AR785" s="21">
        <v>3</v>
      </c>
      <c r="AS785" s="21"/>
      <c r="AT785" s="12" t="str">
        <f>HYPERLINK("http://www.openstreetmap.org/?mlat=30.452&amp;mlon=47.9112&amp;zoom=12#map=12/30.452/47.9112","Maplink1")</f>
        <v>Maplink1</v>
      </c>
      <c r="AU785" s="12" t="str">
        <f>HYPERLINK("https://www.google.iq/maps/search/+30.452,47.9112/@30.452,47.9112,14z?hl=en","Maplink2")</f>
        <v>Maplink2</v>
      </c>
      <c r="AV785" s="12" t="str">
        <f>HYPERLINK("http://www.bing.com/maps/?lvl=14&amp;sty=h&amp;cp=30.452~47.9112&amp;sp=point.30.452_47.9112","Maplink3")</f>
        <v>Maplink3</v>
      </c>
    </row>
    <row r="786" spans="1:48" ht="15" customHeight="1" x14ac:dyDescent="0.25">
      <c r="A786" s="19">
        <v>813</v>
      </c>
      <c r="B786" s="20" t="s">
        <v>12</v>
      </c>
      <c r="C786" s="20" t="s">
        <v>1513</v>
      </c>
      <c r="D786" s="20" t="s">
        <v>1562</v>
      </c>
      <c r="E786" s="20" t="s">
        <v>1563</v>
      </c>
      <c r="F786" s="20">
        <v>30.466200000000001</v>
      </c>
      <c r="G786" s="20">
        <v>47.891503710000002</v>
      </c>
      <c r="H786" s="22">
        <v>1</v>
      </c>
      <c r="I786" s="22">
        <v>6</v>
      </c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>
        <v>1</v>
      </c>
      <c r="Y786" s="21"/>
      <c r="Z786" s="21"/>
      <c r="AA786" s="21"/>
      <c r="AB786" s="21"/>
      <c r="AC786" s="21">
        <v>1</v>
      </c>
      <c r="AD786" s="21"/>
      <c r="AE786" s="21"/>
      <c r="AF786" s="21"/>
      <c r="AG786" s="21"/>
      <c r="AH786" s="21"/>
      <c r="AI786" s="21"/>
      <c r="AJ786" s="21"/>
      <c r="AK786" s="21"/>
      <c r="AL786" s="21"/>
      <c r="AM786" s="21">
        <v>1</v>
      </c>
      <c r="AN786" s="21"/>
      <c r="AO786" s="21"/>
      <c r="AP786" s="21"/>
      <c r="AQ786" s="21"/>
      <c r="AR786" s="21"/>
      <c r="AS786" s="21"/>
      <c r="AT786" s="12" t="str">
        <f>HYPERLINK("http://www.openstreetmap.org/?mlat=30.4662&amp;mlon=47.8915&amp;zoom=12#map=12/30.4662/47.8915","Maplink1")</f>
        <v>Maplink1</v>
      </c>
      <c r="AU786" s="12" t="str">
        <f>HYPERLINK("https://www.google.iq/maps/search/+30.4662,47.8915/@30.4662,47.8915,14z?hl=en","Maplink2")</f>
        <v>Maplink2</v>
      </c>
      <c r="AV786" s="12" t="str">
        <f>HYPERLINK("http://www.bing.com/maps/?lvl=14&amp;sty=h&amp;cp=30.4662~47.8915&amp;sp=point.30.4662_47.8915","Maplink3")</f>
        <v>Maplink3</v>
      </c>
    </row>
    <row r="787" spans="1:48" ht="15" customHeight="1" x14ac:dyDescent="0.25">
      <c r="A787" s="19">
        <v>22266</v>
      </c>
      <c r="B787" s="20" t="s">
        <v>12</v>
      </c>
      <c r="C787" s="20" t="s">
        <v>1513</v>
      </c>
      <c r="D787" s="20" t="s">
        <v>5785</v>
      </c>
      <c r="E787" s="20" t="s">
        <v>5786</v>
      </c>
      <c r="F787" s="20">
        <v>30.322181010000001</v>
      </c>
      <c r="G787" s="20">
        <v>48.248824329999998</v>
      </c>
      <c r="H787" s="22">
        <v>2</v>
      </c>
      <c r="I787" s="22">
        <v>12</v>
      </c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>
        <v>2</v>
      </c>
      <c r="W787" s="21"/>
      <c r="X787" s="21"/>
      <c r="Y787" s="21"/>
      <c r="Z787" s="21"/>
      <c r="AA787" s="21"/>
      <c r="AB787" s="21"/>
      <c r="AC787" s="21">
        <v>2</v>
      </c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>
        <v>2</v>
      </c>
      <c r="AO787" s="21"/>
      <c r="AP787" s="21"/>
      <c r="AQ787" s="21"/>
      <c r="AR787" s="21"/>
      <c r="AS787" s="21"/>
      <c r="AT787" s="12" t="str">
        <f>HYPERLINK("http://www.openstreetmap.org/?mlat=30.3222&amp;mlon=48.2488&amp;zoom=12#map=12/30.3222/48.2488","Maplink1")</f>
        <v>Maplink1</v>
      </c>
      <c r="AU787" s="12" t="str">
        <f>HYPERLINK("https://www.google.iq/maps/search/+30.3222,48.2488/@30.3222,48.2488,14z?hl=en","Maplink2")</f>
        <v>Maplink2</v>
      </c>
      <c r="AV787" s="12" t="str">
        <f>HYPERLINK("http://www.bing.com/maps/?lvl=14&amp;sty=h&amp;cp=30.3222~48.2488&amp;sp=point.30.3222_48.2488","Maplink3")</f>
        <v>Maplink3</v>
      </c>
    </row>
    <row r="788" spans="1:48" ht="15" customHeight="1" x14ac:dyDescent="0.25">
      <c r="A788" s="19">
        <v>583</v>
      </c>
      <c r="B788" s="20" t="s">
        <v>12</v>
      </c>
      <c r="C788" s="20" t="s">
        <v>1513</v>
      </c>
      <c r="D788" s="20" t="s">
        <v>1564</v>
      </c>
      <c r="E788" s="20" t="s">
        <v>1565</v>
      </c>
      <c r="F788" s="20">
        <v>30.460743340000001</v>
      </c>
      <c r="G788" s="20">
        <v>47.929057149999998</v>
      </c>
      <c r="H788" s="22">
        <v>10</v>
      </c>
      <c r="I788" s="22">
        <v>60</v>
      </c>
      <c r="J788" s="21">
        <v>7</v>
      </c>
      <c r="K788" s="21"/>
      <c r="L788" s="21"/>
      <c r="M788" s="21"/>
      <c r="N788" s="21"/>
      <c r="O788" s="21"/>
      <c r="P788" s="21"/>
      <c r="Q788" s="21"/>
      <c r="R788" s="21">
        <v>3</v>
      </c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>
        <v>3</v>
      </c>
      <c r="AD788" s="21"/>
      <c r="AE788" s="21"/>
      <c r="AF788" s="21"/>
      <c r="AG788" s="21"/>
      <c r="AH788" s="21">
        <v>7</v>
      </c>
      <c r="AI788" s="21"/>
      <c r="AJ788" s="21"/>
      <c r="AK788" s="21"/>
      <c r="AL788" s="21">
        <v>1</v>
      </c>
      <c r="AM788" s="21"/>
      <c r="AN788" s="21">
        <v>3</v>
      </c>
      <c r="AO788" s="21">
        <v>6</v>
      </c>
      <c r="AP788" s="21"/>
      <c r="AQ788" s="21"/>
      <c r="AR788" s="21"/>
      <c r="AS788" s="21"/>
      <c r="AT788" s="12" t="str">
        <f>HYPERLINK("http://www.openstreetmap.org/?mlat=30.4607&amp;mlon=47.9291&amp;zoom=12#map=12/30.4607/47.9291","Maplink1")</f>
        <v>Maplink1</v>
      </c>
      <c r="AU788" s="12" t="str">
        <f>HYPERLINK("https://www.google.iq/maps/search/+30.4607,47.9291/@30.4607,47.9291,14z?hl=en","Maplink2")</f>
        <v>Maplink2</v>
      </c>
      <c r="AV788" s="12" t="str">
        <f>HYPERLINK("http://www.bing.com/maps/?lvl=14&amp;sty=h&amp;cp=30.4607~47.9291&amp;sp=point.30.4607_47.9291","Maplink3")</f>
        <v>Maplink3</v>
      </c>
    </row>
    <row r="789" spans="1:48" ht="15" customHeight="1" x14ac:dyDescent="0.25">
      <c r="A789" s="19">
        <v>24526</v>
      </c>
      <c r="B789" s="20" t="s">
        <v>12</v>
      </c>
      <c r="C789" s="20" t="s">
        <v>1513</v>
      </c>
      <c r="D789" s="20" t="s">
        <v>1566</v>
      </c>
      <c r="E789" s="20" t="s">
        <v>1567</v>
      </c>
      <c r="F789" s="20">
        <v>30.465740090000001</v>
      </c>
      <c r="G789" s="20">
        <v>47.884100140000001</v>
      </c>
      <c r="H789" s="22">
        <v>12</v>
      </c>
      <c r="I789" s="22">
        <v>72</v>
      </c>
      <c r="J789" s="21">
        <v>1</v>
      </c>
      <c r="K789" s="21"/>
      <c r="L789" s="21">
        <v>1</v>
      </c>
      <c r="M789" s="21"/>
      <c r="N789" s="21"/>
      <c r="O789" s="21"/>
      <c r="P789" s="21"/>
      <c r="Q789" s="21"/>
      <c r="R789" s="21"/>
      <c r="S789" s="21"/>
      <c r="T789" s="21"/>
      <c r="U789" s="21"/>
      <c r="V789" s="21">
        <v>4</v>
      </c>
      <c r="W789" s="21"/>
      <c r="X789" s="21">
        <v>6</v>
      </c>
      <c r="Y789" s="21"/>
      <c r="Z789" s="21"/>
      <c r="AA789" s="21"/>
      <c r="AB789" s="21"/>
      <c r="AC789" s="21">
        <v>2</v>
      </c>
      <c r="AD789" s="21"/>
      <c r="AE789" s="21"/>
      <c r="AF789" s="21"/>
      <c r="AG789" s="21"/>
      <c r="AH789" s="21">
        <v>10</v>
      </c>
      <c r="AI789" s="21"/>
      <c r="AJ789" s="21"/>
      <c r="AK789" s="21"/>
      <c r="AL789" s="21"/>
      <c r="AM789" s="21">
        <v>3</v>
      </c>
      <c r="AN789" s="21">
        <v>3</v>
      </c>
      <c r="AO789" s="21">
        <v>5</v>
      </c>
      <c r="AP789" s="21"/>
      <c r="AQ789" s="21"/>
      <c r="AR789" s="21"/>
      <c r="AS789" s="21">
        <v>1</v>
      </c>
      <c r="AT789" s="12" t="str">
        <f>HYPERLINK("http://www.openstreetmap.org/?mlat=30.4657&amp;mlon=47.8841&amp;zoom=12#map=12/30.4657/47.8841","Maplink1")</f>
        <v>Maplink1</v>
      </c>
      <c r="AU789" s="12" t="str">
        <f>HYPERLINK("https://www.google.iq/maps/search/+30.4657,47.8841/@30.4657,47.8841,14z?hl=en","Maplink2")</f>
        <v>Maplink2</v>
      </c>
      <c r="AV789" s="12" t="str">
        <f>HYPERLINK("http://www.bing.com/maps/?lvl=14&amp;sty=h&amp;cp=30.4657~47.8841&amp;sp=point.30.4657_47.8841","Maplink3")</f>
        <v>Maplink3</v>
      </c>
    </row>
    <row r="790" spans="1:48" ht="15" customHeight="1" x14ac:dyDescent="0.25">
      <c r="A790" s="19">
        <v>599</v>
      </c>
      <c r="B790" s="20" t="s">
        <v>12</v>
      </c>
      <c r="C790" s="20" t="s">
        <v>1513</v>
      </c>
      <c r="D790" s="20" t="s">
        <v>1568</v>
      </c>
      <c r="E790" s="20" t="s">
        <v>1569</v>
      </c>
      <c r="F790" s="20">
        <v>30.4591706</v>
      </c>
      <c r="G790" s="20">
        <v>47.966656020000002</v>
      </c>
      <c r="H790" s="22">
        <v>2</v>
      </c>
      <c r="I790" s="22">
        <v>12</v>
      </c>
      <c r="J790" s="21">
        <v>1</v>
      </c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>
        <v>1</v>
      </c>
      <c r="W790" s="21"/>
      <c r="X790" s="21"/>
      <c r="Y790" s="21"/>
      <c r="Z790" s="21"/>
      <c r="AA790" s="21"/>
      <c r="AB790" s="21"/>
      <c r="AC790" s="21">
        <v>1</v>
      </c>
      <c r="AD790" s="21"/>
      <c r="AE790" s="21"/>
      <c r="AF790" s="21"/>
      <c r="AG790" s="21"/>
      <c r="AH790" s="21">
        <v>1</v>
      </c>
      <c r="AI790" s="21"/>
      <c r="AJ790" s="21"/>
      <c r="AK790" s="21"/>
      <c r="AL790" s="21">
        <v>1</v>
      </c>
      <c r="AM790" s="21"/>
      <c r="AN790" s="21"/>
      <c r="AO790" s="21"/>
      <c r="AP790" s="21"/>
      <c r="AQ790" s="21"/>
      <c r="AR790" s="21">
        <v>1</v>
      </c>
      <c r="AS790" s="21"/>
      <c r="AT790" s="12" t="str">
        <f>HYPERLINK("http://www.openstreetmap.org/?mlat=30.4592&amp;mlon=47.9667&amp;zoom=12#map=12/30.4592/47.9667","Maplink1")</f>
        <v>Maplink1</v>
      </c>
      <c r="AU790" s="12" t="str">
        <f>HYPERLINK("https://www.google.iq/maps/search/+30.4592,47.9667/@30.4592,47.9667,14z?hl=en","Maplink2")</f>
        <v>Maplink2</v>
      </c>
      <c r="AV790" s="12" t="str">
        <f>HYPERLINK("http://www.bing.com/maps/?lvl=14&amp;sty=h&amp;cp=30.4592~47.9667&amp;sp=point.30.4592_47.9667","Maplink3")</f>
        <v>Maplink3</v>
      </c>
    </row>
    <row r="791" spans="1:48" ht="15" customHeight="1" x14ac:dyDescent="0.25">
      <c r="A791" s="19">
        <v>622</v>
      </c>
      <c r="B791" s="20" t="s">
        <v>12</v>
      </c>
      <c r="C791" s="20" t="s">
        <v>1513</v>
      </c>
      <c r="D791" s="20" t="s">
        <v>1570</v>
      </c>
      <c r="E791" s="20" t="s">
        <v>1571</v>
      </c>
      <c r="F791" s="20">
        <v>30.4710815</v>
      </c>
      <c r="G791" s="20">
        <v>47.897313879999999</v>
      </c>
      <c r="H791" s="22">
        <v>7</v>
      </c>
      <c r="I791" s="22">
        <v>42</v>
      </c>
      <c r="J791" s="21">
        <v>4</v>
      </c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>
        <v>3</v>
      </c>
      <c r="Y791" s="21"/>
      <c r="Z791" s="21"/>
      <c r="AA791" s="21"/>
      <c r="AB791" s="21"/>
      <c r="AC791" s="21">
        <v>2</v>
      </c>
      <c r="AD791" s="21"/>
      <c r="AE791" s="21"/>
      <c r="AF791" s="21"/>
      <c r="AG791" s="21"/>
      <c r="AH791" s="21">
        <v>4</v>
      </c>
      <c r="AI791" s="21">
        <v>1</v>
      </c>
      <c r="AJ791" s="21"/>
      <c r="AK791" s="21"/>
      <c r="AL791" s="21">
        <v>1</v>
      </c>
      <c r="AM791" s="21">
        <v>1</v>
      </c>
      <c r="AN791" s="21"/>
      <c r="AO791" s="21">
        <v>5</v>
      </c>
      <c r="AP791" s="21"/>
      <c r="AQ791" s="21"/>
      <c r="AR791" s="21"/>
      <c r="AS791" s="21"/>
      <c r="AT791" s="12" t="str">
        <f>HYPERLINK("http://www.openstreetmap.org/?mlat=30.4711&amp;mlon=47.8973&amp;zoom=12#map=12/30.4711/47.8973","Maplink1")</f>
        <v>Maplink1</v>
      </c>
      <c r="AU791" s="12" t="str">
        <f>HYPERLINK("https://www.google.iq/maps/search/+30.4711,47.8973/@30.4711,47.8973,14z?hl=en","Maplink2")</f>
        <v>Maplink2</v>
      </c>
      <c r="AV791" s="12" t="str">
        <f>HYPERLINK("http://www.bing.com/maps/?lvl=14&amp;sty=h&amp;cp=30.4711~47.8973&amp;sp=point.30.4711_47.8973","Maplink3")</f>
        <v>Maplink3</v>
      </c>
    </row>
    <row r="792" spans="1:48" ht="15" customHeight="1" x14ac:dyDescent="0.25">
      <c r="A792" s="19">
        <v>1168</v>
      </c>
      <c r="B792" s="20" t="s">
        <v>12</v>
      </c>
      <c r="C792" s="20" t="s">
        <v>1572</v>
      </c>
      <c r="D792" s="20" t="s">
        <v>1573</v>
      </c>
      <c r="E792" s="20" t="s">
        <v>1574</v>
      </c>
      <c r="F792" s="20">
        <v>30.949352300000001</v>
      </c>
      <c r="G792" s="20">
        <v>47.260018250000002</v>
      </c>
      <c r="H792" s="22">
        <v>7</v>
      </c>
      <c r="I792" s="22">
        <v>42</v>
      </c>
      <c r="J792" s="21"/>
      <c r="K792" s="21"/>
      <c r="L792" s="21"/>
      <c r="M792" s="21"/>
      <c r="N792" s="21"/>
      <c r="O792" s="21">
        <v>2</v>
      </c>
      <c r="P792" s="21"/>
      <c r="Q792" s="21"/>
      <c r="R792" s="21"/>
      <c r="S792" s="21"/>
      <c r="T792" s="21"/>
      <c r="U792" s="21"/>
      <c r="V792" s="21">
        <v>2</v>
      </c>
      <c r="W792" s="21"/>
      <c r="X792" s="21">
        <v>3</v>
      </c>
      <c r="Y792" s="21"/>
      <c r="Z792" s="21"/>
      <c r="AA792" s="21"/>
      <c r="AB792" s="21"/>
      <c r="AC792" s="21">
        <v>1</v>
      </c>
      <c r="AD792" s="21"/>
      <c r="AE792" s="21"/>
      <c r="AF792" s="21"/>
      <c r="AG792" s="21"/>
      <c r="AH792" s="21">
        <v>6</v>
      </c>
      <c r="AI792" s="21"/>
      <c r="AJ792" s="21"/>
      <c r="AK792" s="21"/>
      <c r="AL792" s="21"/>
      <c r="AM792" s="21">
        <v>2</v>
      </c>
      <c r="AN792" s="21"/>
      <c r="AO792" s="21">
        <v>4</v>
      </c>
      <c r="AP792" s="21"/>
      <c r="AQ792" s="21">
        <v>1</v>
      </c>
      <c r="AR792" s="21"/>
      <c r="AS792" s="21"/>
      <c r="AT792" s="12" t="str">
        <f>HYPERLINK("http://www.openstreetmap.org/?mlat=30.9494&amp;mlon=47.26&amp;zoom=12#map=12/30.9494/47.26","Maplink1")</f>
        <v>Maplink1</v>
      </c>
      <c r="AU792" s="12" t="str">
        <f>HYPERLINK("https://www.google.iq/maps/search/+30.9494,47.26/@30.9494,47.26,14z?hl=en","Maplink2")</f>
        <v>Maplink2</v>
      </c>
      <c r="AV792" s="12" t="str">
        <f>HYPERLINK("http://www.bing.com/maps/?lvl=14&amp;sty=h&amp;cp=30.9494~47.26&amp;sp=point.30.9494_47.26","Maplink3")</f>
        <v>Maplink3</v>
      </c>
    </row>
    <row r="793" spans="1:48" ht="15" customHeight="1" x14ac:dyDescent="0.25">
      <c r="A793" s="19">
        <v>29633</v>
      </c>
      <c r="B793" s="20" t="s">
        <v>12</v>
      </c>
      <c r="C793" s="20" t="s">
        <v>1572</v>
      </c>
      <c r="D793" s="20" t="s">
        <v>1575</v>
      </c>
      <c r="E793" s="20" t="s">
        <v>1576</v>
      </c>
      <c r="F793" s="20">
        <v>30.928126433900001</v>
      </c>
      <c r="G793" s="20">
        <v>47.253901641799999</v>
      </c>
      <c r="H793" s="22">
        <v>1</v>
      </c>
      <c r="I793" s="22">
        <v>6</v>
      </c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>
        <v>1</v>
      </c>
      <c r="Y793" s="21"/>
      <c r="Z793" s="21"/>
      <c r="AA793" s="21"/>
      <c r="AB793" s="21"/>
      <c r="AC793" s="21">
        <v>1</v>
      </c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>
        <v>1</v>
      </c>
      <c r="AP793" s="21"/>
      <c r="AQ793" s="21"/>
      <c r="AR793" s="21"/>
      <c r="AS793" s="21"/>
      <c r="AT793" s="12" t="str">
        <f>HYPERLINK("http://www.openstreetmap.org/?mlat=30.9281&amp;mlon=47.2539&amp;zoom=12#map=12/30.9281/47.2539","Maplink1")</f>
        <v>Maplink1</v>
      </c>
      <c r="AU793" s="12" t="str">
        <f>HYPERLINK("https://www.google.iq/maps/search/+30.9281,47.2539/@30.9281,47.2539,14z?hl=en","Maplink2")</f>
        <v>Maplink2</v>
      </c>
      <c r="AV793" s="12" t="str">
        <f>HYPERLINK("http://www.bing.com/maps/?lvl=14&amp;sty=h&amp;cp=30.9281~47.2539&amp;sp=point.30.9281_47.2539","Maplink3")</f>
        <v>Maplink3</v>
      </c>
    </row>
    <row r="794" spans="1:48" ht="15" customHeight="1" x14ac:dyDescent="0.25">
      <c r="A794" s="19">
        <v>24921</v>
      </c>
      <c r="B794" s="20" t="s">
        <v>12</v>
      </c>
      <c r="C794" s="20" t="s">
        <v>1572</v>
      </c>
      <c r="D794" s="20" t="s">
        <v>1577</v>
      </c>
      <c r="E794" s="20" t="s">
        <v>1578</v>
      </c>
      <c r="F794" s="20">
        <v>30.963837829999999</v>
      </c>
      <c r="G794" s="20">
        <v>47.300543920000003</v>
      </c>
      <c r="H794" s="22">
        <v>12</v>
      </c>
      <c r="I794" s="22">
        <v>72</v>
      </c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>
        <v>12</v>
      </c>
      <c r="Y794" s="21"/>
      <c r="Z794" s="21"/>
      <c r="AA794" s="21"/>
      <c r="AB794" s="21"/>
      <c r="AC794" s="21"/>
      <c r="AD794" s="21"/>
      <c r="AE794" s="21"/>
      <c r="AF794" s="21"/>
      <c r="AG794" s="21"/>
      <c r="AH794" s="21">
        <v>12</v>
      </c>
      <c r="AI794" s="21"/>
      <c r="AJ794" s="21"/>
      <c r="AK794" s="21"/>
      <c r="AL794" s="21"/>
      <c r="AM794" s="21"/>
      <c r="AN794" s="21">
        <v>3</v>
      </c>
      <c r="AO794" s="21">
        <v>9</v>
      </c>
      <c r="AP794" s="21"/>
      <c r="AQ794" s="21"/>
      <c r="AR794" s="21"/>
      <c r="AS794" s="21"/>
      <c r="AT794" s="12" t="str">
        <f>HYPERLINK("http://www.openstreetmap.org/?mlat=30.9638&amp;mlon=47.3005&amp;zoom=12#map=12/30.9638/47.3005","Maplink1")</f>
        <v>Maplink1</v>
      </c>
      <c r="AU794" s="12" t="str">
        <f>HYPERLINK("https://www.google.iq/maps/search/+30.9638,47.3005/@30.9638,47.3005,14z?hl=en","Maplink2")</f>
        <v>Maplink2</v>
      </c>
      <c r="AV794" s="12" t="str">
        <f>HYPERLINK("http://www.bing.com/maps/?lvl=14&amp;sty=h&amp;cp=30.9638~47.3005&amp;sp=point.30.9638_47.3005","Maplink3")</f>
        <v>Maplink3</v>
      </c>
    </row>
    <row r="795" spans="1:48" ht="15" customHeight="1" x14ac:dyDescent="0.25">
      <c r="A795" s="19">
        <v>1202</v>
      </c>
      <c r="B795" s="20" t="s">
        <v>12</v>
      </c>
      <c r="C795" s="20" t="s">
        <v>1572</v>
      </c>
      <c r="D795" s="20" t="s">
        <v>1579</v>
      </c>
      <c r="E795" s="20" t="s">
        <v>1580</v>
      </c>
      <c r="F795" s="20">
        <v>30.977767839999999</v>
      </c>
      <c r="G795" s="20">
        <v>47.325561800000003</v>
      </c>
      <c r="H795" s="22">
        <v>1</v>
      </c>
      <c r="I795" s="22">
        <v>6</v>
      </c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>
        <v>1</v>
      </c>
      <c r="W795" s="21"/>
      <c r="X795" s="21"/>
      <c r="Y795" s="21"/>
      <c r="Z795" s="21"/>
      <c r="AA795" s="21"/>
      <c r="AB795" s="21"/>
      <c r="AC795" s="21">
        <v>1</v>
      </c>
      <c r="AD795" s="21"/>
      <c r="AE795" s="21"/>
      <c r="AF795" s="21"/>
      <c r="AG795" s="21"/>
      <c r="AH795" s="21"/>
      <c r="AI795" s="21"/>
      <c r="AJ795" s="21"/>
      <c r="AK795" s="21"/>
      <c r="AL795" s="21">
        <v>1</v>
      </c>
      <c r="AM795" s="21"/>
      <c r="AN795" s="21"/>
      <c r="AO795" s="21"/>
      <c r="AP795" s="21"/>
      <c r="AQ795" s="21"/>
      <c r="AR795" s="21"/>
      <c r="AS795" s="21"/>
      <c r="AT795" s="12" t="str">
        <f>HYPERLINK("http://www.openstreetmap.org/?mlat=30.9778&amp;mlon=47.3256&amp;zoom=12#map=12/30.9778/47.3256","Maplink1")</f>
        <v>Maplink1</v>
      </c>
      <c r="AU795" s="12" t="str">
        <f>HYPERLINK("https://www.google.iq/maps/search/+30.9778,47.3256/@30.9778,47.3256,14z?hl=en","Maplink2")</f>
        <v>Maplink2</v>
      </c>
      <c r="AV795" s="12" t="str">
        <f>HYPERLINK("http://www.bing.com/maps/?lvl=14&amp;sty=h&amp;cp=30.9778~47.3256&amp;sp=point.30.9778_47.3256","Maplink3")</f>
        <v>Maplink3</v>
      </c>
    </row>
    <row r="796" spans="1:48" ht="15" customHeight="1" x14ac:dyDescent="0.25">
      <c r="A796" s="19">
        <v>1120</v>
      </c>
      <c r="B796" s="20" t="s">
        <v>12</v>
      </c>
      <c r="C796" s="20" t="s">
        <v>1572</v>
      </c>
      <c r="D796" s="20" t="s">
        <v>1581</v>
      </c>
      <c r="E796" s="20" t="s">
        <v>1582</v>
      </c>
      <c r="F796" s="20">
        <v>30.92813846</v>
      </c>
      <c r="G796" s="20">
        <v>47.290520749999999</v>
      </c>
      <c r="H796" s="22">
        <v>9</v>
      </c>
      <c r="I796" s="22">
        <v>54</v>
      </c>
      <c r="J796" s="21">
        <v>1</v>
      </c>
      <c r="K796" s="21"/>
      <c r="L796" s="21"/>
      <c r="M796" s="21"/>
      <c r="N796" s="21"/>
      <c r="O796" s="21"/>
      <c r="P796" s="21"/>
      <c r="Q796" s="21"/>
      <c r="R796" s="21">
        <v>1</v>
      </c>
      <c r="S796" s="21"/>
      <c r="T796" s="21"/>
      <c r="U796" s="21"/>
      <c r="V796" s="21">
        <v>2</v>
      </c>
      <c r="W796" s="21"/>
      <c r="X796" s="21">
        <v>5</v>
      </c>
      <c r="Y796" s="21"/>
      <c r="Z796" s="21"/>
      <c r="AA796" s="21"/>
      <c r="AB796" s="21"/>
      <c r="AC796" s="21">
        <v>3</v>
      </c>
      <c r="AD796" s="21"/>
      <c r="AE796" s="21"/>
      <c r="AF796" s="21"/>
      <c r="AG796" s="21"/>
      <c r="AH796" s="21">
        <v>6</v>
      </c>
      <c r="AI796" s="21"/>
      <c r="AJ796" s="21"/>
      <c r="AK796" s="21"/>
      <c r="AL796" s="21"/>
      <c r="AM796" s="21"/>
      <c r="AN796" s="21">
        <v>6</v>
      </c>
      <c r="AO796" s="21">
        <v>3</v>
      </c>
      <c r="AP796" s="21"/>
      <c r="AQ796" s="21"/>
      <c r="AR796" s="21"/>
      <c r="AS796" s="21"/>
      <c r="AT796" s="12" t="str">
        <f>HYPERLINK("http://www.openstreetmap.org/?mlat=30.9281&amp;mlon=47.2905&amp;zoom=12#map=12/30.9281/47.2905","Maplink1")</f>
        <v>Maplink1</v>
      </c>
      <c r="AU796" s="12" t="str">
        <f>HYPERLINK("https://www.google.iq/maps/search/+30.9281,47.2905/@30.9281,47.2905,14z?hl=en","Maplink2")</f>
        <v>Maplink2</v>
      </c>
      <c r="AV796" s="12" t="str">
        <f>HYPERLINK("http://www.bing.com/maps/?lvl=14&amp;sty=h&amp;cp=30.9281~47.2905&amp;sp=point.30.9281_47.2905","Maplink3")</f>
        <v>Maplink3</v>
      </c>
    </row>
    <row r="797" spans="1:48" ht="15" customHeight="1" x14ac:dyDescent="0.25">
      <c r="A797" s="19">
        <v>1129</v>
      </c>
      <c r="B797" s="20" t="s">
        <v>12</v>
      </c>
      <c r="C797" s="20" t="s">
        <v>1572</v>
      </c>
      <c r="D797" s="20" t="s">
        <v>1583</v>
      </c>
      <c r="E797" s="20" t="s">
        <v>1584</v>
      </c>
      <c r="F797" s="20">
        <v>30.93216928</v>
      </c>
      <c r="G797" s="20">
        <v>47.277201069999997</v>
      </c>
      <c r="H797" s="22">
        <v>4</v>
      </c>
      <c r="I797" s="22">
        <v>24</v>
      </c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>
        <v>4</v>
      </c>
      <c r="W797" s="21"/>
      <c r="X797" s="21"/>
      <c r="Y797" s="21"/>
      <c r="Z797" s="21"/>
      <c r="AA797" s="21"/>
      <c r="AB797" s="21"/>
      <c r="AC797" s="21">
        <v>2</v>
      </c>
      <c r="AD797" s="21"/>
      <c r="AE797" s="21"/>
      <c r="AF797" s="21"/>
      <c r="AG797" s="21"/>
      <c r="AH797" s="21">
        <v>2</v>
      </c>
      <c r="AI797" s="21"/>
      <c r="AJ797" s="21"/>
      <c r="AK797" s="21"/>
      <c r="AL797" s="21"/>
      <c r="AM797" s="21"/>
      <c r="AN797" s="21">
        <v>1</v>
      </c>
      <c r="AO797" s="21"/>
      <c r="AP797" s="21">
        <v>2</v>
      </c>
      <c r="AQ797" s="21">
        <v>1</v>
      </c>
      <c r="AR797" s="21"/>
      <c r="AS797" s="21"/>
      <c r="AT797" s="12" t="str">
        <f>HYPERLINK("http://www.openstreetmap.org/?mlat=30.9322&amp;mlon=47.2772&amp;zoom=12#map=12/30.9322/47.2772","Maplink1")</f>
        <v>Maplink1</v>
      </c>
      <c r="AU797" s="12" t="str">
        <f>HYPERLINK("https://www.google.iq/maps/search/+30.9322,47.2772/@30.9322,47.2772,14z?hl=en","Maplink2")</f>
        <v>Maplink2</v>
      </c>
      <c r="AV797" s="12" t="str">
        <f>HYPERLINK("http://www.bing.com/maps/?lvl=14&amp;sty=h&amp;cp=30.9322~47.2772&amp;sp=point.30.9322_47.2772","Maplink3")</f>
        <v>Maplink3</v>
      </c>
    </row>
    <row r="798" spans="1:48" ht="15" customHeight="1" x14ac:dyDescent="0.25">
      <c r="A798" s="19">
        <v>354</v>
      </c>
      <c r="B798" s="20" t="s">
        <v>12</v>
      </c>
      <c r="C798" s="20" t="s">
        <v>1572</v>
      </c>
      <c r="D798" s="20" t="s">
        <v>1585</v>
      </c>
      <c r="E798" s="20" t="s">
        <v>1586</v>
      </c>
      <c r="F798" s="20">
        <v>30.934057887600002</v>
      </c>
      <c r="G798" s="20">
        <v>47.261455245299999</v>
      </c>
      <c r="H798" s="22">
        <v>1</v>
      </c>
      <c r="I798" s="22">
        <v>6</v>
      </c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>
        <v>1</v>
      </c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>
        <v>1</v>
      </c>
      <c r="AI798" s="21"/>
      <c r="AJ798" s="21"/>
      <c r="AK798" s="21"/>
      <c r="AL798" s="21"/>
      <c r="AM798" s="21">
        <v>1</v>
      </c>
      <c r="AN798" s="21"/>
      <c r="AO798" s="21"/>
      <c r="AP798" s="21"/>
      <c r="AQ798" s="21"/>
      <c r="AR798" s="21"/>
      <c r="AS798" s="21"/>
      <c r="AT798" s="12" t="str">
        <f>HYPERLINK("http://www.openstreetmap.org/?mlat=30.9341&amp;mlon=47.2615&amp;zoom=12#map=12/30.9341/47.2615","Maplink1")</f>
        <v>Maplink1</v>
      </c>
      <c r="AU798" s="12" t="str">
        <f>HYPERLINK("https://www.google.iq/maps/search/+30.9341,47.2615/@30.9341,47.2615,14z?hl=en","Maplink2")</f>
        <v>Maplink2</v>
      </c>
      <c r="AV798" s="12" t="str">
        <f>HYPERLINK("http://www.bing.com/maps/?lvl=14&amp;sty=h&amp;cp=30.9341~47.2615&amp;sp=point.30.9341_47.2615","Maplink3")</f>
        <v>Maplink3</v>
      </c>
    </row>
    <row r="799" spans="1:48" ht="15" customHeight="1" x14ac:dyDescent="0.25">
      <c r="A799" s="19">
        <v>491</v>
      </c>
      <c r="B799" s="20" t="s">
        <v>12</v>
      </c>
      <c r="C799" s="20" t="s">
        <v>1572</v>
      </c>
      <c r="D799" s="20" t="s">
        <v>1587</v>
      </c>
      <c r="E799" s="20" t="s">
        <v>1588</v>
      </c>
      <c r="F799" s="20">
        <v>31.001091989999999</v>
      </c>
      <c r="G799" s="20">
        <v>47.262242890000003</v>
      </c>
      <c r="H799" s="22">
        <v>7</v>
      </c>
      <c r="I799" s="22">
        <v>42</v>
      </c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>
        <v>7</v>
      </c>
      <c r="Y799" s="21"/>
      <c r="Z799" s="21"/>
      <c r="AA799" s="21"/>
      <c r="AB799" s="21"/>
      <c r="AC799" s="21"/>
      <c r="AD799" s="21"/>
      <c r="AE799" s="21"/>
      <c r="AF799" s="21"/>
      <c r="AG799" s="21"/>
      <c r="AH799" s="21">
        <v>7</v>
      </c>
      <c r="AI799" s="21"/>
      <c r="AJ799" s="21"/>
      <c r="AK799" s="21"/>
      <c r="AL799" s="21"/>
      <c r="AM799" s="21"/>
      <c r="AN799" s="21">
        <v>5</v>
      </c>
      <c r="AO799" s="21">
        <v>2</v>
      </c>
      <c r="AP799" s="21"/>
      <c r="AQ799" s="21"/>
      <c r="AR799" s="21"/>
      <c r="AS799" s="21"/>
      <c r="AT799" s="12" t="str">
        <f>HYPERLINK("http://www.openstreetmap.org/?mlat=31.0011&amp;mlon=47.2622&amp;zoom=12#map=12/31.0011/47.2622","Maplink1")</f>
        <v>Maplink1</v>
      </c>
      <c r="AU799" s="12" t="str">
        <f>HYPERLINK("https://www.google.iq/maps/search/+31.0011,47.2622/@31.0011,47.2622,14z?hl=en","Maplink2")</f>
        <v>Maplink2</v>
      </c>
      <c r="AV799" s="12" t="str">
        <f>HYPERLINK("http://www.bing.com/maps/?lvl=14&amp;sty=h&amp;cp=31.0011~47.2622&amp;sp=point.31.0011_47.2622","Maplink3")</f>
        <v>Maplink3</v>
      </c>
    </row>
    <row r="800" spans="1:48" ht="15" customHeight="1" x14ac:dyDescent="0.25">
      <c r="A800" s="19">
        <v>25014</v>
      </c>
      <c r="B800" s="20" t="s">
        <v>12</v>
      </c>
      <c r="C800" s="20" t="s">
        <v>1589</v>
      </c>
      <c r="D800" s="20" t="s">
        <v>1590</v>
      </c>
      <c r="E800" s="20" t="s">
        <v>1591</v>
      </c>
      <c r="F800" s="20">
        <v>30.799649630000001</v>
      </c>
      <c r="G800" s="20">
        <v>47.576704909999997</v>
      </c>
      <c r="H800" s="22">
        <v>1</v>
      </c>
      <c r="I800" s="22">
        <v>6</v>
      </c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>
        <v>1</v>
      </c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>
        <v>1</v>
      </c>
      <c r="AI800" s="21"/>
      <c r="AJ800" s="21"/>
      <c r="AK800" s="21"/>
      <c r="AL800" s="21"/>
      <c r="AM800" s="21"/>
      <c r="AN800" s="21"/>
      <c r="AO800" s="21"/>
      <c r="AP800" s="21">
        <v>1</v>
      </c>
      <c r="AQ800" s="21"/>
      <c r="AR800" s="21"/>
      <c r="AS800" s="21"/>
      <c r="AT800" s="12" t="str">
        <f>HYPERLINK("http://www.openstreetmap.org/?mlat=30.7996&amp;mlon=47.5767&amp;zoom=12#map=12/30.7996/47.5767","Maplink1")</f>
        <v>Maplink1</v>
      </c>
      <c r="AU800" s="12" t="str">
        <f>HYPERLINK("https://www.google.iq/maps/search/+30.7996,47.5767/@30.7996,47.5767,14z?hl=en","Maplink2")</f>
        <v>Maplink2</v>
      </c>
      <c r="AV800" s="12" t="str">
        <f>HYPERLINK("http://www.bing.com/maps/?lvl=14&amp;sty=h&amp;cp=30.7996~47.5767&amp;sp=point.30.7996_47.5767","Maplink3")</f>
        <v>Maplink3</v>
      </c>
    </row>
    <row r="801" spans="1:48" ht="15" customHeight="1" x14ac:dyDescent="0.25">
      <c r="A801" s="19">
        <v>29577</v>
      </c>
      <c r="B801" s="20" t="s">
        <v>12</v>
      </c>
      <c r="C801" s="20" t="s">
        <v>1589</v>
      </c>
      <c r="D801" s="20" t="s">
        <v>1592</v>
      </c>
      <c r="E801" s="20" t="s">
        <v>1593</v>
      </c>
      <c r="F801" s="20">
        <v>30.8300235076</v>
      </c>
      <c r="G801" s="20">
        <v>47.552376268400003</v>
      </c>
      <c r="H801" s="22">
        <v>1</v>
      </c>
      <c r="I801" s="22">
        <v>6</v>
      </c>
      <c r="J801" s="21"/>
      <c r="K801" s="21"/>
      <c r="L801" s="21"/>
      <c r="M801" s="21"/>
      <c r="N801" s="21"/>
      <c r="O801" s="21">
        <v>1</v>
      </c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>
        <v>1</v>
      </c>
      <c r="AI801" s="21"/>
      <c r="AJ801" s="21"/>
      <c r="AK801" s="21"/>
      <c r="AL801" s="21"/>
      <c r="AM801" s="21"/>
      <c r="AN801" s="21">
        <v>1</v>
      </c>
      <c r="AO801" s="21"/>
      <c r="AP801" s="21"/>
      <c r="AQ801" s="21"/>
      <c r="AR801" s="21"/>
      <c r="AS801" s="21"/>
      <c r="AT801" s="12" t="str">
        <f>HYPERLINK("http://www.openstreetmap.org/?mlat=30.83&amp;mlon=47.5524&amp;zoom=12#map=12/30.83/47.5524","Maplink1")</f>
        <v>Maplink1</v>
      </c>
      <c r="AU801" s="12" t="str">
        <f>HYPERLINK("https://www.google.iq/maps/search/+30.83,47.5524/@30.83,47.5524,14z?hl=en","Maplink2")</f>
        <v>Maplink2</v>
      </c>
      <c r="AV801" s="12" t="str">
        <f>HYPERLINK("http://www.bing.com/maps/?lvl=14&amp;sty=h&amp;cp=30.83~47.5524&amp;sp=point.30.83_47.5524","Maplink3")</f>
        <v>Maplink3</v>
      </c>
    </row>
    <row r="802" spans="1:48" ht="15" customHeight="1" x14ac:dyDescent="0.25">
      <c r="A802" s="19">
        <v>28406</v>
      </c>
      <c r="B802" s="20" t="s">
        <v>12</v>
      </c>
      <c r="C802" s="20" t="s">
        <v>1589</v>
      </c>
      <c r="D802" s="20" t="s">
        <v>1594</v>
      </c>
      <c r="E802" s="20" t="s">
        <v>1595</v>
      </c>
      <c r="F802" s="20">
        <v>30.720199034499998</v>
      </c>
      <c r="G802" s="20">
        <v>47.7173077315</v>
      </c>
      <c r="H802" s="22">
        <v>6</v>
      </c>
      <c r="I802" s="22">
        <v>36</v>
      </c>
      <c r="J802" s="21">
        <v>2</v>
      </c>
      <c r="K802" s="21"/>
      <c r="L802" s="21"/>
      <c r="M802" s="21"/>
      <c r="N802" s="21"/>
      <c r="O802" s="21"/>
      <c r="P802" s="21"/>
      <c r="Q802" s="21"/>
      <c r="R802" s="21">
        <v>2</v>
      </c>
      <c r="S802" s="21"/>
      <c r="T802" s="21"/>
      <c r="U802" s="21"/>
      <c r="V802" s="21">
        <v>1</v>
      </c>
      <c r="W802" s="21"/>
      <c r="X802" s="21">
        <v>1</v>
      </c>
      <c r="Y802" s="21"/>
      <c r="Z802" s="21"/>
      <c r="AA802" s="21"/>
      <c r="AB802" s="21"/>
      <c r="AC802" s="21">
        <v>2</v>
      </c>
      <c r="AD802" s="21"/>
      <c r="AE802" s="21"/>
      <c r="AF802" s="21"/>
      <c r="AG802" s="21"/>
      <c r="AH802" s="21">
        <v>4</v>
      </c>
      <c r="AI802" s="21"/>
      <c r="AJ802" s="21"/>
      <c r="AK802" s="21"/>
      <c r="AL802" s="21"/>
      <c r="AM802" s="21"/>
      <c r="AN802" s="21">
        <v>4</v>
      </c>
      <c r="AO802" s="21">
        <v>1</v>
      </c>
      <c r="AP802" s="21">
        <v>1</v>
      </c>
      <c r="AQ802" s="21"/>
      <c r="AR802" s="21"/>
      <c r="AS802" s="21"/>
      <c r="AT802" s="12" t="str">
        <f>HYPERLINK("http://www.openstreetmap.org/?mlat=30.7202&amp;mlon=47.7173&amp;zoom=12#map=12/30.7202/47.7173","Maplink1")</f>
        <v>Maplink1</v>
      </c>
      <c r="AU802" s="12" t="str">
        <f>HYPERLINK("https://www.google.iq/maps/search/+30.7202,47.7173/@30.7202,47.7173,14z?hl=en","Maplink2")</f>
        <v>Maplink2</v>
      </c>
      <c r="AV802" s="12" t="str">
        <f>HYPERLINK("http://www.bing.com/maps/?lvl=14&amp;sty=h&amp;cp=30.7202~47.7173&amp;sp=point.30.7202_47.7173","Maplink3")</f>
        <v>Maplink3</v>
      </c>
    </row>
    <row r="803" spans="1:48" ht="15" customHeight="1" x14ac:dyDescent="0.25">
      <c r="A803" s="19">
        <v>25012</v>
      </c>
      <c r="B803" s="20" t="s">
        <v>12</v>
      </c>
      <c r="C803" s="20" t="s">
        <v>1589</v>
      </c>
      <c r="D803" s="20" t="s">
        <v>1596</v>
      </c>
      <c r="E803" s="20" t="s">
        <v>1597</v>
      </c>
      <c r="F803" s="20">
        <v>30.978040119999999</v>
      </c>
      <c r="G803" s="20">
        <v>47.449913789999997</v>
      </c>
      <c r="H803" s="22">
        <v>11</v>
      </c>
      <c r="I803" s="22">
        <v>66</v>
      </c>
      <c r="J803" s="21">
        <v>1</v>
      </c>
      <c r="K803" s="21"/>
      <c r="L803" s="21"/>
      <c r="M803" s="21"/>
      <c r="N803" s="21"/>
      <c r="O803" s="21"/>
      <c r="P803" s="21"/>
      <c r="Q803" s="21"/>
      <c r="R803" s="21">
        <v>4</v>
      </c>
      <c r="S803" s="21"/>
      <c r="T803" s="21"/>
      <c r="U803" s="21"/>
      <c r="V803" s="21">
        <v>1</v>
      </c>
      <c r="W803" s="21"/>
      <c r="X803" s="21">
        <v>5</v>
      </c>
      <c r="Y803" s="21"/>
      <c r="Z803" s="21"/>
      <c r="AA803" s="21"/>
      <c r="AB803" s="21"/>
      <c r="AC803" s="21">
        <v>4</v>
      </c>
      <c r="AD803" s="21"/>
      <c r="AE803" s="21"/>
      <c r="AF803" s="21"/>
      <c r="AG803" s="21"/>
      <c r="AH803" s="21">
        <v>7</v>
      </c>
      <c r="AI803" s="21"/>
      <c r="AJ803" s="21"/>
      <c r="AK803" s="21"/>
      <c r="AL803" s="21">
        <v>1</v>
      </c>
      <c r="AM803" s="21">
        <v>1</v>
      </c>
      <c r="AN803" s="21">
        <v>4</v>
      </c>
      <c r="AO803" s="21">
        <v>3</v>
      </c>
      <c r="AP803" s="21">
        <v>2</v>
      </c>
      <c r="AQ803" s="21"/>
      <c r="AR803" s="21"/>
      <c r="AS803" s="21"/>
      <c r="AT803" s="12" t="str">
        <f>HYPERLINK("http://www.openstreetmap.org/?mlat=30.978&amp;mlon=47.4499&amp;zoom=12#map=12/30.978/47.4499","Maplink1")</f>
        <v>Maplink1</v>
      </c>
      <c r="AU803" s="12" t="str">
        <f>HYPERLINK("https://www.google.iq/maps/search/+30.978,47.4499/@30.978,47.4499,14z?hl=en","Maplink2")</f>
        <v>Maplink2</v>
      </c>
      <c r="AV803" s="12" t="str">
        <f>HYPERLINK("http://www.bing.com/maps/?lvl=14&amp;sty=h&amp;cp=30.978~47.4499&amp;sp=point.30.978_47.4499","Maplink3")</f>
        <v>Maplink3</v>
      </c>
    </row>
    <row r="804" spans="1:48" ht="15" customHeight="1" x14ac:dyDescent="0.25">
      <c r="A804" s="19">
        <v>28407</v>
      </c>
      <c r="B804" s="20" t="s">
        <v>12</v>
      </c>
      <c r="C804" s="20" t="s">
        <v>1589</v>
      </c>
      <c r="D804" s="20" t="s">
        <v>1598</v>
      </c>
      <c r="E804" s="20" t="s">
        <v>1599</v>
      </c>
      <c r="F804" s="20">
        <v>30.961422664099999</v>
      </c>
      <c r="G804" s="20">
        <v>47.456125868500003</v>
      </c>
      <c r="H804" s="22">
        <v>6</v>
      </c>
      <c r="I804" s="22">
        <v>36</v>
      </c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>
        <v>1</v>
      </c>
      <c r="W804" s="21"/>
      <c r="X804" s="21">
        <v>5</v>
      </c>
      <c r="Y804" s="21"/>
      <c r="Z804" s="21"/>
      <c r="AA804" s="21"/>
      <c r="AB804" s="21"/>
      <c r="AC804" s="21">
        <v>1</v>
      </c>
      <c r="AD804" s="21"/>
      <c r="AE804" s="21"/>
      <c r="AF804" s="21"/>
      <c r="AG804" s="21"/>
      <c r="AH804" s="21">
        <v>5</v>
      </c>
      <c r="AI804" s="21"/>
      <c r="AJ804" s="21"/>
      <c r="AK804" s="21"/>
      <c r="AL804" s="21"/>
      <c r="AM804" s="21">
        <v>1</v>
      </c>
      <c r="AN804" s="21">
        <v>2</v>
      </c>
      <c r="AO804" s="21">
        <v>3</v>
      </c>
      <c r="AP804" s="21"/>
      <c r="AQ804" s="21"/>
      <c r="AR804" s="21"/>
      <c r="AS804" s="21"/>
      <c r="AT804" s="12" t="str">
        <f>HYPERLINK("http://www.openstreetmap.org/?mlat=30.9614&amp;mlon=47.4561&amp;zoom=12#map=12/30.9614/47.4561","Maplink1")</f>
        <v>Maplink1</v>
      </c>
      <c r="AU804" s="12" t="str">
        <f>HYPERLINK("https://www.google.iq/maps/search/+30.9614,47.4561/@30.9614,47.4561,14z?hl=en","Maplink2")</f>
        <v>Maplink2</v>
      </c>
      <c r="AV804" s="12" t="str">
        <f>HYPERLINK("http://www.bing.com/maps/?lvl=14&amp;sty=h&amp;cp=30.9614~47.4561&amp;sp=point.30.9614_47.4561","Maplink3")</f>
        <v>Maplink3</v>
      </c>
    </row>
    <row r="805" spans="1:48" ht="15" customHeight="1" x14ac:dyDescent="0.25">
      <c r="A805" s="19">
        <v>1251</v>
      </c>
      <c r="B805" s="20" t="s">
        <v>12</v>
      </c>
      <c r="C805" s="20" t="s">
        <v>1589</v>
      </c>
      <c r="D805" s="20" t="s">
        <v>1600</v>
      </c>
      <c r="E805" s="20" t="s">
        <v>1601</v>
      </c>
      <c r="F805" s="20">
        <v>31.101516490000002</v>
      </c>
      <c r="G805" s="20">
        <v>47.425041329999999</v>
      </c>
      <c r="H805" s="22">
        <v>4</v>
      </c>
      <c r="I805" s="22">
        <v>24</v>
      </c>
      <c r="J805" s="21"/>
      <c r="K805" s="21">
        <v>4</v>
      </c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>
        <v>4</v>
      </c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>
        <v>4</v>
      </c>
      <c r="AO805" s="21"/>
      <c r="AP805" s="21"/>
      <c r="AQ805" s="21"/>
      <c r="AR805" s="21"/>
      <c r="AS805" s="21"/>
      <c r="AT805" s="12" t="str">
        <f>HYPERLINK("http://www.openstreetmap.org/?mlat=31.1015&amp;mlon=47.425&amp;zoom=12#map=12/31.1015/47.425","Maplink1")</f>
        <v>Maplink1</v>
      </c>
      <c r="AU805" s="12" t="str">
        <f>HYPERLINK("https://www.google.iq/maps/search/+31.1015,47.425/@31.1015,47.425,14z?hl=en","Maplink2")</f>
        <v>Maplink2</v>
      </c>
      <c r="AV805" s="12" t="str">
        <f>HYPERLINK("http://www.bing.com/maps/?lvl=14&amp;sty=h&amp;cp=31.1015~47.425&amp;sp=point.31.1015_47.425","Maplink3")</f>
        <v>Maplink3</v>
      </c>
    </row>
    <row r="806" spans="1:48" ht="15" customHeight="1" x14ac:dyDescent="0.25">
      <c r="A806" s="19">
        <v>25013</v>
      </c>
      <c r="B806" s="20" t="s">
        <v>12</v>
      </c>
      <c r="C806" s="20" t="s">
        <v>1589</v>
      </c>
      <c r="D806" s="20" t="s">
        <v>1602</v>
      </c>
      <c r="E806" s="20" t="s">
        <v>1603</v>
      </c>
      <c r="F806" s="20">
        <v>30.796793829999999</v>
      </c>
      <c r="G806" s="20">
        <v>47.577728929999999</v>
      </c>
      <c r="H806" s="22">
        <v>1</v>
      </c>
      <c r="I806" s="22">
        <v>6</v>
      </c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>
        <v>1</v>
      </c>
      <c r="W806" s="21"/>
      <c r="X806" s="21"/>
      <c r="Y806" s="21"/>
      <c r="Z806" s="21"/>
      <c r="AA806" s="21"/>
      <c r="AB806" s="21"/>
      <c r="AC806" s="21">
        <v>1</v>
      </c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>
        <v>1</v>
      </c>
      <c r="AP806" s="21"/>
      <c r="AQ806" s="21"/>
      <c r="AR806" s="21"/>
      <c r="AS806" s="21"/>
      <c r="AT806" s="12" t="str">
        <f>HYPERLINK("http://www.openstreetmap.org/?mlat=30.7968&amp;mlon=47.5777&amp;zoom=12#map=12/30.7968/47.5777","Maplink1")</f>
        <v>Maplink1</v>
      </c>
      <c r="AU806" s="12" t="str">
        <f>HYPERLINK("https://www.google.iq/maps/search/+30.7968,47.5777/@30.7968,47.5777,14z?hl=en","Maplink2")</f>
        <v>Maplink2</v>
      </c>
      <c r="AV806" s="12" t="str">
        <f>HYPERLINK("http://www.bing.com/maps/?lvl=14&amp;sty=h&amp;cp=30.7968~47.5777&amp;sp=point.30.7968_47.5777","Maplink3")</f>
        <v>Maplink3</v>
      </c>
    </row>
    <row r="807" spans="1:48" ht="15" customHeight="1" x14ac:dyDescent="0.25">
      <c r="A807" s="19">
        <v>1239</v>
      </c>
      <c r="B807" s="20" t="s">
        <v>12</v>
      </c>
      <c r="C807" s="20" t="s">
        <v>1589</v>
      </c>
      <c r="D807" s="20" t="s">
        <v>1604</v>
      </c>
      <c r="E807" s="20" t="s">
        <v>1605</v>
      </c>
      <c r="F807" s="20">
        <v>31.014352832</v>
      </c>
      <c r="G807" s="20">
        <v>47.4475333281</v>
      </c>
      <c r="H807" s="22">
        <v>2</v>
      </c>
      <c r="I807" s="22">
        <v>12</v>
      </c>
      <c r="J807" s="21"/>
      <c r="K807" s="21"/>
      <c r="L807" s="21"/>
      <c r="M807" s="21"/>
      <c r="N807" s="21"/>
      <c r="O807" s="21"/>
      <c r="P807" s="21"/>
      <c r="Q807" s="21"/>
      <c r="R807" s="21">
        <v>1</v>
      </c>
      <c r="S807" s="21"/>
      <c r="T807" s="21"/>
      <c r="U807" s="21"/>
      <c r="V807" s="21"/>
      <c r="W807" s="21"/>
      <c r="X807" s="21">
        <v>1</v>
      </c>
      <c r="Y807" s="21"/>
      <c r="Z807" s="21"/>
      <c r="AA807" s="21"/>
      <c r="AB807" s="21"/>
      <c r="AC807" s="21">
        <v>2</v>
      </c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>
        <v>1</v>
      </c>
      <c r="AO807" s="21">
        <v>1</v>
      </c>
      <c r="AP807" s="21"/>
      <c r="AQ807" s="21"/>
      <c r="AR807" s="21"/>
      <c r="AS807" s="21"/>
      <c r="AT807" s="12" t="str">
        <f>HYPERLINK("http://www.openstreetmap.org/?mlat=31.0144&amp;mlon=47.4475&amp;zoom=12#map=12/31.0144/47.4475","Maplink1")</f>
        <v>Maplink1</v>
      </c>
      <c r="AU807" s="12" t="str">
        <f>HYPERLINK("https://www.google.iq/maps/search/+31.0144,47.4475/@31.0144,47.4475,14z?hl=en","Maplink2")</f>
        <v>Maplink2</v>
      </c>
      <c r="AV807" s="12" t="str">
        <f>HYPERLINK("http://www.bing.com/maps/?lvl=14&amp;sty=h&amp;cp=31.0144~47.4475&amp;sp=point.31.0144_47.4475","Maplink3")</f>
        <v>Maplink3</v>
      </c>
    </row>
    <row r="808" spans="1:48" ht="15" customHeight="1" x14ac:dyDescent="0.25">
      <c r="A808" s="19">
        <v>1241</v>
      </c>
      <c r="B808" s="20" t="s">
        <v>12</v>
      </c>
      <c r="C808" s="20" t="s">
        <v>1589</v>
      </c>
      <c r="D808" s="20" t="s">
        <v>1606</v>
      </c>
      <c r="E808" s="20" t="s">
        <v>1607</v>
      </c>
      <c r="F808" s="20">
        <v>31.019879150000001</v>
      </c>
      <c r="G808" s="20">
        <v>47.431932009999997</v>
      </c>
      <c r="H808" s="22">
        <v>5</v>
      </c>
      <c r="I808" s="22">
        <v>30</v>
      </c>
      <c r="J808" s="21"/>
      <c r="K808" s="21"/>
      <c r="L808" s="21"/>
      <c r="M808" s="21"/>
      <c r="N808" s="21"/>
      <c r="O808" s="21"/>
      <c r="P808" s="21"/>
      <c r="Q808" s="21"/>
      <c r="R808" s="21">
        <v>4</v>
      </c>
      <c r="S808" s="21"/>
      <c r="T808" s="21"/>
      <c r="U808" s="21"/>
      <c r="V808" s="21">
        <v>1</v>
      </c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>
        <v>5</v>
      </c>
      <c r="AI808" s="21"/>
      <c r="AJ808" s="21"/>
      <c r="AK808" s="21"/>
      <c r="AL808" s="21"/>
      <c r="AM808" s="21"/>
      <c r="AN808" s="21">
        <v>3</v>
      </c>
      <c r="AO808" s="21">
        <v>2</v>
      </c>
      <c r="AP808" s="21"/>
      <c r="AQ808" s="21"/>
      <c r="AR808" s="21"/>
      <c r="AS808" s="21"/>
      <c r="AT808" s="12" t="str">
        <f>HYPERLINK("http://www.openstreetmap.org/?mlat=31.0199&amp;mlon=47.4319&amp;zoom=12#map=12/31.0199/47.4319","Maplink1")</f>
        <v>Maplink1</v>
      </c>
      <c r="AU808" s="12" t="str">
        <f>HYPERLINK("https://www.google.iq/maps/search/+31.0199,47.4319/@31.0199,47.4319,14z?hl=en","Maplink2")</f>
        <v>Maplink2</v>
      </c>
      <c r="AV808" s="12" t="str">
        <f>HYPERLINK("http://www.bing.com/maps/?lvl=14&amp;sty=h&amp;cp=31.0199~47.4319&amp;sp=point.31.0199_47.4319","Maplink3")</f>
        <v>Maplink3</v>
      </c>
    </row>
    <row r="809" spans="1:48" ht="15" customHeight="1" x14ac:dyDescent="0.25">
      <c r="A809" s="19">
        <v>1236</v>
      </c>
      <c r="B809" s="20" t="s">
        <v>12</v>
      </c>
      <c r="C809" s="20" t="s">
        <v>1589</v>
      </c>
      <c r="D809" s="20" t="s">
        <v>1608</v>
      </c>
      <c r="E809" s="20" t="s">
        <v>1609</v>
      </c>
      <c r="F809" s="20">
        <v>31.01168462</v>
      </c>
      <c r="G809" s="20">
        <v>47.425789160000001</v>
      </c>
      <c r="H809" s="22">
        <v>1</v>
      </c>
      <c r="I809" s="22">
        <v>6</v>
      </c>
      <c r="J809" s="21">
        <v>1</v>
      </c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>
        <v>1</v>
      </c>
      <c r="AI809" s="21"/>
      <c r="AJ809" s="21"/>
      <c r="AK809" s="21"/>
      <c r="AL809" s="21"/>
      <c r="AM809" s="21"/>
      <c r="AN809" s="21"/>
      <c r="AO809" s="21">
        <v>1</v>
      </c>
      <c r="AP809" s="21"/>
      <c r="AQ809" s="21"/>
      <c r="AR809" s="21"/>
      <c r="AS809" s="21"/>
      <c r="AT809" s="12" t="str">
        <f>HYPERLINK("http://www.openstreetmap.org/?mlat=31.0117&amp;mlon=47.4258&amp;zoom=12#map=12/31.0117/47.4258","Maplink1")</f>
        <v>Maplink1</v>
      </c>
      <c r="AU809" s="12" t="str">
        <f>HYPERLINK("https://www.google.iq/maps/search/+31.0117,47.4258/@31.0117,47.4258,14z?hl=en","Maplink2")</f>
        <v>Maplink2</v>
      </c>
      <c r="AV809" s="12" t="str">
        <f>HYPERLINK("http://www.bing.com/maps/?lvl=14&amp;sty=h&amp;cp=31.0117~47.4258&amp;sp=point.31.0117_47.4258","Maplink3")</f>
        <v>Maplink3</v>
      </c>
    </row>
    <row r="810" spans="1:48" ht="15" customHeight="1" x14ac:dyDescent="0.25">
      <c r="A810" s="19">
        <v>1110</v>
      </c>
      <c r="B810" s="20" t="s">
        <v>12</v>
      </c>
      <c r="C810" s="20" t="s">
        <v>1589</v>
      </c>
      <c r="D810" s="20" t="s">
        <v>1610</v>
      </c>
      <c r="E810" s="20" t="s">
        <v>1611</v>
      </c>
      <c r="F810" s="20">
        <v>30.8843546268</v>
      </c>
      <c r="G810" s="20">
        <v>47.516053877799997</v>
      </c>
      <c r="H810" s="22">
        <v>1</v>
      </c>
      <c r="I810" s="22">
        <v>6</v>
      </c>
      <c r="J810" s="21"/>
      <c r="K810" s="21"/>
      <c r="L810" s="21"/>
      <c r="M810" s="21"/>
      <c r="N810" s="21"/>
      <c r="O810" s="21"/>
      <c r="P810" s="21"/>
      <c r="Q810" s="21"/>
      <c r="R810" s="21">
        <v>1</v>
      </c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>
        <v>1</v>
      </c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>
        <v>1</v>
      </c>
      <c r="AP810" s="21"/>
      <c r="AQ810" s="21"/>
      <c r="AR810" s="21"/>
      <c r="AS810" s="21"/>
      <c r="AT810" s="12" t="str">
        <f>HYPERLINK("http://www.openstreetmap.org/?mlat=30.8844&amp;mlon=47.5161&amp;zoom=12#map=12/30.8844/47.5161","Maplink1")</f>
        <v>Maplink1</v>
      </c>
      <c r="AU810" s="12" t="str">
        <f>HYPERLINK("https://www.google.iq/maps/search/+30.8844,47.5161/@30.8844,47.5161,14z?hl=en","Maplink2")</f>
        <v>Maplink2</v>
      </c>
      <c r="AV810" s="12" t="str">
        <f>HYPERLINK("http://www.bing.com/maps/?lvl=14&amp;sty=h&amp;cp=30.8844~47.5161&amp;sp=point.30.8844_47.5161","Maplink3")</f>
        <v>Maplink3</v>
      </c>
    </row>
    <row r="811" spans="1:48" ht="15" customHeight="1" x14ac:dyDescent="0.25">
      <c r="A811" s="19">
        <v>1240</v>
      </c>
      <c r="B811" s="20" t="s">
        <v>12</v>
      </c>
      <c r="C811" s="20" t="s">
        <v>1589</v>
      </c>
      <c r="D811" s="20" t="s">
        <v>1612</v>
      </c>
      <c r="E811" s="20" t="s">
        <v>1613</v>
      </c>
      <c r="F811" s="20">
        <v>31.01713646</v>
      </c>
      <c r="G811" s="20">
        <v>47.421039810000003</v>
      </c>
      <c r="H811" s="22">
        <v>9</v>
      </c>
      <c r="I811" s="22">
        <v>54</v>
      </c>
      <c r="J811" s="21">
        <v>2</v>
      </c>
      <c r="K811" s="21"/>
      <c r="L811" s="21"/>
      <c r="M811" s="21"/>
      <c r="N811" s="21"/>
      <c r="O811" s="21"/>
      <c r="P811" s="21"/>
      <c r="Q811" s="21"/>
      <c r="R811" s="21">
        <v>2</v>
      </c>
      <c r="S811" s="21"/>
      <c r="T811" s="21"/>
      <c r="U811" s="21"/>
      <c r="V811" s="21">
        <v>4</v>
      </c>
      <c r="W811" s="21"/>
      <c r="X811" s="21">
        <v>1</v>
      </c>
      <c r="Y811" s="21"/>
      <c r="Z811" s="21"/>
      <c r="AA811" s="21"/>
      <c r="AB811" s="21"/>
      <c r="AC811" s="21">
        <v>3</v>
      </c>
      <c r="AD811" s="21"/>
      <c r="AE811" s="21"/>
      <c r="AF811" s="21"/>
      <c r="AG811" s="21"/>
      <c r="AH811" s="21">
        <v>6</v>
      </c>
      <c r="AI811" s="21"/>
      <c r="AJ811" s="21"/>
      <c r="AK811" s="21"/>
      <c r="AL811" s="21">
        <v>1</v>
      </c>
      <c r="AM811" s="21">
        <v>2</v>
      </c>
      <c r="AN811" s="21">
        <v>4</v>
      </c>
      <c r="AO811" s="21">
        <v>1</v>
      </c>
      <c r="AP811" s="21">
        <v>1</v>
      </c>
      <c r="AQ811" s="21"/>
      <c r="AR811" s="21"/>
      <c r="AS811" s="21"/>
      <c r="AT811" s="12" t="str">
        <f>HYPERLINK("http://www.openstreetmap.org/?mlat=31.0171&amp;mlon=47.421&amp;zoom=12#map=12/31.0171/47.421","Maplink1")</f>
        <v>Maplink1</v>
      </c>
      <c r="AU811" s="12" t="str">
        <f>HYPERLINK("https://www.google.iq/maps/search/+31.0171,47.421/@31.0171,47.421,14z?hl=en","Maplink2")</f>
        <v>Maplink2</v>
      </c>
      <c r="AV811" s="12" t="str">
        <f>HYPERLINK("http://www.bing.com/maps/?lvl=14&amp;sty=h&amp;cp=31.0171~47.421&amp;sp=point.31.0171_47.421","Maplink3")</f>
        <v>Maplink3</v>
      </c>
    </row>
    <row r="812" spans="1:48" ht="15" customHeight="1" x14ac:dyDescent="0.25">
      <c r="A812" s="19">
        <v>25224</v>
      </c>
      <c r="B812" s="20" t="s">
        <v>12</v>
      </c>
      <c r="C812" s="20" t="s">
        <v>1589</v>
      </c>
      <c r="D812" s="20" t="s">
        <v>1614</v>
      </c>
      <c r="E812" s="20" t="s">
        <v>1405</v>
      </c>
      <c r="F812" s="20">
        <v>30.7942</v>
      </c>
      <c r="G812" s="20">
        <v>47.578200000000002</v>
      </c>
      <c r="H812" s="22">
        <v>1</v>
      </c>
      <c r="I812" s="22">
        <v>6</v>
      </c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>
        <v>1</v>
      </c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>
        <v>1</v>
      </c>
      <c r="AI812" s="21"/>
      <c r="AJ812" s="21"/>
      <c r="AK812" s="21"/>
      <c r="AL812" s="21"/>
      <c r="AM812" s="21"/>
      <c r="AN812" s="21"/>
      <c r="AO812" s="21">
        <v>1</v>
      </c>
      <c r="AP812" s="21"/>
      <c r="AQ812" s="21"/>
      <c r="AR812" s="21"/>
      <c r="AS812" s="21"/>
      <c r="AT812" s="12" t="str">
        <f>HYPERLINK("http://www.openstreetmap.org/?mlat=30.7942&amp;mlon=47.5782&amp;zoom=12#map=12/30.7942/47.5782","Maplink1")</f>
        <v>Maplink1</v>
      </c>
      <c r="AU812" s="12" t="str">
        <f>HYPERLINK("https://www.google.iq/maps/search/+30.7942,47.5782/@30.7942,47.5782,14z?hl=en","Maplink2")</f>
        <v>Maplink2</v>
      </c>
      <c r="AV812" s="12" t="str">
        <f>HYPERLINK("http://www.bing.com/maps/?lvl=14&amp;sty=h&amp;cp=30.7942~47.5782&amp;sp=point.30.7942_47.5782","Maplink3")</f>
        <v>Maplink3</v>
      </c>
    </row>
    <row r="813" spans="1:48" ht="15" customHeight="1" x14ac:dyDescent="0.25">
      <c r="A813" s="19">
        <v>496</v>
      </c>
      <c r="B813" s="20" t="s">
        <v>12</v>
      </c>
      <c r="C813" s="20" t="s">
        <v>1589</v>
      </c>
      <c r="D813" s="20" t="s">
        <v>1615</v>
      </c>
      <c r="E813" s="20" t="s">
        <v>1616</v>
      </c>
      <c r="F813" s="20">
        <v>30.814967597799999</v>
      </c>
      <c r="G813" s="20">
        <v>47.564520807900003</v>
      </c>
      <c r="H813" s="22">
        <v>2</v>
      </c>
      <c r="I813" s="22">
        <v>12</v>
      </c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>
        <v>2</v>
      </c>
      <c r="W813" s="21"/>
      <c r="X813" s="21"/>
      <c r="Y813" s="21"/>
      <c r="Z813" s="21"/>
      <c r="AA813" s="21"/>
      <c r="AB813" s="21"/>
      <c r="AC813" s="21">
        <v>1</v>
      </c>
      <c r="AD813" s="21"/>
      <c r="AE813" s="21"/>
      <c r="AF813" s="21"/>
      <c r="AG813" s="21"/>
      <c r="AH813" s="21">
        <v>1</v>
      </c>
      <c r="AI813" s="21"/>
      <c r="AJ813" s="21"/>
      <c r="AK813" s="21"/>
      <c r="AL813" s="21"/>
      <c r="AM813" s="21"/>
      <c r="AN813" s="21"/>
      <c r="AO813" s="21">
        <v>2</v>
      </c>
      <c r="AP813" s="21"/>
      <c r="AQ813" s="21"/>
      <c r="AR813" s="21"/>
      <c r="AS813" s="21"/>
      <c r="AT813" s="12" t="str">
        <f>HYPERLINK("http://www.openstreetmap.org/?mlat=30.815&amp;mlon=47.5645&amp;zoom=12#map=12/30.815/47.5645","Maplink1")</f>
        <v>Maplink1</v>
      </c>
      <c r="AU813" s="12" t="str">
        <f>HYPERLINK("https://www.google.iq/maps/search/+30.815,47.5645/@30.815,47.5645,14z?hl=en","Maplink2")</f>
        <v>Maplink2</v>
      </c>
      <c r="AV813" s="12" t="str">
        <f>HYPERLINK("http://www.bing.com/maps/?lvl=14&amp;sty=h&amp;cp=30.815~47.5645&amp;sp=point.30.815_47.5645","Maplink3")</f>
        <v>Maplink3</v>
      </c>
    </row>
    <row r="814" spans="1:48" ht="15" customHeight="1" x14ac:dyDescent="0.25">
      <c r="A814" s="19">
        <v>24279</v>
      </c>
      <c r="B814" s="20" t="s">
        <v>12</v>
      </c>
      <c r="C814" s="20" t="s">
        <v>1617</v>
      </c>
      <c r="D814" s="20" t="s">
        <v>1618</v>
      </c>
      <c r="E814" s="20" t="s">
        <v>1619</v>
      </c>
      <c r="F814" s="20">
        <v>30.345761985500001</v>
      </c>
      <c r="G814" s="20">
        <v>47.756106303999999</v>
      </c>
      <c r="H814" s="22">
        <v>1</v>
      </c>
      <c r="I814" s="22">
        <v>6</v>
      </c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>
        <v>1</v>
      </c>
      <c r="Y814" s="21"/>
      <c r="Z814" s="21"/>
      <c r="AA814" s="21"/>
      <c r="AB814" s="21"/>
      <c r="AC814" s="21"/>
      <c r="AD814" s="21"/>
      <c r="AE814" s="21"/>
      <c r="AF814" s="21"/>
      <c r="AG814" s="21"/>
      <c r="AH814" s="21">
        <v>1</v>
      </c>
      <c r="AI814" s="21"/>
      <c r="AJ814" s="21"/>
      <c r="AK814" s="21"/>
      <c r="AL814" s="21"/>
      <c r="AM814" s="21">
        <v>1</v>
      </c>
      <c r="AN814" s="21"/>
      <c r="AO814" s="21"/>
      <c r="AP814" s="21"/>
      <c r="AQ814" s="21"/>
      <c r="AR814" s="21"/>
      <c r="AS814" s="21"/>
      <c r="AT814" s="12" t="str">
        <f>HYPERLINK("http://www.openstreetmap.org/?mlat=30.3458&amp;mlon=47.7561&amp;zoom=12#map=12/30.3458/47.7561","Maplink1")</f>
        <v>Maplink1</v>
      </c>
      <c r="AU814" s="12" t="str">
        <f>HYPERLINK("https://www.google.iq/maps/search/+30.3458,47.7561/@30.3458,47.7561,14z?hl=en","Maplink2")</f>
        <v>Maplink2</v>
      </c>
      <c r="AV814" s="12" t="str">
        <f>HYPERLINK("http://www.bing.com/maps/?lvl=14&amp;sty=h&amp;cp=30.3458~47.7561&amp;sp=point.30.3458_47.7561","Maplink3")</f>
        <v>Maplink3</v>
      </c>
    </row>
    <row r="815" spans="1:48" ht="15" customHeight="1" x14ac:dyDescent="0.25">
      <c r="A815" s="19">
        <v>367</v>
      </c>
      <c r="B815" s="20" t="s">
        <v>12</v>
      </c>
      <c r="C815" s="20" t="s">
        <v>1617</v>
      </c>
      <c r="D815" s="20" t="s">
        <v>1620</v>
      </c>
      <c r="E815" s="20" t="s">
        <v>1621</v>
      </c>
      <c r="F815" s="20">
        <v>30.36904406</v>
      </c>
      <c r="G815" s="20">
        <v>47.721042789999998</v>
      </c>
      <c r="H815" s="22">
        <v>2</v>
      </c>
      <c r="I815" s="22">
        <v>12</v>
      </c>
      <c r="J815" s="21"/>
      <c r="K815" s="21">
        <v>2</v>
      </c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>
        <v>2</v>
      </c>
      <c r="AI815" s="21"/>
      <c r="AJ815" s="21"/>
      <c r="AK815" s="21"/>
      <c r="AL815" s="21"/>
      <c r="AM815" s="21"/>
      <c r="AN815" s="21"/>
      <c r="AO815" s="21">
        <v>2</v>
      </c>
      <c r="AP815" s="21"/>
      <c r="AQ815" s="21"/>
      <c r="AR815" s="21"/>
      <c r="AS815" s="21"/>
      <c r="AT815" s="12" t="str">
        <f>HYPERLINK("http://www.openstreetmap.org/?mlat=30.369&amp;mlon=47.721&amp;zoom=12#map=12/30.369/47.721","Maplink1")</f>
        <v>Maplink1</v>
      </c>
      <c r="AU815" s="12" t="str">
        <f>HYPERLINK("https://www.google.iq/maps/search/+30.369,47.721/@30.369,47.721,14z?hl=en","Maplink2")</f>
        <v>Maplink2</v>
      </c>
      <c r="AV815" s="12" t="str">
        <f>HYPERLINK("http://www.bing.com/maps/?lvl=14&amp;sty=h&amp;cp=30.369~47.721&amp;sp=point.30.369_47.721","Maplink3")</f>
        <v>Maplink3</v>
      </c>
    </row>
    <row r="816" spans="1:48" ht="15" customHeight="1" x14ac:dyDescent="0.25">
      <c r="A816" s="19">
        <v>24924</v>
      </c>
      <c r="B816" s="20" t="s">
        <v>12</v>
      </c>
      <c r="C816" s="20" t="s">
        <v>1617</v>
      </c>
      <c r="D816" s="20" t="s">
        <v>1622</v>
      </c>
      <c r="E816" s="20" t="s">
        <v>1623</v>
      </c>
      <c r="F816" s="20">
        <v>30.0362735</v>
      </c>
      <c r="G816" s="20">
        <v>47.927365940000001</v>
      </c>
      <c r="H816" s="22">
        <v>1</v>
      </c>
      <c r="I816" s="22">
        <v>6</v>
      </c>
      <c r="J816" s="21">
        <v>1</v>
      </c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>
        <v>1</v>
      </c>
      <c r="AI816" s="21"/>
      <c r="AJ816" s="21"/>
      <c r="AK816" s="21"/>
      <c r="AL816" s="21"/>
      <c r="AM816" s="21"/>
      <c r="AN816" s="21"/>
      <c r="AO816" s="21"/>
      <c r="AP816" s="21">
        <v>1</v>
      </c>
      <c r="AQ816" s="21"/>
      <c r="AR816" s="21"/>
      <c r="AS816" s="21"/>
      <c r="AT816" s="12" t="str">
        <f>HYPERLINK("http://www.openstreetmap.org/?mlat=30.0363&amp;mlon=47.9274&amp;zoom=12#map=12/30.0363/47.9274","Maplink1")</f>
        <v>Maplink1</v>
      </c>
      <c r="AU816" s="12" t="str">
        <f>HYPERLINK("https://www.google.iq/maps/search/+30.0363,47.9274/@30.0363,47.9274,14z?hl=en","Maplink2")</f>
        <v>Maplink2</v>
      </c>
      <c r="AV816" s="12" t="str">
        <f>HYPERLINK("http://www.bing.com/maps/?lvl=14&amp;sty=h&amp;cp=30.0363~47.9274&amp;sp=point.30.0363_47.9274","Maplink3")</f>
        <v>Maplink3</v>
      </c>
    </row>
    <row r="817" spans="1:48" ht="15" customHeight="1" x14ac:dyDescent="0.25">
      <c r="A817" s="19">
        <v>24677</v>
      </c>
      <c r="B817" s="20" t="s">
        <v>12</v>
      </c>
      <c r="C817" s="20" t="s">
        <v>1617</v>
      </c>
      <c r="D817" s="20" t="s">
        <v>1624</v>
      </c>
      <c r="E817" s="20" t="s">
        <v>1625</v>
      </c>
      <c r="F817" s="20">
        <v>30.325030559999998</v>
      </c>
      <c r="G817" s="20">
        <v>47.718702479999997</v>
      </c>
      <c r="H817" s="22">
        <v>4</v>
      </c>
      <c r="I817" s="22">
        <v>24</v>
      </c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>
        <v>2</v>
      </c>
      <c r="W817" s="21"/>
      <c r="X817" s="21">
        <v>2</v>
      </c>
      <c r="Y817" s="21"/>
      <c r="Z817" s="21"/>
      <c r="AA817" s="21"/>
      <c r="AB817" s="21"/>
      <c r="AC817" s="21">
        <v>3</v>
      </c>
      <c r="AD817" s="21"/>
      <c r="AE817" s="21"/>
      <c r="AF817" s="21"/>
      <c r="AG817" s="21"/>
      <c r="AH817" s="21">
        <v>1</v>
      </c>
      <c r="AI817" s="21"/>
      <c r="AJ817" s="21"/>
      <c r="AK817" s="21"/>
      <c r="AL817" s="21"/>
      <c r="AM817" s="21">
        <v>2</v>
      </c>
      <c r="AN817" s="21">
        <v>2</v>
      </c>
      <c r="AO817" s="21"/>
      <c r="AP817" s="21"/>
      <c r="AQ817" s="21"/>
      <c r="AR817" s="21"/>
      <c r="AS817" s="21"/>
      <c r="AT817" s="12" t="str">
        <f>HYPERLINK("http://www.openstreetmap.org/?mlat=30.325&amp;mlon=47.7187&amp;zoom=12#map=12/30.325/47.7187","Maplink1")</f>
        <v>Maplink1</v>
      </c>
      <c r="AU817" s="12" t="str">
        <f>HYPERLINK("https://www.google.iq/maps/search/+30.325,47.7187/@30.325,47.7187,14z?hl=en","Maplink2")</f>
        <v>Maplink2</v>
      </c>
      <c r="AV817" s="12" t="str">
        <f>HYPERLINK("http://www.bing.com/maps/?lvl=14&amp;sty=h&amp;cp=30.325~47.7187&amp;sp=point.30.325_47.7187","Maplink3")</f>
        <v>Maplink3</v>
      </c>
    </row>
    <row r="818" spans="1:48" ht="15" customHeight="1" x14ac:dyDescent="0.25">
      <c r="A818" s="19">
        <v>24676</v>
      </c>
      <c r="B818" s="20" t="s">
        <v>12</v>
      </c>
      <c r="C818" s="20" t="s">
        <v>1617</v>
      </c>
      <c r="D818" s="20" t="s">
        <v>6068</v>
      </c>
      <c r="E818" s="20" t="s">
        <v>6069</v>
      </c>
      <c r="F818" s="20">
        <v>30.5809139321</v>
      </c>
      <c r="G818" s="20">
        <v>47.350755622599998</v>
      </c>
      <c r="H818" s="22">
        <v>1</v>
      </c>
      <c r="I818" s="22">
        <v>6</v>
      </c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>
        <v>1</v>
      </c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>
        <v>1</v>
      </c>
      <c r="AI818" s="21"/>
      <c r="AJ818" s="21"/>
      <c r="AK818" s="21"/>
      <c r="AL818" s="21"/>
      <c r="AM818" s="21"/>
      <c r="AN818" s="21"/>
      <c r="AO818" s="21">
        <v>1</v>
      </c>
      <c r="AP818" s="21"/>
      <c r="AQ818" s="21"/>
      <c r="AR818" s="21"/>
      <c r="AS818" s="21"/>
      <c r="AT818" s="12" t="str">
        <f>HYPERLINK("http://www.openstreetmap.org/?mlat=30.5809&amp;mlon=47.3508&amp;zoom=12#map=12/30.5809/47.3508","Maplink1")</f>
        <v>Maplink1</v>
      </c>
      <c r="AU818" s="12" t="str">
        <f>HYPERLINK("https://www.google.iq/maps/search/+30.5809,47.3508/@30.5809,47.3508,14z?hl=en","Maplink2")</f>
        <v>Maplink2</v>
      </c>
      <c r="AV818" s="12" t="str">
        <f>HYPERLINK("http://www.bing.com/maps/?lvl=14&amp;sty=h&amp;cp=30.5809~47.3508&amp;sp=point.30.5809_47.3508","Maplink3")</f>
        <v>Maplink3</v>
      </c>
    </row>
    <row r="819" spans="1:48" ht="15" customHeight="1" x14ac:dyDescent="0.25">
      <c r="A819" s="19">
        <v>1281</v>
      </c>
      <c r="B819" s="20" t="s">
        <v>12</v>
      </c>
      <c r="C819" s="20" t="s">
        <v>1617</v>
      </c>
      <c r="D819" s="20" t="s">
        <v>1626</v>
      </c>
      <c r="E819" s="20" t="s">
        <v>1627</v>
      </c>
      <c r="F819" s="20">
        <v>30.386111840000002</v>
      </c>
      <c r="G819" s="20">
        <v>47.714773379999997</v>
      </c>
      <c r="H819" s="22">
        <v>8</v>
      </c>
      <c r="I819" s="22">
        <v>48</v>
      </c>
      <c r="J819" s="21">
        <v>1</v>
      </c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>
        <v>7</v>
      </c>
      <c r="Y819" s="21"/>
      <c r="Z819" s="21"/>
      <c r="AA819" s="21"/>
      <c r="AB819" s="21"/>
      <c r="AC819" s="21">
        <v>1</v>
      </c>
      <c r="AD819" s="21"/>
      <c r="AE819" s="21"/>
      <c r="AF819" s="21"/>
      <c r="AG819" s="21"/>
      <c r="AH819" s="21">
        <v>7</v>
      </c>
      <c r="AI819" s="21"/>
      <c r="AJ819" s="21"/>
      <c r="AK819" s="21"/>
      <c r="AL819" s="21"/>
      <c r="AM819" s="21"/>
      <c r="AN819" s="21">
        <v>3</v>
      </c>
      <c r="AO819" s="21">
        <v>2</v>
      </c>
      <c r="AP819" s="21">
        <v>2</v>
      </c>
      <c r="AQ819" s="21">
        <v>1</v>
      </c>
      <c r="AR819" s="21"/>
      <c r="AS819" s="21"/>
      <c r="AT819" s="12" t="str">
        <f>HYPERLINK("http://www.openstreetmap.org/?mlat=30.3861&amp;mlon=47.7148&amp;zoom=12#map=12/30.3861/47.7148","Maplink1")</f>
        <v>Maplink1</v>
      </c>
      <c r="AU819" s="12" t="str">
        <f>HYPERLINK("https://www.google.iq/maps/search/+30.3861,47.7148/@30.3861,47.7148,14z?hl=en","Maplink2")</f>
        <v>Maplink2</v>
      </c>
      <c r="AV819" s="12" t="str">
        <f>HYPERLINK("http://www.bing.com/maps/?lvl=14&amp;sty=h&amp;cp=30.3861~47.7148&amp;sp=point.30.3861_47.7148","Maplink3")</f>
        <v>Maplink3</v>
      </c>
    </row>
    <row r="820" spans="1:48" ht="15" customHeight="1" x14ac:dyDescent="0.25">
      <c r="A820" s="19">
        <v>767</v>
      </c>
      <c r="B820" s="20" t="s">
        <v>12</v>
      </c>
      <c r="C820" s="20" t="s">
        <v>1617</v>
      </c>
      <c r="D820" s="20" t="s">
        <v>1628</v>
      </c>
      <c r="E820" s="20" t="s">
        <v>1629</v>
      </c>
      <c r="F820" s="20">
        <v>30.391822220000002</v>
      </c>
      <c r="G820" s="20">
        <v>47.711397060000003</v>
      </c>
      <c r="H820" s="22">
        <v>6</v>
      </c>
      <c r="I820" s="22">
        <v>36</v>
      </c>
      <c r="J820" s="21">
        <v>2</v>
      </c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>
        <v>4</v>
      </c>
      <c r="Y820" s="21"/>
      <c r="Z820" s="21"/>
      <c r="AA820" s="21"/>
      <c r="AB820" s="21"/>
      <c r="AC820" s="21"/>
      <c r="AD820" s="21"/>
      <c r="AE820" s="21"/>
      <c r="AF820" s="21"/>
      <c r="AG820" s="21"/>
      <c r="AH820" s="21">
        <v>6</v>
      </c>
      <c r="AI820" s="21"/>
      <c r="AJ820" s="21"/>
      <c r="AK820" s="21"/>
      <c r="AL820" s="21"/>
      <c r="AM820" s="21"/>
      <c r="AN820" s="21">
        <v>1</v>
      </c>
      <c r="AO820" s="21">
        <v>5</v>
      </c>
      <c r="AP820" s="21"/>
      <c r="AQ820" s="21"/>
      <c r="AR820" s="21"/>
      <c r="AS820" s="21"/>
      <c r="AT820" s="12" t="str">
        <f>HYPERLINK("http://www.openstreetmap.org/?mlat=30.3918&amp;mlon=47.7114&amp;zoom=12#map=12/30.3918/47.7114","Maplink1")</f>
        <v>Maplink1</v>
      </c>
      <c r="AU820" s="12" t="str">
        <f>HYPERLINK("https://www.google.iq/maps/search/+30.3918,47.7114/@30.3918,47.7114,14z?hl=en","Maplink2")</f>
        <v>Maplink2</v>
      </c>
      <c r="AV820" s="12" t="str">
        <f>HYPERLINK("http://www.bing.com/maps/?lvl=14&amp;sty=h&amp;cp=30.3918~47.7114&amp;sp=point.30.3918_47.7114","Maplink3")</f>
        <v>Maplink3</v>
      </c>
    </row>
    <row r="821" spans="1:48" ht="15" customHeight="1" x14ac:dyDescent="0.25">
      <c r="A821" s="19">
        <v>760</v>
      </c>
      <c r="B821" s="20" t="s">
        <v>12</v>
      </c>
      <c r="C821" s="20" t="s">
        <v>1617</v>
      </c>
      <c r="D821" s="20" t="s">
        <v>1630</v>
      </c>
      <c r="E821" s="20" t="s">
        <v>1631</v>
      </c>
      <c r="F821" s="20">
        <v>30.38824851</v>
      </c>
      <c r="G821" s="20">
        <v>47.708731790000002</v>
      </c>
      <c r="H821" s="22">
        <v>13</v>
      </c>
      <c r="I821" s="22">
        <v>78</v>
      </c>
      <c r="J821" s="21">
        <v>7</v>
      </c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>
        <v>6</v>
      </c>
      <c r="Y821" s="21"/>
      <c r="Z821" s="21"/>
      <c r="AA821" s="21"/>
      <c r="AB821" s="21"/>
      <c r="AC821" s="21"/>
      <c r="AD821" s="21"/>
      <c r="AE821" s="21"/>
      <c r="AF821" s="21"/>
      <c r="AG821" s="21"/>
      <c r="AH821" s="21">
        <v>13</v>
      </c>
      <c r="AI821" s="21"/>
      <c r="AJ821" s="21"/>
      <c r="AK821" s="21"/>
      <c r="AL821" s="21"/>
      <c r="AM821" s="21"/>
      <c r="AN821" s="21">
        <v>2</v>
      </c>
      <c r="AO821" s="21">
        <v>8</v>
      </c>
      <c r="AP821" s="21">
        <v>3</v>
      </c>
      <c r="AQ821" s="21"/>
      <c r="AR821" s="21"/>
      <c r="AS821" s="21"/>
      <c r="AT821" s="12" t="str">
        <f>HYPERLINK("http://www.openstreetmap.org/?mlat=30.3882&amp;mlon=47.7087&amp;zoom=12#map=12/30.3882/47.7087","Maplink1")</f>
        <v>Maplink1</v>
      </c>
      <c r="AU821" s="12" t="str">
        <f>HYPERLINK("https://www.google.iq/maps/search/+30.3882,47.7087/@30.3882,47.7087,14z?hl=en","Maplink2")</f>
        <v>Maplink2</v>
      </c>
      <c r="AV821" s="12" t="str">
        <f>HYPERLINK("http://www.bing.com/maps/?lvl=14&amp;sty=h&amp;cp=30.3882~47.7087&amp;sp=point.30.3882_47.7087","Maplink3")</f>
        <v>Maplink3</v>
      </c>
    </row>
    <row r="822" spans="1:48" ht="15" customHeight="1" x14ac:dyDescent="0.25">
      <c r="A822" s="19">
        <v>753</v>
      </c>
      <c r="B822" s="20" t="s">
        <v>12</v>
      </c>
      <c r="C822" s="20" t="s">
        <v>1617</v>
      </c>
      <c r="D822" s="20" t="s">
        <v>1632</v>
      </c>
      <c r="E822" s="20" t="s">
        <v>1633</v>
      </c>
      <c r="F822" s="20">
        <v>30.38738287</v>
      </c>
      <c r="G822" s="20">
        <v>47.703488069999999</v>
      </c>
      <c r="H822" s="22">
        <v>12</v>
      </c>
      <c r="I822" s="22">
        <v>72</v>
      </c>
      <c r="J822" s="21">
        <v>2</v>
      </c>
      <c r="K822" s="21"/>
      <c r="L822" s="21"/>
      <c r="M822" s="21"/>
      <c r="N822" s="21"/>
      <c r="O822" s="21"/>
      <c r="P822" s="21"/>
      <c r="Q822" s="21"/>
      <c r="R822" s="21">
        <v>2</v>
      </c>
      <c r="S822" s="21"/>
      <c r="T822" s="21"/>
      <c r="U822" s="21"/>
      <c r="V822" s="21">
        <v>3</v>
      </c>
      <c r="W822" s="21"/>
      <c r="X822" s="21">
        <v>5</v>
      </c>
      <c r="Y822" s="21"/>
      <c r="Z822" s="21"/>
      <c r="AA822" s="21"/>
      <c r="AB822" s="21"/>
      <c r="AC822" s="21">
        <v>3</v>
      </c>
      <c r="AD822" s="21"/>
      <c r="AE822" s="21"/>
      <c r="AF822" s="21"/>
      <c r="AG822" s="21"/>
      <c r="AH822" s="21">
        <v>9</v>
      </c>
      <c r="AI822" s="21"/>
      <c r="AJ822" s="21"/>
      <c r="AK822" s="21"/>
      <c r="AL822" s="21">
        <v>1</v>
      </c>
      <c r="AM822" s="21"/>
      <c r="AN822" s="21">
        <v>4</v>
      </c>
      <c r="AO822" s="21">
        <v>3</v>
      </c>
      <c r="AP822" s="21"/>
      <c r="AQ822" s="21">
        <v>1</v>
      </c>
      <c r="AR822" s="21">
        <v>1</v>
      </c>
      <c r="AS822" s="21">
        <v>2</v>
      </c>
      <c r="AT822" s="12" t="str">
        <f>HYPERLINK("http://www.openstreetmap.org/?mlat=30.3874&amp;mlon=47.7035&amp;zoom=12#map=12/30.3874/47.7035","Maplink1")</f>
        <v>Maplink1</v>
      </c>
      <c r="AU822" s="12" t="str">
        <f>HYPERLINK("https://www.google.iq/maps/search/+30.3874,47.7035/@30.3874,47.7035,14z?hl=en","Maplink2")</f>
        <v>Maplink2</v>
      </c>
      <c r="AV822" s="12" t="str">
        <f>HYPERLINK("http://www.bing.com/maps/?lvl=14&amp;sty=h&amp;cp=30.3874~47.7035&amp;sp=point.30.3874_47.7035","Maplink3")</f>
        <v>Maplink3</v>
      </c>
    </row>
    <row r="823" spans="1:48" ht="15" customHeight="1" x14ac:dyDescent="0.25">
      <c r="A823" s="19">
        <v>757</v>
      </c>
      <c r="B823" s="20" t="s">
        <v>12</v>
      </c>
      <c r="C823" s="20" t="s">
        <v>1617</v>
      </c>
      <c r="D823" s="20" t="s">
        <v>1634</v>
      </c>
      <c r="E823" s="20" t="s">
        <v>1635</v>
      </c>
      <c r="F823" s="20">
        <v>30.386037779999999</v>
      </c>
      <c r="G823" s="20">
        <v>47.688090010000003</v>
      </c>
      <c r="H823" s="22">
        <v>7</v>
      </c>
      <c r="I823" s="22">
        <v>42</v>
      </c>
      <c r="J823" s="21">
        <v>1</v>
      </c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>
        <v>6</v>
      </c>
      <c r="Y823" s="21"/>
      <c r="Z823" s="21"/>
      <c r="AA823" s="21"/>
      <c r="AB823" s="21"/>
      <c r="AC823" s="21">
        <v>1</v>
      </c>
      <c r="AD823" s="21"/>
      <c r="AE823" s="21"/>
      <c r="AF823" s="21"/>
      <c r="AG823" s="21"/>
      <c r="AH823" s="21">
        <v>6</v>
      </c>
      <c r="AI823" s="21"/>
      <c r="AJ823" s="21"/>
      <c r="AK823" s="21"/>
      <c r="AL823" s="21"/>
      <c r="AM823" s="21">
        <v>1</v>
      </c>
      <c r="AN823" s="21"/>
      <c r="AO823" s="21">
        <v>6</v>
      </c>
      <c r="AP823" s="21"/>
      <c r="AQ823" s="21"/>
      <c r="AR823" s="21"/>
      <c r="AS823" s="21"/>
      <c r="AT823" s="12" t="str">
        <f>HYPERLINK("http://www.openstreetmap.org/?mlat=30.386&amp;mlon=47.6881&amp;zoom=12#map=12/30.386/47.6881","Maplink1")</f>
        <v>Maplink1</v>
      </c>
      <c r="AU823" s="12" t="str">
        <f>HYPERLINK("https://www.google.iq/maps/search/+30.386,47.6881/@30.386,47.6881,14z?hl=en","Maplink2")</f>
        <v>Maplink2</v>
      </c>
      <c r="AV823" s="12" t="str">
        <f>HYPERLINK("http://www.bing.com/maps/?lvl=14&amp;sty=h&amp;cp=30.386~47.6881&amp;sp=point.30.386_47.6881","Maplink3")</f>
        <v>Maplink3</v>
      </c>
    </row>
    <row r="824" spans="1:48" ht="15" customHeight="1" x14ac:dyDescent="0.25">
      <c r="A824" s="19">
        <v>764</v>
      </c>
      <c r="B824" s="20" t="s">
        <v>12</v>
      </c>
      <c r="C824" s="20" t="s">
        <v>1617</v>
      </c>
      <c r="D824" s="20" t="s">
        <v>1636</v>
      </c>
      <c r="E824" s="20" t="s">
        <v>1637</v>
      </c>
      <c r="F824" s="20">
        <v>30.393541389999999</v>
      </c>
      <c r="G824" s="20">
        <v>47.704384009999998</v>
      </c>
      <c r="H824" s="22">
        <v>9</v>
      </c>
      <c r="I824" s="22">
        <v>54</v>
      </c>
      <c r="J824" s="21">
        <v>3</v>
      </c>
      <c r="K824" s="21"/>
      <c r="L824" s="21"/>
      <c r="M824" s="21"/>
      <c r="N824" s="21"/>
      <c r="O824" s="21"/>
      <c r="P824" s="21"/>
      <c r="Q824" s="21"/>
      <c r="R824" s="21">
        <v>1</v>
      </c>
      <c r="S824" s="21"/>
      <c r="T824" s="21"/>
      <c r="U824" s="21"/>
      <c r="V824" s="21">
        <v>2</v>
      </c>
      <c r="W824" s="21"/>
      <c r="X824" s="21">
        <v>3</v>
      </c>
      <c r="Y824" s="21"/>
      <c r="Z824" s="21"/>
      <c r="AA824" s="21"/>
      <c r="AB824" s="21"/>
      <c r="AC824" s="21"/>
      <c r="AD824" s="21"/>
      <c r="AE824" s="21"/>
      <c r="AF824" s="21"/>
      <c r="AG824" s="21"/>
      <c r="AH824" s="21">
        <v>9</v>
      </c>
      <c r="AI824" s="21"/>
      <c r="AJ824" s="21"/>
      <c r="AK824" s="21"/>
      <c r="AL824" s="21">
        <v>1</v>
      </c>
      <c r="AM824" s="21"/>
      <c r="AN824" s="21">
        <v>1</v>
      </c>
      <c r="AO824" s="21">
        <v>3</v>
      </c>
      <c r="AP824" s="21">
        <v>2</v>
      </c>
      <c r="AQ824" s="21">
        <v>1</v>
      </c>
      <c r="AR824" s="21">
        <v>1</v>
      </c>
      <c r="AS824" s="21"/>
      <c r="AT824" s="12" t="str">
        <f>HYPERLINK("http://www.openstreetmap.org/?mlat=30.3935&amp;mlon=47.7044&amp;zoom=12#map=12/30.3935/47.7044","Maplink1")</f>
        <v>Maplink1</v>
      </c>
      <c r="AU824" s="12" t="str">
        <f>HYPERLINK("https://www.google.iq/maps/search/+30.3935,47.7044/@30.3935,47.7044,14z?hl=en","Maplink2")</f>
        <v>Maplink2</v>
      </c>
      <c r="AV824" s="12" t="str">
        <f>HYPERLINK("http://www.bing.com/maps/?lvl=14&amp;sty=h&amp;cp=30.3935~47.7044&amp;sp=point.30.3935_47.7044","Maplink3")</f>
        <v>Maplink3</v>
      </c>
    </row>
    <row r="825" spans="1:48" ht="15" customHeight="1" x14ac:dyDescent="0.25">
      <c r="A825" s="19">
        <v>779</v>
      </c>
      <c r="B825" s="20" t="s">
        <v>12</v>
      </c>
      <c r="C825" s="20" t="s">
        <v>1617</v>
      </c>
      <c r="D825" s="20" t="s">
        <v>1638</v>
      </c>
      <c r="E825" s="20" t="s">
        <v>1639</v>
      </c>
      <c r="F825" s="20">
        <v>30.390793424999998</v>
      </c>
      <c r="G825" s="20">
        <v>47.6986755151</v>
      </c>
      <c r="H825" s="22">
        <v>18</v>
      </c>
      <c r="I825" s="22">
        <v>108</v>
      </c>
      <c r="J825" s="21">
        <v>2</v>
      </c>
      <c r="K825" s="21"/>
      <c r="L825" s="21"/>
      <c r="M825" s="21"/>
      <c r="N825" s="21"/>
      <c r="O825" s="21">
        <v>1</v>
      </c>
      <c r="P825" s="21"/>
      <c r="Q825" s="21"/>
      <c r="R825" s="21"/>
      <c r="S825" s="21"/>
      <c r="T825" s="21"/>
      <c r="U825" s="21"/>
      <c r="V825" s="21">
        <v>5</v>
      </c>
      <c r="W825" s="21"/>
      <c r="X825" s="21">
        <v>10</v>
      </c>
      <c r="Y825" s="21"/>
      <c r="Z825" s="21"/>
      <c r="AA825" s="21"/>
      <c r="AB825" s="21"/>
      <c r="AC825" s="21">
        <v>1</v>
      </c>
      <c r="AD825" s="21"/>
      <c r="AE825" s="21"/>
      <c r="AF825" s="21"/>
      <c r="AG825" s="21"/>
      <c r="AH825" s="21">
        <v>17</v>
      </c>
      <c r="AI825" s="21"/>
      <c r="AJ825" s="21"/>
      <c r="AK825" s="21"/>
      <c r="AL825" s="21">
        <v>1</v>
      </c>
      <c r="AM825" s="21">
        <v>1</v>
      </c>
      <c r="AN825" s="21">
        <v>1</v>
      </c>
      <c r="AO825" s="21">
        <v>15</v>
      </c>
      <c r="AP825" s="21"/>
      <c r="AQ825" s="21"/>
      <c r="AR825" s="21"/>
      <c r="AS825" s="21"/>
      <c r="AT825" s="12" t="str">
        <f>HYPERLINK("http://www.openstreetmap.org/?mlat=30.3908&amp;mlon=47.6987&amp;zoom=12#map=12/30.3908/47.6987","Maplink1")</f>
        <v>Maplink1</v>
      </c>
      <c r="AU825" s="12" t="str">
        <f>HYPERLINK("https://www.google.iq/maps/search/+30.3908,47.6987/@30.3908,47.6987,14z?hl=en","Maplink2")</f>
        <v>Maplink2</v>
      </c>
      <c r="AV825" s="12" t="str">
        <f>HYPERLINK("http://www.bing.com/maps/?lvl=14&amp;sty=h&amp;cp=30.3908~47.6987&amp;sp=point.30.3908_47.6987","Maplink3")</f>
        <v>Maplink3</v>
      </c>
    </row>
    <row r="826" spans="1:48" ht="15" customHeight="1" x14ac:dyDescent="0.25">
      <c r="A826" s="19">
        <v>509</v>
      </c>
      <c r="B826" s="20" t="s">
        <v>12</v>
      </c>
      <c r="C826" s="20" t="s">
        <v>1617</v>
      </c>
      <c r="D826" s="20" t="s">
        <v>1640</v>
      </c>
      <c r="E826" s="20" t="s">
        <v>1641</v>
      </c>
      <c r="F826" s="20">
        <v>30.397830200400001</v>
      </c>
      <c r="G826" s="20">
        <v>47.709653880399998</v>
      </c>
      <c r="H826" s="22">
        <v>53</v>
      </c>
      <c r="I826" s="22">
        <v>318</v>
      </c>
      <c r="J826" s="21">
        <v>5</v>
      </c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>
        <v>9</v>
      </c>
      <c r="W826" s="21"/>
      <c r="X826" s="21">
        <v>39</v>
      </c>
      <c r="Y826" s="21"/>
      <c r="Z826" s="21"/>
      <c r="AA826" s="21"/>
      <c r="AB826" s="21"/>
      <c r="AC826" s="21">
        <v>6</v>
      </c>
      <c r="AD826" s="21"/>
      <c r="AE826" s="21">
        <v>6</v>
      </c>
      <c r="AF826" s="21"/>
      <c r="AG826" s="21"/>
      <c r="AH826" s="21">
        <v>41</v>
      </c>
      <c r="AI826" s="21"/>
      <c r="AJ826" s="21"/>
      <c r="AK826" s="21"/>
      <c r="AL826" s="21">
        <v>8</v>
      </c>
      <c r="AM826" s="21">
        <v>9</v>
      </c>
      <c r="AN826" s="21">
        <v>8</v>
      </c>
      <c r="AO826" s="21">
        <v>19</v>
      </c>
      <c r="AP826" s="21">
        <v>1</v>
      </c>
      <c r="AQ826" s="21">
        <v>3</v>
      </c>
      <c r="AR826" s="21">
        <v>5</v>
      </c>
      <c r="AS826" s="21"/>
      <c r="AT826" s="12" t="str">
        <f>HYPERLINK("http://www.openstreetmap.org/?mlat=30.3978&amp;mlon=47.7097&amp;zoom=12#map=12/30.3978/47.7097","Maplink1")</f>
        <v>Maplink1</v>
      </c>
      <c r="AU826" s="12" t="str">
        <f>HYPERLINK("https://www.google.iq/maps/search/+30.3978,47.7097/@30.3978,47.7097,14z?hl=en","Maplink2")</f>
        <v>Maplink2</v>
      </c>
      <c r="AV826" s="12" t="str">
        <f>HYPERLINK("http://www.bing.com/maps/?lvl=14&amp;sty=h&amp;cp=30.3978~47.7097&amp;sp=point.30.3978_47.7097","Maplink3")</f>
        <v>Maplink3</v>
      </c>
    </row>
    <row r="827" spans="1:48" ht="15" customHeight="1" x14ac:dyDescent="0.25">
      <c r="A827" s="19">
        <v>25463</v>
      </c>
      <c r="B827" s="20" t="s">
        <v>12</v>
      </c>
      <c r="C827" s="20" t="s">
        <v>1617</v>
      </c>
      <c r="D827" s="20" t="s">
        <v>1642</v>
      </c>
      <c r="E827" s="20" t="s">
        <v>1643</v>
      </c>
      <c r="F827" s="20">
        <v>30.429856780000001</v>
      </c>
      <c r="G827" s="20">
        <v>47.679461179999997</v>
      </c>
      <c r="H827" s="22">
        <v>9</v>
      </c>
      <c r="I827" s="22">
        <v>54</v>
      </c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>
        <v>9</v>
      </c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>
        <v>9</v>
      </c>
      <c r="AI827" s="21"/>
      <c r="AJ827" s="21"/>
      <c r="AK827" s="21"/>
      <c r="AL827" s="21"/>
      <c r="AM827" s="21">
        <v>4</v>
      </c>
      <c r="AN827" s="21">
        <v>1</v>
      </c>
      <c r="AO827" s="21">
        <v>3</v>
      </c>
      <c r="AP827" s="21"/>
      <c r="AQ827" s="21"/>
      <c r="AR827" s="21">
        <v>1</v>
      </c>
      <c r="AS827" s="21"/>
      <c r="AT827" s="12" t="str">
        <f>HYPERLINK("http://www.openstreetmap.org/?mlat=30.4299&amp;mlon=47.6795&amp;zoom=12#map=12/30.4299/47.6795","Maplink1")</f>
        <v>Maplink1</v>
      </c>
      <c r="AU827" s="12" t="str">
        <f>HYPERLINK("https://www.google.iq/maps/search/+30.4299,47.6795/@30.4299,47.6795,14z?hl=en","Maplink2")</f>
        <v>Maplink2</v>
      </c>
      <c r="AV827" s="12" t="str">
        <f>HYPERLINK("http://www.bing.com/maps/?lvl=14&amp;sty=h&amp;cp=30.4299~47.6795&amp;sp=point.30.4299_47.6795","Maplink3")</f>
        <v>Maplink3</v>
      </c>
    </row>
    <row r="828" spans="1:48" ht="15" customHeight="1" x14ac:dyDescent="0.25">
      <c r="A828" s="19">
        <v>1312</v>
      </c>
      <c r="B828" s="20" t="s">
        <v>12</v>
      </c>
      <c r="C828" s="20" t="s">
        <v>1617</v>
      </c>
      <c r="D828" s="20" t="s">
        <v>1644</v>
      </c>
      <c r="E828" s="20" t="s">
        <v>1645</v>
      </c>
      <c r="F828" s="20">
        <v>30.4071043991</v>
      </c>
      <c r="G828" s="20">
        <v>47.698220629200001</v>
      </c>
      <c r="H828" s="22">
        <v>3</v>
      </c>
      <c r="I828" s="22">
        <v>18</v>
      </c>
      <c r="J828" s="21"/>
      <c r="K828" s="21">
        <v>1</v>
      </c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>
        <v>2</v>
      </c>
      <c r="Y828" s="21"/>
      <c r="Z828" s="21"/>
      <c r="AA828" s="21"/>
      <c r="AB828" s="21"/>
      <c r="AC828" s="21"/>
      <c r="AD828" s="21"/>
      <c r="AE828" s="21"/>
      <c r="AF828" s="21"/>
      <c r="AG828" s="21"/>
      <c r="AH828" s="21">
        <v>3</v>
      </c>
      <c r="AI828" s="21"/>
      <c r="AJ828" s="21"/>
      <c r="AK828" s="21"/>
      <c r="AL828" s="21"/>
      <c r="AM828" s="21">
        <v>1</v>
      </c>
      <c r="AN828" s="21"/>
      <c r="AO828" s="21">
        <v>2</v>
      </c>
      <c r="AP828" s="21"/>
      <c r="AQ828" s="21"/>
      <c r="AR828" s="21"/>
      <c r="AS828" s="21"/>
      <c r="AT828" s="12" t="str">
        <f>HYPERLINK("http://www.openstreetmap.org/?mlat=30.4071&amp;mlon=47.6982&amp;zoom=12#map=12/30.4071/47.6982","Maplink1")</f>
        <v>Maplink1</v>
      </c>
      <c r="AU828" s="12" t="str">
        <f>HYPERLINK("https://www.google.iq/maps/search/+30.4071,47.6982/@30.4071,47.6982,14z?hl=en","Maplink2")</f>
        <v>Maplink2</v>
      </c>
      <c r="AV828" s="12" t="str">
        <f>HYPERLINK("http://www.bing.com/maps/?lvl=14&amp;sty=h&amp;cp=30.4071~47.6982&amp;sp=point.30.4071_47.6982","Maplink3")</f>
        <v>Maplink3</v>
      </c>
    </row>
    <row r="829" spans="1:48" ht="15" customHeight="1" x14ac:dyDescent="0.25">
      <c r="A829" s="19">
        <v>25971</v>
      </c>
      <c r="B829" s="20" t="s">
        <v>12</v>
      </c>
      <c r="C829" s="20" t="s">
        <v>1617</v>
      </c>
      <c r="D829" s="20" t="s">
        <v>1646</v>
      </c>
      <c r="E829" s="20" t="s">
        <v>1647</v>
      </c>
      <c r="F829" s="20">
        <v>30.374941440000001</v>
      </c>
      <c r="G829" s="20">
        <v>47.708054109999999</v>
      </c>
      <c r="H829" s="22">
        <v>1</v>
      </c>
      <c r="I829" s="22">
        <v>6</v>
      </c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>
        <v>1</v>
      </c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>
        <v>1</v>
      </c>
      <c r="AI829" s="21"/>
      <c r="AJ829" s="21"/>
      <c r="AK829" s="21"/>
      <c r="AL829" s="21"/>
      <c r="AM829" s="21"/>
      <c r="AN829" s="21"/>
      <c r="AO829" s="21"/>
      <c r="AP829" s="21">
        <v>1</v>
      </c>
      <c r="AQ829" s="21"/>
      <c r="AR829" s="21"/>
      <c r="AS829" s="21"/>
      <c r="AT829" s="12" t="str">
        <f>HYPERLINK("http://www.openstreetmap.org/?mlat=30.3749&amp;mlon=47.7081&amp;zoom=12#map=12/30.3749/47.7081","Maplink1")</f>
        <v>Maplink1</v>
      </c>
      <c r="AU829" s="12" t="str">
        <f>HYPERLINK("https://www.google.iq/maps/search/+30.3749,47.7081/@30.3749,47.7081,14z?hl=en","Maplink2")</f>
        <v>Maplink2</v>
      </c>
      <c r="AV829" s="12" t="str">
        <f>HYPERLINK("http://www.bing.com/maps/?lvl=14&amp;sty=h&amp;cp=30.3749~47.7081&amp;sp=point.30.3749_47.7081","Maplink3")</f>
        <v>Maplink3</v>
      </c>
    </row>
    <row r="830" spans="1:48" ht="15" customHeight="1" x14ac:dyDescent="0.25">
      <c r="A830" s="19">
        <v>651</v>
      </c>
      <c r="B830" s="20" t="s">
        <v>12</v>
      </c>
      <c r="C830" s="20" t="s">
        <v>1617</v>
      </c>
      <c r="D830" s="20" t="s">
        <v>1648</v>
      </c>
      <c r="E830" s="20" t="s">
        <v>1649</v>
      </c>
      <c r="F830" s="20">
        <v>30.037191190000001</v>
      </c>
      <c r="G830" s="20">
        <v>47.916492179999999</v>
      </c>
      <c r="H830" s="22">
        <v>5</v>
      </c>
      <c r="I830" s="22">
        <v>30</v>
      </c>
      <c r="J830" s="21">
        <v>5</v>
      </c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>
        <v>5</v>
      </c>
      <c r="AI830" s="21"/>
      <c r="AJ830" s="21"/>
      <c r="AK830" s="21"/>
      <c r="AL830" s="21"/>
      <c r="AM830" s="21"/>
      <c r="AN830" s="21">
        <v>4</v>
      </c>
      <c r="AO830" s="21"/>
      <c r="AP830" s="21">
        <v>1</v>
      </c>
      <c r="AQ830" s="21"/>
      <c r="AR830" s="21"/>
      <c r="AS830" s="21"/>
      <c r="AT830" s="12" t="str">
        <f>HYPERLINK("http://www.openstreetmap.org/?mlat=30.0372&amp;mlon=47.9165&amp;zoom=12#map=12/30.0372/47.9165","Maplink1")</f>
        <v>Maplink1</v>
      </c>
      <c r="AU830" s="12" t="str">
        <f>HYPERLINK("https://www.google.iq/maps/search/+30.0372,47.9165/@30.0372,47.9165,14z?hl=en","Maplink2")</f>
        <v>Maplink2</v>
      </c>
      <c r="AV830" s="12" t="str">
        <f>HYPERLINK("http://www.bing.com/maps/?lvl=14&amp;sty=h&amp;cp=30.0372~47.9165&amp;sp=point.30.0372_47.9165","Maplink3")</f>
        <v>Maplink3</v>
      </c>
    </row>
    <row r="831" spans="1:48" ht="15" customHeight="1" x14ac:dyDescent="0.25">
      <c r="A831" s="19">
        <v>31723</v>
      </c>
      <c r="B831" s="20" t="s">
        <v>12</v>
      </c>
      <c r="C831" s="20" t="s">
        <v>1617</v>
      </c>
      <c r="D831" s="20" t="s">
        <v>1650</v>
      </c>
      <c r="E831" s="20" t="s">
        <v>1651</v>
      </c>
      <c r="F831" s="20">
        <v>30.034721999999999</v>
      </c>
      <c r="G831" s="20">
        <v>47.921944000000003</v>
      </c>
      <c r="H831" s="22">
        <v>2</v>
      </c>
      <c r="I831" s="22">
        <v>12</v>
      </c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>
        <v>1</v>
      </c>
      <c r="W831" s="21"/>
      <c r="X831" s="21">
        <v>1</v>
      </c>
      <c r="Y831" s="21"/>
      <c r="Z831" s="21"/>
      <c r="AA831" s="21"/>
      <c r="AB831" s="21"/>
      <c r="AC831" s="21"/>
      <c r="AD831" s="21"/>
      <c r="AE831" s="21"/>
      <c r="AF831" s="21"/>
      <c r="AG831" s="21"/>
      <c r="AH831" s="21">
        <v>2</v>
      </c>
      <c r="AI831" s="21"/>
      <c r="AJ831" s="21"/>
      <c r="AK831" s="21"/>
      <c r="AL831" s="21"/>
      <c r="AM831" s="21"/>
      <c r="AN831" s="21">
        <v>1</v>
      </c>
      <c r="AO831" s="21">
        <v>1</v>
      </c>
      <c r="AP831" s="21"/>
      <c r="AQ831" s="21"/>
      <c r="AR831" s="21"/>
      <c r="AS831" s="21"/>
      <c r="AT831" s="12" t="str">
        <f>HYPERLINK("http://www.openstreetmap.org/?mlat=30.0347&amp;mlon=47.9219&amp;zoom=12#map=12/30.0347/47.9219","Maplink1")</f>
        <v>Maplink1</v>
      </c>
      <c r="AU831" s="12" t="str">
        <f>HYPERLINK("https://www.google.iq/maps/search/+30.0347,47.9219/@30.0347,47.9219,14z?hl=en","Maplink2")</f>
        <v>Maplink2</v>
      </c>
      <c r="AV831" s="12" t="str">
        <f>HYPERLINK("http://www.bing.com/maps/?lvl=14&amp;sty=h&amp;cp=30.0347~47.9219&amp;sp=point.30.0347_47.9219","Maplink3")</f>
        <v>Maplink3</v>
      </c>
    </row>
    <row r="832" spans="1:48" ht="15" customHeight="1" x14ac:dyDescent="0.25">
      <c r="A832" s="19">
        <v>30700</v>
      </c>
      <c r="B832" s="20" t="s">
        <v>12</v>
      </c>
      <c r="C832" s="20" t="s">
        <v>1617</v>
      </c>
      <c r="D832" s="20" t="s">
        <v>1652</v>
      </c>
      <c r="E832" s="20" t="s">
        <v>1653</v>
      </c>
      <c r="F832" s="20">
        <v>30.345216000000001</v>
      </c>
      <c r="G832" s="20">
        <v>47.722517000000003</v>
      </c>
      <c r="H832" s="22">
        <v>3</v>
      </c>
      <c r="I832" s="22">
        <v>18</v>
      </c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>
        <v>3</v>
      </c>
      <c r="Y832" s="21"/>
      <c r="Z832" s="21"/>
      <c r="AA832" s="21"/>
      <c r="AB832" s="21"/>
      <c r="AC832" s="21">
        <v>3</v>
      </c>
      <c r="AD832" s="21"/>
      <c r="AE832" s="21"/>
      <c r="AF832" s="21"/>
      <c r="AG832" s="21"/>
      <c r="AH832" s="21"/>
      <c r="AI832" s="21"/>
      <c r="AJ832" s="21"/>
      <c r="AK832" s="21"/>
      <c r="AL832" s="21"/>
      <c r="AM832" s="21">
        <v>3</v>
      </c>
      <c r="AN832" s="21"/>
      <c r="AO832" s="21"/>
      <c r="AP832" s="21"/>
      <c r="AQ832" s="21"/>
      <c r="AR832" s="21"/>
      <c r="AS832" s="21"/>
      <c r="AT832" s="12" t="str">
        <f>HYPERLINK("http://www.openstreetmap.org/?mlat=30.3452&amp;mlon=47.7225&amp;zoom=12#map=12/30.3452/47.7225","Maplink1")</f>
        <v>Maplink1</v>
      </c>
      <c r="AU832" s="12" t="str">
        <f>HYPERLINK("https://www.google.iq/maps/search/+30.3452,47.7225/@30.3452,47.7225,14z?hl=en","Maplink2")</f>
        <v>Maplink2</v>
      </c>
      <c r="AV832" s="12" t="str">
        <f>HYPERLINK("http://www.bing.com/maps/?lvl=14&amp;sty=h&amp;cp=30.3452~47.7225&amp;sp=point.30.3452_47.7225","Maplink3")</f>
        <v>Maplink3</v>
      </c>
    </row>
    <row r="833" spans="1:48" ht="15" customHeight="1" x14ac:dyDescent="0.25">
      <c r="A833" s="19">
        <v>756</v>
      </c>
      <c r="B833" s="20" t="s">
        <v>12</v>
      </c>
      <c r="C833" s="20" t="s">
        <v>1617</v>
      </c>
      <c r="D833" s="20" t="s">
        <v>1558</v>
      </c>
      <c r="E833" s="20" t="s">
        <v>1654</v>
      </c>
      <c r="F833" s="20">
        <v>30.384790559999999</v>
      </c>
      <c r="G833" s="20">
        <v>47.726938539999999</v>
      </c>
      <c r="H833" s="22">
        <v>7</v>
      </c>
      <c r="I833" s="22">
        <v>42</v>
      </c>
      <c r="J833" s="21">
        <v>2</v>
      </c>
      <c r="K833" s="21"/>
      <c r="L833" s="21"/>
      <c r="M833" s="21"/>
      <c r="N833" s="21"/>
      <c r="O833" s="21"/>
      <c r="P833" s="21"/>
      <c r="Q833" s="21"/>
      <c r="R833" s="21">
        <v>1</v>
      </c>
      <c r="S833" s="21"/>
      <c r="T833" s="21"/>
      <c r="U833" s="21"/>
      <c r="V833" s="21">
        <v>1</v>
      </c>
      <c r="W833" s="21"/>
      <c r="X833" s="21">
        <v>3</v>
      </c>
      <c r="Y833" s="21"/>
      <c r="Z833" s="21"/>
      <c r="AA833" s="21"/>
      <c r="AB833" s="21"/>
      <c r="AC833" s="21"/>
      <c r="AD833" s="21"/>
      <c r="AE833" s="21"/>
      <c r="AF833" s="21"/>
      <c r="AG833" s="21"/>
      <c r="AH833" s="21">
        <v>7</v>
      </c>
      <c r="AI833" s="21"/>
      <c r="AJ833" s="21"/>
      <c r="AK833" s="21"/>
      <c r="AL833" s="21">
        <v>1</v>
      </c>
      <c r="AM833" s="21">
        <v>1</v>
      </c>
      <c r="AN833" s="21">
        <v>2</v>
      </c>
      <c r="AO833" s="21">
        <v>3</v>
      </c>
      <c r="AP833" s="21"/>
      <c r="AQ833" s="21"/>
      <c r="AR833" s="21"/>
      <c r="AS833" s="21"/>
      <c r="AT833" s="12" t="str">
        <f>HYPERLINK("http://www.openstreetmap.org/?mlat=30.3848&amp;mlon=47.7269&amp;zoom=12#map=12/30.3848/47.7269","Maplink1")</f>
        <v>Maplink1</v>
      </c>
      <c r="AU833" s="12" t="str">
        <f>HYPERLINK("https://www.google.iq/maps/search/+30.3848,47.7269/@30.3848,47.7269,14z?hl=en","Maplink2")</f>
        <v>Maplink2</v>
      </c>
      <c r="AV833" s="12" t="str">
        <f>HYPERLINK("http://www.bing.com/maps/?lvl=14&amp;sty=h&amp;cp=30.3848~47.7269&amp;sp=point.30.3848_47.7269","Maplink3")</f>
        <v>Maplink3</v>
      </c>
    </row>
    <row r="834" spans="1:48" ht="15" customHeight="1" x14ac:dyDescent="0.25">
      <c r="A834" s="19">
        <v>22858</v>
      </c>
      <c r="B834" s="20" t="s">
        <v>12</v>
      </c>
      <c r="C834" s="20" t="s">
        <v>1617</v>
      </c>
      <c r="D834" s="20" t="s">
        <v>1655</v>
      </c>
      <c r="E834" s="20" t="s">
        <v>5547</v>
      </c>
      <c r="F834" s="20">
        <v>30.376995555099999</v>
      </c>
      <c r="G834" s="20">
        <v>47.729425448900002</v>
      </c>
      <c r="H834" s="22">
        <v>1</v>
      </c>
      <c r="I834" s="22">
        <v>6</v>
      </c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>
        <v>1</v>
      </c>
      <c r="W834" s="21"/>
      <c r="X834" s="21"/>
      <c r="Y834" s="21"/>
      <c r="Z834" s="21"/>
      <c r="AA834" s="21"/>
      <c r="AB834" s="21"/>
      <c r="AC834" s="21">
        <v>1</v>
      </c>
      <c r="AD834" s="21"/>
      <c r="AE834" s="21"/>
      <c r="AF834" s="21"/>
      <c r="AG834" s="21"/>
      <c r="AH834" s="21"/>
      <c r="AI834" s="21"/>
      <c r="AJ834" s="21"/>
      <c r="AK834" s="21"/>
      <c r="AL834" s="21"/>
      <c r="AM834" s="21">
        <v>1</v>
      </c>
      <c r="AN834" s="21"/>
      <c r="AO834" s="21"/>
      <c r="AP834" s="21"/>
      <c r="AQ834" s="21"/>
      <c r="AR834" s="21"/>
      <c r="AS834" s="21"/>
      <c r="AT834" s="12" t="str">
        <f>HYPERLINK("http://www.openstreetmap.org/?mlat=30.377&amp;mlon=47.7294&amp;zoom=12#map=12/30.377/47.7294","Maplink1")</f>
        <v>Maplink1</v>
      </c>
      <c r="AU834" s="12" t="str">
        <f>HYPERLINK("https://www.google.iq/maps/search/+30.377,47.7294/@30.377,47.7294,14z?hl=en","Maplink2")</f>
        <v>Maplink2</v>
      </c>
      <c r="AV834" s="12" t="str">
        <f>HYPERLINK("http://www.bing.com/maps/?lvl=14&amp;sty=h&amp;cp=30.377~47.7294&amp;sp=point.30.377_47.7294","Maplink3")</f>
        <v>Maplink3</v>
      </c>
    </row>
    <row r="835" spans="1:48" ht="15" customHeight="1" x14ac:dyDescent="0.25">
      <c r="A835" s="19">
        <v>1304</v>
      </c>
      <c r="B835" s="20" t="s">
        <v>12</v>
      </c>
      <c r="C835" s="20" t="s">
        <v>1617</v>
      </c>
      <c r="D835" s="20" t="s">
        <v>1656</v>
      </c>
      <c r="E835" s="20" t="s">
        <v>1657</v>
      </c>
      <c r="F835" s="20">
        <v>30.371420669999999</v>
      </c>
      <c r="G835" s="20">
        <v>47.722416920000001</v>
      </c>
      <c r="H835" s="22">
        <v>5</v>
      </c>
      <c r="I835" s="22">
        <v>30</v>
      </c>
      <c r="J835" s="21"/>
      <c r="K835" s="21"/>
      <c r="L835" s="21"/>
      <c r="M835" s="21"/>
      <c r="N835" s="21"/>
      <c r="O835" s="21"/>
      <c r="P835" s="21"/>
      <c r="Q835" s="21"/>
      <c r="R835" s="21">
        <v>1</v>
      </c>
      <c r="S835" s="21"/>
      <c r="T835" s="21"/>
      <c r="U835" s="21"/>
      <c r="V835" s="21">
        <v>2</v>
      </c>
      <c r="W835" s="21"/>
      <c r="X835" s="21">
        <v>2</v>
      </c>
      <c r="Y835" s="21"/>
      <c r="Z835" s="21"/>
      <c r="AA835" s="21"/>
      <c r="AB835" s="21"/>
      <c r="AC835" s="21"/>
      <c r="AD835" s="21"/>
      <c r="AE835" s="21"/>
      <c r="AF835" s="21"/>
      <c r="AG835" s="21"/>
      <c r="AH835" s="21">
        <v>5</v>
      </c>
      <c r="AI835" s="21"/>
      <c r="AJ835" s="21"/>
      <c r="AK835" s="21"/>
      <c r="AL835" s="21"/>
      <c r="AM835" s="21"/>
      <c r="AN835" s="21"/>
      <c r="AO835" s="21">
        <v>4</v>
      </c>
      <c r="AP835" s="21">
        <v>1</v>
      </c>
      <c r="AQ835" s="21"/>
      <c r="AR835" s="21"/>
      <c r="AS835" s="21"/>
      <c r="AT835" s="12" t="str">
        <f>HYPERLINK("http://www.openstreetmap.org/?mlat=30.3714&amp;mlon=47.7224&amp;zoom=12#map=12/30.3714/47.7224","Maplink1")</f>
        <v>Maplink1</v>
      </c>
      <c r="AU835" s="12" t="str">
        <f>HYPERLINK("https://www.google.iq/maps/search/+30.3714,47.7224/@30.3714,47.7224,14z?hl=en","Maplink2")</f>
        <v>Maplink2</v>
      </c>
      <c r="AV835" s="12" t="str">
        <f>HYPERLINK("http://www.bing.com/maps/?lvl=14&amp;sty=h&amp;cp=30.3714~47.7224&amp;sp=point.30.3714_47.7224","Maplink3")</f>
        <v>Maplink3</v>
      </c>
    </row>
    <row r="836" spans="1:48" ht="15" customHeight="1" x14ac:dyDescent="0.25">
      <c r="A836" s="19">
        <v>1277</v>
      </c>
      <c r="B836" s="20" t="s">
        <v>12</v>
      </c>
      <c r="C836" s="20" t="s">
        <v>1617</v>
      </c>
      <c r="D836" s="20" t="s">
        <v>475</v>
      </c>
      <c r="E836" s="20" t="s">
        <v>1658</v>
      </c>
      <c r="F836" s="20">
        <v>30.376768779999999</v>
      </c>
      <c r="G836" s="20">
        <v>47.729033600000001</v>
      </c>
      <c r="H836" s="22">
        <v>9</v>
      </c>
      <c r="I836" s="22">
        <v>54</v>
      </c>
      <c r="J836" s="21">
        <v>1</v>
      </c>
      <c r="K836" s="21"/>
      <c r="L836" s="21"/>
      <c r="M836" s="21"/>
      <c r="N836" s="21"/>
      <c r="O836" s="21"/>
      <c r="P836" s="21"/>
      <c r="Q836" s="21"/>
      <c r="R836" s="21">
        <v>2</v>
      </c>
      <c r="S836" s="21"/>
      <c r="T836" s="21"/>
      <c r="U836" s="21"/>
      <c r="V836" s="21">
        <v>5</v>
      </c>
      <c r="W836" s="21"/>
      <c r="X836" s="21">
        <v>1</v>
      </c>
      <c r="Y836" s="21"/>
      <c r="Z836" s="21"/>
      <c r="AA836" s="21"/>
      <c r="AB836" s="21"/>
      <c r="AC836" s="21"/>
      <c r="AD836" s="21"/>
      <c r="AE836" s="21">
        <v>5</v>
      </c>
      <c r="AF836" s="21"/>
      <c r="AG836" s="21"/>
      <c r="AH836" s="21">
        <v>4</v>
      </c>
      <c r="AI836" s="21"/>
      <c r="AJ836" s="21"/>
      <c r="AK836" s="21"/>
      <c r="AL836" s="21"/>
      <c r="AM836" s="21">
        <v>1</v>
      </c>
      <c r="AN836" s="21">
        <v>1</v>
      </c>
      <c r="AO836" s="21">
        <v>4</v>
      </c>
      <c r="AP836" s="21">
        <v>1</v>
      </c>
      <c r="AQ836" s="21"/>
      <c r="AR836" s="21">
        <v>2</v>
      </c>
      <c r="AS836" s="21"/>
      <c r="AT836" s="12" t="str">
        <f>HYPERLINK("http://www.openstreetmap.org/?mlat=30.3768&amp;mlon=47.729&amp;zoom=12#map=12/30.3768/47.729","Maplink1")</f>
        <v>Maplink1</v>
      </c>
      <c r="AU836" s="12" t="str">
        <f>HYPERLINK("https://www.google.iq/maps/search/+30.3768,47.729/@30.3768,47.729,14z?hl=en","Maplink2")</f>
        <v>Maplink2</v>
      </c>
      <c r="AV836" s="12" t="str">
        <f>HYPERLINK("http://www.bing.com/maps/?lvl=14&amp;sty=h&amp;cp=30.3768~47.729&amp;sp=point.30.3768_47.729","Maplink3")</f>
        <v>Maplink3</v>
      </c>
    </row>
    <row r="837" spans="1:48" ht="15" customHeight="1" x14ac:dyDescent="0.25">
      <c r="A837" s="19">
        <v>29677</v>
      </c>
      <c r="B837" s="20" t="s">
        <v>12</v>
      </c>
      <c r="C837" s="20" t="s">
        <v>1617</v>
      </c>
      <c r="D837" s="20" t="s">
        <v>1659</v>
      </c>
      <c r="E837" s="20" t="s">
        <v>1660</v>
      </c>
      <c r="F837" s="20">
        <v>30.390787679999999</v>
      </c>
      <c r="G837" s="20">
        <v>47.672806950000002</v>
      </c>
      <c r="H837" s="22">
        <v>5</v>
      </c>
      <c r="I837" s="22">
        <v>30</v>
      </c>
      <c r="J837" s="21">
        <v>1</v>
      </c>
      <c r="K837" s="21"/>
      <c r="L837" s="21"/>
      <c r="M837" s="21"/>
      <c r="N837" s="21"/>
      <c r="O837" s="21"/>
      <c r="P837" s="21"/>
      <c r="Q837" s="21"/>
      <c r="R837" s="21">
        <v>3</v>
      </c>
      <c r="S837" s="21"/>
      <c r="T837" s="21"/>
      <c r="U837" s="21"/>
      <c r="V837" s="21">
        <v>1</v>
      </c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>
        <v>5</v>
      </c>
      <c r="AI837" s="21"/>
      <c r="AJ837" s="21"/>
      <c r="AK837" s="21"/>
      <c r="AL837" s="21"/>
      <c r="AM837" s="21"/>
      <c r="AN837" s="21"/>
      <c r="AO837" s="21">
        <v>5</v>
      </c>
      <c r="AP837" s="21"/>
      <c r="AQ837" s="21"/>
      <c r="AR837" s="21"/>
      <c r="AS837" s="21"/>
      <c r="AT837" s="12" t="str">
        <f>HYPERLINK("http://www.openstreetmap.org/?mlat=30.3908&amp;mlon=47.6728&amp;zoom=12#map=12/30.3908/47.6728","Maplink1")</f>
        <v>Maplink1</v>
      </c>
      <c r="AU837" s="12" t="str">
        <f>HYPERLINK("https://www.google.iq/maps/search/+30.3908,47.6728/@30.3908,47.6728,14z?hl=en","Maplink2")</f>
        <v>Maplink2</v>
      </c>
      <c r="AV837" s="12" t="str">
        <f>HYPERLINK("http://www.bing.com/maps/?lvl=14&amp;sty=h&amp;cp=30.3908~47.6728&amp;sp=point.30.3908_47.6728","Maplink3")</f>
        <v>Maplink3</v>
      </c>
    </row>
    <row r="838" spans="1:48" ht="15" customHeight="1" x14ac:dyDescent="0.25">
      <c r="A838" s="19">
        <v>1311</v>
      </c>
      <c r="B838" s="20" t="s">
        <v>12</v>
      </c>
      <c r="C838" s="20" t="s">
        <v>1617</v>
      </c>
      <c r="D838" s="20" t="s">
        <v>1661</v>
      </c>
      <c r="E838" s="20" t="s">
        <v>310</v>
      </c>
      <c r="F838" s="20">
        <v>30.38195567</v>
      </c>
      <c r="G838" s="20">
        <v>47.717614930000003</v>
      </c>
      <c r="H838" s="22">
        <v>6</v>
      </c>
      <c r="I838" s="22">
        <v>36</v>
      </c>
      <c r="J838" s="21">
        <v>3</v>
      </c>
      <c r="K838" s="21"/>
      <c r="L838" s="21"/>
      <c r="M838" s="21"/>
      <c r="N838" s="21"/>
      <c r="O838" s="21">
        <v>1</v>
      </c>
      <c r="P838" s="21"/>
      <c r="Q838" s="21"/>
      <c r="R838" s="21">
        <v>1</v>
      </c>
      <c r="S838" s="21"/>
      <c r="T838" s="21"/>
      <c r="U838" s="21"/>
      <c r="V838" s="21">
        <v>1</v>
      </c>
      <c r="W838" s="21"/>
      <c r="X838" s="21"/>
      <c r="Y838" s="21"/>
      <c r="Z838" s="21"/>
      <c r="AA838" s="21"/>
      <c r="AB838" s="21"/>
      <c r="AC838" s="21">
        <v>4</v>
      </c>
      <c r="AD838" s="21"/>
      <c r="AE838" s="21"/>
      <c r="AF838" s="21"/>
      <c r="AG838" s="21"/>
      <c r="AH838" s="21">
        <v>2</v>
      </c>
      <c r="AI838" s="21"/>
      <c r="AJ838" s="21"/>
      <c r="AK838" s="21"/>
      <c r="AL838" s="21">
        <v>3</v>
      </c>
      <c r="AM838" s="21">
        <v>1</v>
      </c>
      <c r="AN838" s="21"/>
      <c r="AO838" s="21">
        <v>1</v>
      </c>
      <c r="AP838" s="21"/>
      <c r="AQ838" s="21"/>
      <c r="AR838" s="21">
        <v>1</v>
      </c>
      <c r="AS838" s="21"/>
      <c r="AT838" s="12" t="str">
        <f>HYPERLINK("http://www.openstreetmap.org/?mlat=30.382&amp;mlon=47.7176&amp;zoom=12#map=12/30.382/47.7176","Maplink1")</f>
        <v>Maplink1</v>
      </c>
      <c r="AU838" s="12" t="str">
        <f>HYPERLINK("https://www.google.iq/maps/search/+30.382,47.7176/@30.382,47.7176,14z?hl=en","Maplink2")</f>
        <v>Maplink2</v>
      </c>
      <c r="AV838" s="12" t="str">
        <f>HYPERLINK("http://www.bing.com/maps/?lvl=14&amp;sty=h&amp;cp=30.382~47.7176&amp;sp=point.30.382_47.7176","Maplink3")</f>
        <v>Maplink3</v>
      </c>
    </row>
    <row r="839" spans="1:48" ht="15" customHeight="1" x14ac:dyDescent="0.25">
      <c r="A839" s="19">
        <v>24229</v>
      </c>
      <c r="B839" s="20" t="s">
        <v>12</v>
      </c>
      <c r="C839" s="20" t="s">
        <v>1617</v>
      </c>
      <c r="D839" s="20" t="s">
        <v>1662</v>
      </c>
      <c r="E839" s="20" t="s">
        <v>1663</v>
      </c>
      <c r="F839" s="20">
        <v>30.3813235089</v>
      </c>
      <c r="G839" s="20">
        <v>47.708151675800003</v>
      </c>
      <c r="H839" s="22">
        <v>4</v>
      </c>
      <c r="I839" s="22">
        <v>24</v>
      </c>
      <c r="J839" s="21">
        <v>1</v>
      </c>
      <c r="K839" s="21"/>
      <c r="L839" s="21">
        <v>2</v>
      </c>
      <c r="M839" s="21"/>
      <c r="N839" s="21"/>
      <c r="O839" s="21"/>
      <c r="P839" s="21"/>
      <c r="Q839" s="21"/>
      <c r="R839" s="21">
        <v>1</v>
      </c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>
        <v>1</v>
      </c>
      <c r="AE839" s="21"/>
      <c r="AF839" s="21"/>
      <c r="AG839" s="21"/>
      <c r="AH839" s="21">
        <v>3</v>
      </c>
      <c r="AI839" s="21"/>
      <c r="AJ839" s="21"/>
      <c r="AK839" s="21"/>
      <c r="AL839" s="21">
        <v>2</v>
      </c>
      <c r="AM839" s="21">
        <v>1</v>
      </c>
      <c r="AN839" s="21">
        <v>1</v>
      </c>
      <c r="AO839" s="21"/>
      <c r="AP839" s="21"/>
      <c r="AQ839" s="21"/>
      <c r="AR839" s="21"/>
      <c r="AS839" s="21"/>
      <c r="AT839" s="12" t="str">
        <f>HYPERLINK("http://www.openstreetmap.org/?mlat=30.3813&amp;mlon=47.7082&amp;zoom=12#map=12/30.3813/47.7082","Maplink1")</f>
        <v>Maplink1</v>
      </c>
      <c r="AU839" s="12" t="str">
        <f>HYPERLINK("https://www.google.iq/maps/search/+30.3813,47.7082/@30.3813,47.7082,14z?hl=en","Maplink2")</f>
        <v>Maplink2</v>
      </c>
      <c r="AV839" s="12" t="str">
        <f>HYPERLINK("http://www.bing.com/maps/?lvl=14&amp;sty=h&amp;cp=30.3813~47.7082&amp;sp=point.30.3813_47.7082","Maplink3")</f>
        <v>Maplink3</v>
      </c>
    </row>
    <row r="840" spans="1:48" ht="15" customHeight="1" x14ac:dyDescent="0.25">
      <c r="A840" s="19">
        <v>25225</v>
      </c>
      <c r="B840" s="20" t="s">
        <v>12</v>
      </c>
      <c r="C840" s="20" t="s">
        <v>1617</v>
      </c>
      <c r="D840" s="20" t="s">
        <v>1664</v>
      </c>
      <c r="E840" s="20" t="s">
        <v>1665</v>
      </c>
      <c r="F840" s="20">
        <v>30.35935752</v>
      </c>
      <c r="G840" s="20">
        <v>47.726374440000001</v>
      </c>
      <c r="H840" s="22">
        <v>4</v>
      </c>
      <c r="I840" s="22">
        <v>24</v>
      </c>
      <c r="J840" s="21"/>
      <c r="K840" s="21"/>
      <c r="L840" s="21"/>
      <c r="M840" s="21"/>
      <c r="N840" s="21"/>
      <c r="O840" s="21"/>
      <c r="P840" s="21"/>
      <c r="Q840" s="21"/>
      <c r="R840" s="21">
        <v>1</v>
      </c>
      <c r="S840" s="21"/>
      <c r="T840" s="21"/>
      <c r="U840" s="21"/>
      <c r="V840" s="21"/>
      <c r="W840" s="21"/>
      <c r="X840" s="21">
        <v>3</v>
      </c>
      <c r="Y840" s="21"/>
      <c r="Z840" s="21"/>
      <c r="AA840" s="21"/>
      <c r="AB840" s="21"/>
      <c r="AC840" s="21">
        <v>1</v>
      </c>
      <c r="AD840" s="21"/>
      <c r="AE840" s="21"/>
      <c r="AF840" s="21"/>
      <c r="AG840" s="21"/>
      <c r="AH840" s="21">
        <v>3</v>
      </c>
      <c r="AI840" s="21"/>
      <c r="AJ840" s="21"/>
      <c r="AK840" s="21"/>
      <c r="AL840" s="21"/>
      <c r="AM840" s="21">
        <v>2</v>
      </c>
      <c r="AN840" s="21">
        <v>2</v>
      </c>
      <c r="AO840" s="21"/>
      <c r="AP840" s="21"/>
      <c r="AQ840" s="21"/>
      <c r="AR840" s="21"/>
      <c r="AS840" s="21"/>
      <c r="AT840" s="12" t="str">
        <f>HYPERLINK("http://www.openstreetmap.org/?mlat=30.3594&amp;mlon=47.7264&amp;zoom=12#map=12/30.3594/47.7264","Maplink1")</f>
        <v>Maplink1</v>
      </c>
      <c r="AU840" s="12" t="str">
        <f>HYPERLINK("https://www.google.iq/maps/search/+30.3594,47.7264/@30.3594,47.7264,14z?hl=en","Maplink2")</f>
        <v>Maplink2</v>
      </c>
      <c r="AV840" s="12" t="str">
        <f>HYPERLINK("http://www.bing.com/maps/?lvl=14&amp;sty=h&amp;cp=30.3594~47.7264&amp;sp=point.30.3594_47.7264","Maplink3")</f>
        <v>Maplink3</v>
      </c>
    </row>
    <row r="841" spans="1:48" ht="15" customHeight="1" x14ac:dyDescent="0.25">
      <c r="A841" s="19">
        <v>25226</v>
      </c>
      <c r="B841" s="20" t="s">
        <v>12</v>
      </c>
      <c r="C841" s="20" t="s">
        <v>1617</v>
      </c>
      <c r="D841" s="20" t="s">
        <v>1666</v>
      </c>
      <c r="E841" s="20" t="s">
        <v>1667</v>
      </c>
      <c r="F841" s="20">
        <v>30.365066809999998</v>
      </c>
      <c r="G841" s="20">
        <v>47.720715730000002</v>
      </c>
      <c r="H841" s="22">
        <v>4</v>
      </c>
      <c r="I841" s="22">
        <v>24</v>
      </c>
      <c r="J841" s="21">
        <v>1</v>
      </c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>
        <v>3</v>
      </c>
      <c r="Y841" s="21"/>
      <c r="Z841" s="21"/>
      <c r="AA841" s="21"/>
      <c r="AB841" s="21"/>
      <c r="AC841" s="21"/>
      <c r="AD841" s="21"/>
      <c r="AE841" s="21"/>
      <c r="AF841" s="21"/>
      <c r="AG841" s="21"/>
      <c r="AH841" s="21">
        <v>4</v>
      </c>
      <c r="AI841" s="21"/>
      <c r="AJ841" s="21"/>
      <c r="AK841" s="21"/>
      <c r="AL841" s="21">
        <v>2</v>
      </c>
      <c r="AM841" s="21"/>
      <c r="AN841" s="21"/>
      <c r="AO841" s="21">
        <v>1</v>
      </c>
      <c r="AP841" s="21">
        <v>1</v>
      </c>
      <c r="AQ841" s="21"/>
      <c r="AR841" s="21"/>
      <c r="AS841" s="21"/>
      <c r="AT841" s="12" t="str">
        <f>HYPERLINK("http://www.openstreetmap.org/?mlat=30.3651&amp;mlon=47.7207&amp;zoom=12#map=12/30.3651/47.7207","Maplink1")</f>
        <v>Maplink1</v>
      </c>
      <c r="AU841" s="12" t="str">
        <f>HYPERLINK("https://www.google.iq/maps/search/+30.3651,47.7207/@30.3651,47.7207,14z?hl=en","Maplink2")</f>
        <v>Maplink2</v>
      </c>
      <c r="AV841" s="12" t="str">
        <f>HYPERLINK("http://www.bing.com/maps/?lvl=14&amp;sty=h&amp;cp=30.3651~47.7207&amp;sp=point.30.3651_47.7207","Maplink3")</f>
        <v>Maplink3</v>
      </c>
    </row>
    <row r="842" spans="1:48" ht="15" customHeight="1" x14ac:dyDescent="0.25">
      <c r="A842" s="19">
        <v>25227</v>
      </c>
      <c r="B842" s="20" t="s">
        <v>12</v>
      </c>
      <c r="C842" s="20" t="s">
        <v>1617</v>
      </c>
      <c r="D842" s="20" t="s">
        <v>1668</v>
      </c>
      <c r="E842" s="20" t="s">
        <v>1669</v>
      </c>
      <c r="F842" s="20">
        <v>30.361350980000001</v>
      </c>
      <c r="G842" s="20">
        <v>47.723813929999999</v>
      </c>
      <c r="H842" s="22">
        <v>2</v>
      </c>
      <c r="I842" s="22">
        <v>12</v>
      </c>
      <c r="J842" s="21">
        <v>2</v>
      </c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>
        <v>2</v>
      </c>
      <c r="AI842" s="21"/>
      <c r="AJ842" s="21"/>
      <c r="AK842" s="21"/>
      <c r="AL842" s="21"/>
      <c r="AM842" s="21">
        <v>2</v>
      </c>
      <c r="AN842" s="21"/>
      <c r="AO842" s="21"/>
      <c r="AP842" s="21"/>
      <c r="AQ842" s="21"/>
      <c r="AR842" s="21"/>
      <c r="AS842" s="21"/>
      <c r="AT842" s="12" t="str">
        <f>HYPERLINK("http://www.openstreetmap.org/?mlat=30.3614&amp;mlon=47.7238&amp;zoom=12#map=12/30.3614/47.7238","Maplink1")</f>
        <v>Maplink1</v>
      </c>
      <c r="AU842" s="12" t="str">
        <f>HYPERLINK("https://www.google.iq/maps/search/+30.3614,47.7238/@30.3614,47.7238,14z?hl=en","Maplink2")</f>
        <v>Maplink2</v>
      </c>
      <c r="AV842" s="12" t="str">
        <f>HYPERLINK("http://www.bing.com/maps/?lvl=14&amp;sty=h&amp;cp=30.3614~47.7238&amp;sp=point.30.3614_47.7238","Maplink3")</f>
        <v>Maplink3</v>
      </c>
    </row>
    <row r="843" spans="1:48" ht="15" customHeight="1" x14ac:dyDescent="0.25">
      <c r="A843" s="19">
        <v>657</v>
      </c>
      <c r="B843" s="20" t="s">
        <v>12</v>
      </c>
      <c r="C843" s="20" t="s">
        <v>1617</v>
      </c>
      <c r="D843" s="20" t="s">
        <v>1670</v>
      </c>
      <c r="E843" s="20" t="s">
        <v>1671</v>
      </c>
      <c r="F843" s="20">
        <v>30.041744779999998</v>
      </c>
      <c r="G843" s="20">
        <v>47.912806490000001</v>
      </c>
      <c r="H843" s="22">
        <v>2</v>
      </c>
      <c r="I843" s="22">
        <v>12</v>
      </c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>
        <v>2</v>
      </c>
      <c r="Y843" s="21"/>
      <c r="Z843" s="21"/>
      <c r="AA843" s="21"/>
      <c r="AB843" s="21"/>
      <c r="AC843" s="21"/>
      <c r="AD843" s="21"/>
      <c r="AE843" s="21"/>
      <c r="AF843" s="21"/>
      <c r="AG843" s="21"/>
      <c r="AH843" s="21">
        <v>2</v>
      </c>
      <c r="AI843" s="21"/>
      <c r="AJ843" s="21"/>
      <c r="AK843" s="21"/>
      <c r="AL843" s="21"/>
      <c r="AM843" s="21"/>
      <c r="AN843" s="21">
        <v>1</v>
      </c>
      <c r="AO843" s="21">
        <v>1</v>
      </c>
      <c r="AP843" s="21"/>
      <c r="AQ843" s="21"/>
      <c r="AR843" s="21"/>
      <c r="AS843" s="21"/>
      <c r="AT843" s="12" t="str">
        <f>HYPERLINK("http://www.openstreetmap.org/?mlat=30.0417&amp;mlon=47.9128&amp;zoom=12#map=12/30.0417/47.9128","Maplink1")</f>
        <v>Maplink1</v>
      </c>
      <c r="AU843" s="12" t="str">
        <f>HYPERLINK("https://www.google.iq/maps/search/+30.0417,47.9128/@30.0417,47.9128,14z?hl=en","Maplink2")</f>
        <v>Maplink2</v>
      </c>
      <c r="AV843" s="12" t="str">
        <f>HYPERLINK("http://www.bing.com/maps/?lvl=14&amp;sty=h&amp;cp=30.0417~47.9128&amp;sp=point.30.0417_47.9128","Maplink3")</f>
        <v>Maplink3</v>
      </c>
    </row>
    <row r="844" spans="1:48" ht="15" customHeight="1" x14ac:dyDescent="0.25">
      <c r="A844" s="19">
        <v>23630</v>
      </c>
      <c r="B844" s="20" t="s">
        <v>12</v>
      </c>
      <c r="C844" s="20" t="s">
        <v>1617</v>
      </c>
      <c r="D844" s="20" t="s">
        <v>5607</v>
      </c>
      <c r="E844" s="20" t="s">
        <v>5608</v>
      </c>
      <c r="F844" s="20">
        <v>30.333055999999999</v>
      </c>
      <c r="G844" s="20">
        <v>47.721666999999997</v>
      </c>
      <c r="H844" s="22">
        <v>2</v>
      </c>
      <c r="I844" s="22">
        <v>12</v>
      </c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>
        <v>2</v>
      </c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>
        <v>2</v>
      </c>
      <c r="AI844" s="21"/>
      <c r="AJ844" s="21"/>
      <c r="AK844" s="21"/>
      <c r="AL844" s="21"/>
      <c r="AM844" s="21"/>
      <c r="AN844" s="21"/>
      <c r="AO844" s="21"/>
      <c r="AP844" s="21"/>
      <c r="AQ844" s="21"/>
      <c r="AR844" s="21">
        <v>2</v>
      </c>
      <c r="AS844" s="21"/>
      <c r="AT844" s="12" t="str">
        <f>HYPERLINK("http://www.openstreetmap.org/?mlat=30.3331&amp;mlon=47.7217&amp;zoom=12#map=12/30.3331/47.7217","Maplink1")</f>
        <v>Maplink1</v>
      </c>
      <c r="AU844" s="12" t="str">
        <f>HYPERLINK("https://www.google.iq/maps/search/+30.3331,47.7217/@30.3331,47.7217,14z?hl=en","Maplink2")</f>
        <v>Maplink2</v>
      </c>
      <c r="AV844" s="12" t="str">
        <f>HYPERLINK("http://www.bing.com/maps/?lvl=14&amp;sty=h&amp;cp=30.3331~47.7217&amp;sp=point.30.3331_47.7217","Maplink3")</f>
        <v>Maplink3</v>
      </c>
    </row>
    <row r="845" spans="1:48" ht="15" customHeight="1" x14ac:dyDescent="0.25">
      <c r="A845" s="19">
        <v>25725</v>
      </c>
      <c r="B845" s="20" t="s">
        <v>12</v>
      </c>
      <c r="C845" s="20" t="s">
        <v>1617</v>
      </c>
      <c r="D845" s="20" t="s">
        <v>1672</v>
      </c>
      <c r="E845" s="20" t="s">
        <v>1673</v>
      </c>
      <c r="F845" s="20">
        <v>30.3909979435</v>
      </c>
      <c r="G845" s="20">
        <v>47.732539409799998</v>
      </c>
      <c r="H845" s="22">
        <v>3</v>
      </c>
      <c r="I845" s="22">
        <v>18</v>
      </c>
      <c r="J845" s="21"/>
      <c r="K845" s="21"/>
      <c r="L845" s="21">
        <v>1</v>
      </c>
      <c r="M845" s="21"/>
      <c r="N845" s="21"/>
      <c r="O845" s="21"/>
      <c r="P845" s="21"/>
      <c r="Q845" s="21"/>
      <c r="R845" s="21"/>
      <c r="S845" s="21"/>
      <c r="T845" s="21"/>
      <c r="U845" s="21"/>
      <c r="V845" s="21">
        <v>2</v>
      </c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>
        <v>3</v>
      </c>
      <c r="AI845" s="21"/>
      <c r="AJ845" s="21"/>
      <c r="AK845" s="21"/>
      <c r="AL845" s="21"/>
      <c r="AM845" s="21"/>
      <c r="AN845" s="21"/>
      <c r="AO845" s="21">
        <v>1</v>
      </c>
      <c r="AP845" s="21">
        <v>1</v>
      </c>
      <c r="AQ845" s="21">
        <v>1</v>
      </c>
      <c r="AR845" s="21"/>
      <c r="AS845" s="21"/>
      <c r="AT845" s="12" t="str">
        <f>HYPERLINK("http://www.openstreetmap.org/?mlat=30.391&amp;mlon=47.7325&amp;zoom=12#map=12/30.391/47.7325","Maplink1")</f>
        <v>Maplink1</v>
      </c>
      <c r="AU845" s="12" t="str">
        <f>HYPERLINK("https://www.google.iq/maps/search/+30.391,47.7325/@30.391,47.7325,14z?hl=en","Maplink2")</f>
        <v>Maplink2</v>
      </c>
      <c r="AV845" s="12" t="str">
        <f>HYPERLINK("http://www.bing.com/maps/?lvl=14&amp;sty=h&amp;cp=30.391~47.7325&amp;sp=point.30.391_47.7325","Maplink3")</f>
        <v>Maplink3</v>
      </c>
    </row>
    <row r="846" spans="1:48" ht="15" customHeight="1" x14ac:dyDescent="0.25">
      <c r="A846" s="19">
        <v>32087</v>
      </c>
      <c r="B846" s="20" t="s">
        <v>12</v>
      </c>
      <c r="C846" s="20" t="s">
        <v>1617</v>
      </c>
      <c r="D846" s="20" t="s">
        <v>1674</v>
      </c>
      <c r="E846" s="20" t="s">
        <v>1675</v>
      </c>
      <c r="F846" s="20">
        <v>30.300754999999999</v>
      </c>
      <c r="G846" s="20">
        <v>47.798481000000002</v>
      </c>
      <c r="H846" s="22">
        <v>3</v>
      </c>
      <c r="I846" s="22">
        <v>18</v>
      </c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>
        <v>3</v>
      </c>
      <c r="W846" s="21"/>
      <c r="X846" s="21"/>
      <c r="Y846" s="21"/>
      <c r="Z846" s="21"/>
      <c r="AA846" s="21"/>
      <c r="AB846" s="21"/>
      <c r="AC846" s="21"/>
      <c r="AD846" s="21"/>
      <c r="AE846" s="21">
        <v>3</v>
      </c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>
        <v>3</v>
      </c>
      <c r="AT846" s="12" t="str">
        <f>HYPERLINK("http://www.openstreetmap.org/?mlat=30.3008&amp;mlon=47.7985&amp;zoom=12#map=12/30.3008/47.7985","Maplink1")</f>
        <v>Maplink1</v>
      </c>
      <c r="AU846" s="12" t="str">
        <f>HYPERLINK("https://www.google.iq/maps/search/+30.3008,47.7985/@30.3008,47.7985,14z?hl=en","Maplink2")</f>
        <v>Maplink2</v>
      </c>
      <c r="AV846" s="12" t="str">
        <f>HYPERLINK("http://www.bing.com/maps/?lvl=14&amp;sty=h&amp;cp=30.3008~47.7985&amp;sp=point.30.3008_47.7985","Maplink3")</f>
        <v>Maplink3</v>
      </c>
    </row>
    <row r="847" spans="1:48" ht="15" customHeight="1" x14ac:dyDescent="0.25">
      <c r="A847" s="19">
        <v>28408</v>
      </c>
      <c r="B847" s="20" t="s">
        <v>12</v>
      </c>
      <c r="C847" s="20" t="s">
        <v>1617</v>
      </c>
      <c r="D847" s="20" t="s">
        <v>1676</v>
      </c>
      <c r="E847" s="20" t="s">
        <v>1677</v>
      </c>
      <c r="F847" s="20">
        <v>30.226645080000001</v>
      </c>
      <c r="G847" s="20">
        <v>47.765013000000003</v>
      </c>
      <c r="H847" s="22">
        <v>10</v>
      </c>
      <c r="I847" s="22">
        <v>60</v>
      </c>
      <c r="J847" s="21">
        <v>6</v>
      </c>
      <c r="K847" s="21"/>
      <c r="L847" s="21"/>
      <c r="M847" s="21"/>
      <c r="N847" s="21"/>
      <c r="O847" s="21"/>
      <c r="P847" s="21"/>
      <c r="Q847" s="21"/>
      <c r="R847" s="21">
        <v>2</v>
      </c>
      <c r="S847" s="21"/>
      <c r="T847" s="21"/>
      <c r="U847" s="21"/>
      <c r="V847" s="21"/>
      <c r="W847" s="21"/>
      <c r="X847" s="21">
        <v>2</v>
      </c>
      <c r="Y847" s="21"/>
      <c r="Z847" s="21"/>
      <c r="AA847" s="21"/>
      <c r="AB847" s="21"/>
      <c r="AC847" s="21">
        <v>1</v>
      </c>
      <c r="AD847" s="21"/>
      <c r="AE847" s="21">
        <v>1</v>
      </c>
      <c r="AF847" s="21"/>
      <c r="AG847" s="21"/>
      <c r="AH847" s="21">
        <v>8</v>
      </c>
      <c r="AI847" s="21"/>
      <c r="AJ847" s="21"/>
      <c r="AK847" s="21"/>
      <c r="AL847" s="21"/>
      <c r="AM847" s="21">
        <v>1</v>
      </c>
      <c r="AN847" s="21"/>
      <c r="AO847" s="21">
        <v>4</v>
      </c>
      <c r="AP847" s="21">
        <v>3</v>
      </c>
      <c r="AQ847" s="21">
        <v>2</v>
      </c>
      <c r="AR847" s="21"/>
      <c r="AS847" s="21"/>
      <c r="AT847" s="12" t="str">
        <f>HYPERLINK("http://www.openstreetmap.org/?mlat=30.2266&amp;mlon=47.765&amp;zoom=12#map=12/30.2266/47.765","Maplink1")</f>
        <v>Maplink1</v>
      </c>
      <c r="AU847" s="12" t="str">
        <f>HYPERLINK("https://www.google.iq/maps/search/+30.2266,47.765/@30.2266,47.765,14z?hl=en","Maplink2")</f>
        <v>Maplink2</v>
      </c>
      <c r="AV847" s="12" t="str">
        <f>HYPERLINK("http://www.bing.com/maps/?lvl=14&amp;sty=h&amp;cp=30.2266~47.765&amp;sp=point.30.2266_47.765","Maplink3")</f>
        <v>Maplink3</v>
      </c>
    </row>
    <row r="848" spans="1:48" ht="15" customHeight="1" x14ac:dyDescent="0.25">
      <c r="A848" s="19">
        <v>27196</v>
      </c>
      <c r="B848" s="20" t="s">
        <v>12</v>
      </c>
      <c r="C848" s="20" t="s">
        <v>1617</v>
      </c>
      <c r="D848" s="20" t="s">
        <v>1678</v>
      </c>
      <c r="E848" s="20" t="s">
        <v>1679</v>
      </c>
      <c r="F848" s="20">
        <v>30.22728437</v>
      </c>
      <c r="G848" s="20">
        <v>47.77031925</v>
      </c>
      <c r="H848" s="22">
        <v>5</v>
      </c>
      <c r="I848" s="22">
        <v>30</v>
      </c>
      <c r="J848" s="21">
        <v>3</v>
      </c>
      <c r="K848" s="21">
        <v>1</v>
      </c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>
        <v>1</v>
      </c>
      <c r="W848" s="21"/>
      <c r="X848" s="21"/>
      <c r="Y848" s="21"/>
      <c r="Z848" s="21"/>
      <c r="AA848" s="21"/>
      <c r="AB848" s="21"/>
      <c r="AC848" s="21">
        <v>1</v>
      </c>
      <c r="AD848" s="21"/>
      <c r="AE848" s="21"/>
      <c r="AF848" s="21"/>
      <c r="AG848" s="21"/>
      <c r="AH848" s="21">
        <v>4</v>
      </c>
      <c r="AI848" s="21"/>
      <c r="AJ848" s="21"/>
      <c r="AK848" s="21"/>
      <c r="AL848" s="21"/>
      <c r="AM848" s="21"/>
      <c r="AN848" s="21">
        <v>1</v>
      </c>
      <c r="AO848" s="21">
        <v>3</v>
      </c>
      <c r="AP848" s="21"/>
      <c r="AQ848" s="21"/>
      <c r="AR848" s="21">
        <v>1</v>
      </c>
      <c r="AS848" s="21"/>
      <c r="AT848" s="12" t="str">
        <f>HYPERLINK("http://www.openstreetmap.org/?mlat=30.2273&amp;mlon=47.7703&amp;zoom=12#map=12/30.2273/47.7703","Maplink1")</f>
        <v>Maplink1</v>
      </c>
      <c r="AU848" s="12" t="str">
        <f>HYPERLINK("https://www.google.iq/maps/search/+30.2273,47.7703/@30.2273,47.7703,14z?hl=en","Maplink2")</f>
        <v>Maplink2</v>
      </c>
      <c r="AV848" s="12" t="str">
        <f>HYPERLINK("http://www.bing.com/maps/?lvl=14&amp;sty=h&amp;cp=30.2273~47.7703&amp;sp=point.30.2273_47.7703","Maplink3")</f>
        <v>Maplink3</v>
      </c>
    </row>
    <row r="849" spans="1:48" ht="15" customHeight="1" x14ac:dyDescent="0.25">
      <c r="A849" s="19">
        <v>23898</v>
      </c>
      <c r="B849" s="20" t="s">
        <v>12</v>
      </c>
      <c r="C849" s="20" t="s">
        <v>1617</v>
      </c>
      <c r="D849" s="20" t="s">
        <v>1680</v>
      </c>
      <c r="E849" s="20" t="s">
        <v>1681</v>
      </c>
      <c r="F849" s="20">
        <v>30.23393583</v>
      </c>
      <c r="G849" s="20">
        <v>47.762709059999999</v>
      </c>
      <c r="H849" s="22">
        <v>2</v>
      </c>
      <c r="I849" s="22">
        <v>12</v>
      </c>
      <c r="J849" s="21">
        <v>1</v>
      </c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>
        <v>1</v>
      </c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>
        <v>2</v>
      </c>
      <c r="AI849" s="21"/>
      <c r="AJ849" s="21"/>
      <c r="AK849" s="21"/>
      <c r="AL849" s="21"/>
      <c r="AM849" s="21"/>
      <c r="AN849" s="21"/>
      <c r="AO849" s="21">
        <v>2</v>
      </c>
      <c r="AP849" s="21"/>
      <c r="AQ849" s="21"/>
      <c r="AR849" s="21"/>
      <c r="AS849" s="21"/>
      <c r="AT849" s="12" t="str">
        <f>HYPERLINK("http://www.openstreetmap.org/?mlat=30.2339&amp;mlon=47.7627&amp;zoom=12#map=12/30.2339/47.7627","Maplink1")</f>
        <v>Maplink1</v>
      </c>
      <c r="AU849" s="12" t="str">
        <f>HYPERLINK("https://www.google.iq/maps/search/+30.2339,47.7627/@30.2339,47.7627,14z?hl=en","Maplink2")</f>
        <v>Maplink2</v>
      </c>
      <c r="AV849" s="12" t="str">
        <f>HYPERLINK("http://www.bing.com/maps/?lvl=14&amp;sty=h&amp;cp=30.2339~47.7627&amp;sp=point.30.2339_47.7627","Maplink3")</f>
        <v>Maplink3</v>
      </c>
    </row>
    <row r="850" spans="1:48" ht="15" customHeight="1" x14ac:dyDescent="0.25">
      <c r="A850" s="19">
        <v>26111</v>
      </c>
      <c r="B850" s="20" t="s">
        <v>12</v>
      </c>
      <c r="C850" s="20" t="s">
        <v>1617</v>
      </c>
      <c r="D850" s="20" t="s">
        <v>1682</v>
      </c>
      <c r="E850" s="20" t="s">
        <v>1683</v>
      </c>
      <c r="F850" s="20">
        <v>30.224509579999999</v>
      </c>
      <c r="G850" s="20">
        <v>47.77697423</v>
      </c>
      <c r="H850" s="22">
        <v>6</v>
      </c>
      <c r="I850" s="22">
        <v>36</v>
      </c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>
        <v>6</v>
      </c>
      <c r="Y850" s="21"/>
      <c r="Z850" s="21"/>
      <c r="AA850" s="21"/>
      <c r="AB850" s="21"/>
      <c r="AC850" s="21"/>
      <c r="AD850" s="21"/>
      <c r="AE850" s="21"/>
      <c r="AF850" s="21"/>
      <c r="AG850" s="21"/>
      <c r="AH850" s="21">
        <v>6</v>
      </c>
      <c r="AI850" s="21"/>
      <c r="AJ850" s="21"/>
      <c r="AK850" s="21"/>
      <c r="AL850" s="21"/>
      <c r="AM850" s="21">
        <v>3</v>
      </c>
      <c r="AN850" s="21">
        <v>1</v>
      </c>
      <c r="AO850" s="21">
        <v>1</v>
      </c>
      <c r="AP850" s="21"/>
      <c r="AQ850" s="21">
        <v>1</v>
      </c>
      <c r="AR850" s="21"/>
      <c r="AS850" s="21"/>
      <c r="AT850" s="12" t="str">
        <f>HYPERLINK("http://www.openstreetmap.org/?mlat=30.2245&amp;mlon=47.777&amp;zoom=12#map=12/30.2245/47.777","Maplink1")</f>
        <v>Maplink1</v>
      </c>
      <c r="AU850" s="12" t="str">
        <f>HYPERLINK("https://www.google.iq/maps/search/+30.2245,47.777/@30.2245,47.777,14z?hl=en","Maplink2")</f>
        <v>Maplink2</v>
      </c>
      <c r="AV850" s="12" t="str">
        <f>HYPERLINK("http://www.bing.com/maps/?lvl=14&amp;sty=h&amp;cp=30.2245~47.777&amp;sp=point.30.2245_47.777","Maplink3")</f>
        <v>Maplink3</v>
      </c>
    </row>
    <row r="851" spans="1:48" ht="15" customHeight="1" x14ac:dyDescent="0.25">
      <c r="A851" s="19">
        <v>26107</v>
      </c>
      <c r="B851" s="20" t="s">
        <v>12</v>
      </c>
      <c r="C851" s="20" t="s">
        <v>1617</v>
      </c>
      <c r="D851" s="20" t="s">
        <v>1684</v>
      </c>
      <c r="E851" s="20" t="s">
        <v>1685</v>
      </c>
      <c r="F851" s="20">
        <v>30.233939809999999</v>
      </c>
      <c r="G851" s="20">
        <v>47.758436979999999</v>
      </c>
      <c r="H851" s="22">
        <v>2</v>
      </c>
      <c r="I851" s="22">
        <v>12</v>
      </c>
      <c r="J851" s="21">
        <v>1</v>
      </c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>
        <v>1</v>
      </c>
      <c r="Y851" s="21"/>
      <c r="Z851" s="21"/>
      <c r="AA851" s="21"/>
      <c r="AB851" s="21"/>
      <c r="AC851" s="21"/>
      <c r="AD851" s="21"/>
      <c r="AE851" s="21"/>
      <c r="AF851" s="21"/>
      <c r="AG851" s="21"/>
      <c r="AH851" s="21">
        <v>2</v>
      </c>
      <c r="AI851" s="21"/>
      <c r="AJ851" s="21"/>
      <c r="AK851" s="21"/>
      <c r="AL851" s="21"/>
      <c r="AM851" s="21"/>
      <c r="AN851" s="21"/>
      <c r="AO851" s="21">
        <v>1</v>
      </c>
      <c r="AP851" s="21"/>
      <c r="AQ851" s="21">
        <v>1</v>
      </c>
      <c r="AR851" s="21"/>
      <c r="AS851" s="21"/>
      <c r="AT851" s="12" t="str">
        <f>HYPERLINK("http://www.openstreetmap.org/?mlat=30.2339&amp;mlon=47.7584&amp;zoom=12#map=12/30.2339/47.7584","Maplink1")</f>
        <v>Maplink1</v>
      </c>
      <c r="AU851" s="12" t="str">
        <f>HYPERLINK("https://www.google.iq/maps/search/+30.2339,47.7584/@30.2339,47.7584,14z?hl=en","Maplink2")</f>
        <v>Maplink2</v>
      </c>
      <c r="AV851" s="12" t="str">
        <f>HYPERLINK("http://www.bing.com/maps/?lvl=14&amp;sty=h&amp;cp=30.2339~47.7584&amp;sp=point.30.2339_47.7584","Maplink3")</f>
        <v>Maplink3</v>
      </c>
    </row>
    <row r="852" spans="1:48" ht="15" customHeight="1" x14ac:dyDescent="0.25">
      <c r="A852" s="19">
        <v>26108</v>
      </c>
      <c r="B852" s="20" t="s">
        <v>12</v>
      </c>
      <c r="C852" s="20" t="s">
        <v>1617</v>
      </c>
      <c r="D852" s="20" t="s">
        <v>1686</v>
      </c>
      <c r="E852" s="20" t="s">
        <v>1687</v>
      </c>
      <c r="F852" s="20">
        <v>30.240257039999999</v>
      </c>
      <c r="G852" s="20">
        <v>47.770921739999999</v>
      </c>
      <c r="H852" s="22">
        <v>1</v>
      </c>
      <c r="I852" s="22">
        <v>6</v>
      </c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>
        <v>1</v>
      </c>
      <c r="Y852" s="21"/>
      <c r="Z852" s="21"/>
      <c r="AA852" s="21"/>
      <c r="AB852" s="21"/>
      <c r="AC852" s="21"/>
      <c r="AD852" s="21"/>
      <c r="AE852" s="21"/>
      <c r="AF852" s="21"/>
      <c r="AG852" s="21"/>
      <c r="AH852" s="21">
        <v>1</v>
      </c>
      <c r="AI852" s="21"/>
      <c r="AJ852" s="21"/>
      <c r="AK852" s="21"/>
      <c r="AL852" s="21"/>
      <c r="AM852" s="21"/>
      <c r="AN852" s="21"/>
      <c r="AO852" s="21"/>
      <c r="AP852" s="21">
        <v>1</v>
      </c>
      <c r="AQ852" s="21"/>
      <c r="AR852" s="21"/>
      <c r="AS852" s="21"/>
      <c r="AT852" s="12" t="str">
        <f>HYPERLINK("http://www.openstreetmap.org/?mlat=30.2403&amp;mlon=47.7709&amp;zoom=12#map=12/30.2403/47.7709","Maplink1")</f>
        <v>Maplink1</v>
      </c>
      <c r="AU852" s="12" t="str">
        <f>HYPERLINK("https://www.google.iq/maps/search/+30.2403,47.7709/@30.2403,47.7709,14z?hl=en","Maplink2")</f>
        <v>Maplink2</v>
      </c>
      <c r="AV852" s="12" t="str">
        <f>HYPERLINK("http://www.bing.com/maps/?lvl=14&amp;sty=h&amp;cp=30.2403~47.7709&amp;sp=point.30.2403_47.7709","Maplink3")</f>
        <v>Maplink3</v>
      </c>
    </row>
    <row r="853" spans="1:48" ht="15" customHeight="1" x14ac:dyDescent="0.25">
      <c r="A853" s="19">
        <v>26109</v>
      </c>
      <c r="B853" s="20" t="s">
        <v>12</v>
      </c>
      <c r="C853" s="20" t="s">
        <v>1617</v>
      </c>
      <c r="D853" s="20" t="s">
        <v>1688</v>
      </c>
      <c r="E853" s="20" t="s">
        <v>1689</v>
      </c>
      <c r="F853" s="20">
        <v>30.228520240000002</v>
      </c>
      <c r="G853" s="20">
        <v>47.78164177</v>
      </c>
      <c r="H853" s="22">
        <v>1</v>
      </c>
      <c r="I853" s="22">
        <v>6</v>
      </c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>
        <v>1</v>
      </c>
      <c r="W853" s="21"/>
      <c r="X853" s="21"/>
      <c r="Y853" s="21"/>
      <c r="Z853" s="21"/>
      <c r="AA853" s="21"/>
      <c r="AB853" s="21"/>
      <c r="AC853" s="21"/>
      <c r="AD853" s="21"/>
      <c r="AE853" s="21">
        <v>1</v>
      </c>
      <c r="AF853" s="21"/>
      <c r="AG853" s="21"/>
      <c r="AH853" s="21"/>
      <c r="AI853" s="21"/>
      <c r="AJ853" s="21"/>
      <c r="AK853" s="21"/>
      <c r="AL853" s="21"/>
      <c r="AM853" s="21">
        <v>1</v>
      </c>
      <c r="AN853" s="21"/>
      <c r="AO853" s="21"/>
      <c r="AP853" s="21"/>
      <c r="AQ853" s="21"/>
      <c r="AR853" s="21"/>
      <c r="AS853" s="21"/>
      <c r="AT853" s="12" t="str">
        <f>HYPERLINK("http://www.openstreetmap.org/?mlat=30.2285&amp;mlon=47.7816&amp;zoom=12#map=12/30.2285/47.7816","Maplink1")</f>
        <v>Maplink1</v>
      </c>
      <c r="AU853" s="12" t="str">
        <f>HYPERLINK("https://www.google.iq/maps/search/+30.2285,47.7816/@30.2285,47.7816,14z?hl=en","Maplink2")</f>
        <v>Maplink2</v>
      </c>
      <c r="AV853" s="12" t="str">
        <f>HYPERLINK("http://www.bing.com/maps/?lvl=14&amp;sty=h&amp;cp=30.2285~47.7816&amp;sp=point.30.2285_47.7816","Maplink3")</f>
        <v>Maplink3</v>
      </c>
    </row>
    <row r="854" spans="1:48" ht="15" customHeight="1" x14ac:dyDescent="0.25">
      <c r="A854" s="19">
        <v>26110</v>
      </c>
      <c r="B854" s="20" t="s">
        <v>12</v>
      </c>
      <c r="C854" s="20" t="s">
        <v>1617</v>
      </c>
      <c r="D854" s="20" t="s">
        <v>1690</v>
      </c>
      <c r="E854" s="20" t="s">
        <v>1691</v>
      </c>
      <c r="F854" s="20">
        <v>30.237141319999999</v>
      </c>
      <c r="G854" s="20">
        <v>47.76764944</v>
      </c>
      <c r="H854" s="22">
        <v>3</v>
      </c>
      <c r="I854" s="22">
        <v>18</v>
      </c>
      <c r="J854" s="21">
        <v>3</v>
      </c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>
        <v>3</v>
      </c>
      <c r="AI854" s="21"/>
      <c r="AJ854" s="21"/>
      <c r="AK854" s="21"/>
      <c r="AL854" s="21"/>
      <c r="AM854" s="21"/>
      <c r="AN854" s="21"/>
      <c r="AO854" s="21">
        <v>1</v>
      </c>
      <c r="AP854" s="21">
        <v>2</v>
      </c>
      <c r="AQ854" s="21"/>
      <c r="AR854" s="21"/>
      <c r="AS854" s="21"/>
      <c r="AT854" s="12" t="str">
        <f>HYPERLINK("http://www.openstreetmap.org/?mlat=30.2371&amp;mlon=47.7676&amp;zoom=12#map=12/30.2371/47.7676","Maplink1")</f>
        <v>Maplink1</v>
      </c>
      <c r="AU854" s="12" t="str">
        <f>HYPERLINK("https://www.google.iq/maps/search/+30.2371,47.7676/@30.2371,47.7676,14z?hl=en","Maplink2")</f>
        <v>Maplink2</v>
      </c>
      <c r="AV854" s="12" t="str">
        <f>HYPERLINK("http://www.bing.com/maps/?lvl=14&amp;sty=h&amp;cp=30.2371~47.7676&amp;sp=point.30.2371_47.7676","Maplink3")</f>
        <v>Maplink3</v>
      </c>
    </row>
    <row r="855" spans="1:48" ht="15" customHeight="1" x14ac:dyDescent="0.25">
      <c r="A855" s="19">
        <v>1303</v>
      </c>
      <c r="B855" s="20" t="s">
        <v>12</v>
      </c>
      <c r="C855" s="20" t="s">
        <v>1617</v>
      </c>
      <c r="D855" s="20" t="s">
        <v>1692</v>
      </c>
      <c r="E855" s="20" t="s">
        <v>1693</v>
      </c>
      <c r="F855" s="20">
        <v>30.241958690000001</v>
      </c>
      <c r="G855" s="20">
        <v>47.774282540000002</v>
      </c>
      <c r="H855" s="22">
        <v>3</v>
      </c>
      <c r="I855" s="22">
        <v>18</v>
      </c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>
        <v>1</v>
      </c>
      <c r="W855" s="21"/>
      <c r="X855" s="21">
        <v>2</v>
      </c>
      <c r="Y855" s="21"/>
      <c r="Z855" s="21"/>
      <c r="AA855" s="21"/>
      <c r="AB855" s="21"/>
      <c r="AC855" s="21"/>
      <c r="AD855" s="21"/>
      <c r="AE855" s="21"/>
      <c r="AF855" s="21"/>
      <c r="AG855" s="21"/>
      <c r="AH855" s="21">
        <v>3</v>
      </c>
      <c r="AI855" s="21"/>
      <c r="AJ855" s="21"/>
      <c r="AK855" s="21"/>
      <c r="AL855" s="21"/>
      <c r="AM855" s="21"/>
      <c r="AN855" s="21"/>
      <c r="AO855" s="21">
        <v>3</v>
      </c>
      <c r="AP855" s="21"/>
      <c r="AQ855" s="21"/>
      <c r="AR855" s="21"/>
      <c r="AS855" s="21"/>
      <c r="AT855" s="12" t="str">
        <f>HYPERLINK("http://www.openstreetmap.org/?mlat=30.242&amp;mlon=47.7743&amp;zoom=12#map=12/30.242/47.7743","Maplink1")</f>
        <v>Maplink1</v>
      </c>
      <c r="AU855" s="12" t="str">
        <f>HYPERLINK("https://www.google.iq/maps/search/+30.242,47.7743/@30.242,47.7743,14z?hl=en","Maplink2")</f>
        <v>Maplink2</v>
      </c>
      <c r="AV855" s="12" t="str">
        <f>HYPERLINK("http://www.bing.com/maps/?lvl=14&amp;sty=h&amp;cp=30.242~47.7743&amp;sp=point.30.242_47.7743","Maplink3")</f>
        <v>Maplink3</v>
      </c>
    </row>
    <row r="856" spans="1:48" ht="15" customHeight="1" x14ac:dyDescent="0.25">
      <c r="A856" s="19">
        <v>23976</v>
      </c>
      <c r="B856" s="20" t="s">
        <v>12</v>
      </c>
      <c r="C856" s="20" t="s">
        <v>1617</v>
      </c>
      <c r="D856" s="20" t="s">
        <v>1694</v>
      </c>
      <c r="E856" s="20" t="s">
        <v>1695</v>
      </c>
      <c r="F856" s="20">
        <v>30.394005499999999</v>
      </c>
      <c r="G856" s="20">
        <v>47.693635899999997</v>
      </c>
      <c r="H856" s="22">
        <v>26</v>
      </c>
      <c r="I856" s="22">
        <v>156</v>
      </c>
      <c r="J856" s="21">
        <v>9</v>
      </c>
      <c r="K856" s="21"/>
      <c r="L856" s="21"/>
      <c r="M856" s="21"/>
      <c r="N856" s="21"/>
      <c r="O856" s="21"/>
      <c r="P856" s="21"/>
      <c r="Q856" s="21"/>
      <c r="R856" s="21">
        <v>1</v>
      </c>
      <c r="S856" s="21"/>
      <c r="T856" s="21"/>
      <c r="U856" s="21"/>
      <c r="V856" s="21">
        <v>6</v>
      </c>
      <c r="W856" s="21"/>
      <c r="X856" s="21">
        <v>10</v>
      </c>
      <c r="Y856" s="21"/>
      <c r="Z856" s="21"/>
      <c r="AA856" s="21"/>
      <c r="AB856" s="21"/>
      <c r="AC856" s="21">
        <v>4</v>
      </c>
      <c r="AD856" s="21"/>
      <c r="AE856" s="21"/>
      <c r="AF856" s="21"/>
      <c r="AG856" s="21"/>
      <c r="AH856" s="21">
        <v>22</v>
      </c>
      <c r="AI856" s="21"/>
      <c r="AJ856" s="21"/>
      <c r="AK856" s="21"/>
      <c r="AL856" s="21"/>
      <c r="AM856" s="21">
        <v>7</v>
      </c>
      <c r="AN856" s="21">
        <v>2</v>
      </c>
      <c r="AO856" s="21">
        <v>2</v>
      </c>
      <c r="AP856" s="21">
        <v>12</v>
      </c>
      <c r="AQ856" s="21"/>
      <c r="AR856" s="21">
        <v>3</v>
      </c>
      <c r="AS856" s="21"/>
      <c r="AT856" s="12" t="str">
        <f>HYPERLINK("http://www.openstreetmap.org/?mlat=30.394&amp;mlon=47.6936&amp;zoom=12#map=12/30.394/47.6936","Maplink1")</f>
        <v>Maplink1</v>
      </c>
      <c r="AU856" s="12" t="str">
        <f>HYPERLINK("https://www.google.iq/maps/search/+30.394,47.6936/@30.394,47.6936,14z?hl=en","Maplink2")</f>
        <v>Maplink2</v>
      </c>
      <c r="AV856" s="12" t="str">
        <f>HYPERLINK("http://www.bing.com/maps/?lvl=14&amp;sty=h&amp;cp=30.394~47.6936&amp;sp=point.30.394_47.6936","Maplink3")</f>
        <v>Maplink3</v>
      </c>
    </row>
    <row r="857" spans="1:48" ht="15" customHeight="1" x14ac:dyDescent="0.25">
      <c r="A857" s="19">
        <v>25018</v>
      </c>
      <c r="B857" s="20" t="s">
        <v>12</v>
      </c>
      <c r="C857" s="20" t="s">
        <v>1617</v>
      </c>
      <c r="D857" s="20" t="s">
        <v>1696</v>
      </c>
      <c r="E857" s="20" t="s">
        <v>1697</v>
      </c>
      <c r="F857" s="20">
        <v>30.117226039999998</v>
      </c>
      <c r="G857" s="20">
        <v>47.718948660000002</v>
      </c>
      <c r="H857" s="22">
        <v>4</v>
      </c>
      <c r="I857" s="22">
        <v>24</v>
      </c>
      <c r="J857" s="21">
        <v>1</v>
      </c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>
        <v>3</v>
      </c>
      <c r="Y857" s="21"/>
      <c r="Z857" s="21"/>
      <c r="AA857" s="21"/>
      <c r="AB857" s="21"/>
      <c r="AC857" s="21"/>
      <c r="AD857" s="21"/>
      <c r="AE857" s="21"/>
      <c r="AF857" s="21"/>
      <c r="AG857" s="21"/>
      <c r="AH857" s="21">
        <v>4</v>
      </c>
      <c r="AI857" s="21"/>
      <c r="AJ857" s="21"/>
      <c r="AK857" s="21"/>
      <c r="AL857" s="21">
        <v>1</v>
      </c>
      <c r="AM857" s="21"/>
      <c r="AN857" s="21"/>
      <c r="AO857" s="21">
        <v>3</v>
      </c>
      <c r="AP857" s="21"/>
      <c r="AQ857" s="21"/>
      <c r="AR857" s="21"/>
      <c r="AS857" s="21"/>
      <c r="AT857" s="12" t="str">
        <f>HYPERLINK("http://www.openstreetmap.org/?mlat=30.1172&amp;mlon=47.7189&amp;zoom=12#map=12/30.1172/47.7189","Maplink1")</f>
        <v>Maplink1</v>
      </c>
      <c r="AU857" s="12" t="str">
        <f>HYPERLINK("https://www.google.iq/maps/search/+30.1172,47.7189/@30.1172,47.7189,14z?hl=en","Maplink2")</f>
        <v>Maplink2</v>
      </c>
      <c r="AV857" s="12" t="str">
        <f>HYPERLINK("http://www.bing.com/maps/?lvl=14&amp;sty=h&amp;cp=30.1172~47.7189&amp;sp=point.30.1172_47.7189","Maplink3")</f>
        <v>Maplink3</v>
      </c>
    </row>
    <row r="858" spans="1:48" ht="15" customHeight="1" x14ac:dyDescent="0.25">
      <c r="A858" s="19">
        <v>25015</v>
      </c>
      <c r="B858" s="20" t="s">
        <v>12</v>
      </c>
      <c r="C858" s="20" t="s">
        <v>1617</v>
      </c>
      <c r="D858" s="20" t="s">
        <v>1698</v>
      </c>
      <c r="E858" s="20" t="s">
        <v>1699</v>
      </c>
      <c r="F858" s="20">
        <v>30.11285475</v>
      </c>
      <c r="G858" s="20">
        <v>47.715101529999998</v>
      </c>
      <c r="H858" s="22">
        <v>1</v>
      </c>
      <c r="I858" s="22">
        <v>6</v>
      </c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>
        <v>1</v>
      </c>
      <c r="W858" s="21"/>
      <c r="X858" s="21"/>
      <c r="Y858" s="21"/>
      <c r="Z858" s="21"/>
      <c r="AA858" s="21"/>
      <c r="AB858" s="21"/>
      <c r="AC858" s="21">
        <v>1</v>
      </c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>
        <v>1</v>
      </c>
      <c r="AO858" s="21"/>
      <c r="AP858" s="21"/>
      <c r="AQ858" s="21"/>
      <c r="AR858" s="21"/>
      <c r="AS858" s="21"/>
      <c r="AT858" s="12" t="str">
        <f>HYPERLINK("http://www.openstreetmap.org/?mlat=30.1129&amp;mlon=47.7151&amp;zoom=12#map=12/30.1129/47.7151","Maplink1")</f>
        <v>Maplink1</v>
      </c>
      <c r="AU858" s="12" t="str">
        <f>HYPERLINK("https://www.google.iq/maps/search/+30.1129,47.7151/@30.1129,47.7151,14z?hl=en","Maplink2")</f>
        <v>Maplink2</v>
      </c>
      <c r="AV858" s="12" t="str">
        <f>HYPERLINK("http://www.bing.com/maps/?lvl=14&amp;sty=h&amp;cp=30.1129~47.7151&amp;sp=point.30.1129_47.7151","Maplink3")</f>
        <v>Maplink3</v>
      </c>
    </row>
    <row r="859" spans="1:48" ht="15" customHeight="1" x14ac:dyDescent="0.25">
      <c r="A859" s="19">
        <v>27295</v>
      </c>
      <c r="B859" s="20" t="s">
        <v>12</v>
      </c>
      <c r="C859" s="20" t="s">
        <v>1617</v>
      </c>
      <c r="D859" s="20" t="s">
        <v>1700</v>
      </c>
      <c r="E859" s="20" t="s">
        <v>1701</v>
      </c>
      <c r="F859" s="20">
        <v>30.031661100000001</v>
      </c>
      <c r="G859" s="20">
        <v>47.919915600000003</v>
      </c>
      <c r="H859" s="22">
        <v>4</v>
      </c>
      <c r="I859" s="22">
        <v>24</v>
      </c>
      <c r="J859" s="21">
        <v>1</v>
      </c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>
        <v>2</v>
      </c>
      <c r="W859" s="21"/>
      <c r="X859" s="21">
        <v>1</v>
      </c>
      <c r="Y859" s="21"/>
      <c r="Z859" s="21"/>
      <c r="AA859" s="21"/>
      <c r="AB859" s="21"/>
      <c r="AC859" s="21">
        <v>1</v>
      </c>
      <c r="AD859" s="21"/>
      <c r="AE859" s="21">
        <v>1</v>
      </c>
      <c r="AF859" s="21"/>
      <c r="AG859" s="21"/>
      <c r="AH859" s="21">
        <v>2</v>
      </c>
      <c r="AI859" s="21"/>
      <c r="AJ859" s="21"/>
      <c r="AK859" s="21"/>
      <c r="AL859" s="21"/>
      <c r="AM859" s="21"/>
      <c r="AN859" s="21">
        <v>1</v>
      </c>
      <c r="AO859" s="21">
        <v>2</v>
      </c>
      <c r="AP859" s="21">
        <v>1</v>
      </c>
      <c r="AQ859" s="21"/>
      <c r="AR859" s="21"/>
      <c r="AS859" s="21"/>
      <c r="AT859" s="12" t="str">
        <f>HYPERLINK("http://www.openstreetmap.org/?mlat=30.0317&amp;mlon=47.9199&amp;zoom=12#map=12/30.0317/47.9199","Maplink1")</f>
        <v>Maplink1</v>
      </c>
      <c r="AU859" s="12" t="str">
        <f>HYPERLINK("https://www.google.iq/maps/search/+30.0317,47.9199/@30.0317,47.9199,14z?hl=en","Maplink2")</f>
        <v>Maplink2</v>
      </c>
      <c r="AV859" s="12" t="str">
        <f>HYPERLINK("http://www.bing.com/maps/?lvl=14&amp;sty=h&amp;cp=30.0317~47.9199&amp;sp=point.30.0317_47.9199","Maplink3")</f>
        <v>Maplink3</v>
      </c>
    </row>
    <row r="860" spans="1:48" ht="15" customHeight="1" x14ac:dyDescent="0.25">
      <c r="A860" s="19">
        <v>24925</v>
      </c>
      <c r="B860" s="20" t="s">
        <v>12</v>
      </c>
      <c r="C860" s="20" t="s">
        <v>1617</v>
      </c>
      <c r="D860" s="20" t="s">
        <v>1702</v>
      </c>
      <c r="E860" s="20" t="s">
        <v>1703</v>
      </c>
      <c r="F860" s="20">
        <v>30.037742000000001</v>
      </c>
      <c r="G860" s="20">
        <v>47.919079000000004</v>
      </c>
      <c r="H860" s="22">
        <v>1</v>
      </c>
      <c r="I860" s="22">
        <v>6</v>
      </c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>
        <v>1</v>
      </c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>
        <v>1</v>
      </c>
      <c r="AI860" s="21"/>
      <c r="AJ860" s="21"/>
      <c r="AK860" s="21"/>
      <c r="AL860" s="21"/>
      <c r="AM860" s="21">
        <v>1</v>
      </c>
      <c r="AN860" s="21"/>
      <c r="AO860" s="21"/>
      <c r="AP860" s="21"/>
      <c r="AQ860" s="21"/>
      <c r="AR860" s="21"/>
      <c r="AS860" s="21"/>
      <c r="AT860" s="12" t="str">
        <f>HYPERLINK("http://www.openstreetmap.org/?mlat=30.0377&amp;mlon=47.9191&amp;zoom=12#map=12/30.0377/47.9191","Maplink1")</f>
        <v>Maplink1</v>
      </c>
      <c r="AU860" s="12" t="str">
        <f>HYPERLINK("https://www.google.iq/maps/search/+30.0377,47.9191/@30.0377,47.9191,14z?hl=en","Maplink2")</f>
        <v>Maplink2</v>
      </c>
      <c r="AV860" s="12" t="str">
        <f>HYPERLINK("http://www.bing.com/maps/?lvl=14&amp;sty=h&amp;cp=30.0377~47.9191&amp;sp=point.30.0377_47.9191","Maplink3")</f>
        <v>Maplink3</v>
      </c>
    </row>
    <row r="861" spans="1:48" ht="15" customHeight="1" x14ac:dyDescent="0.25">
      <c r="A861" s="19">
        <v>24923</v>
      </c>
      <c r="B861" s="20" t="s">
        <v>12</v>
      </c>
      <c r="C861" s="20" t="s">
        <v>1617</v>
      </c>
      <c r="D861" s="20" t="s">
        <v>1704</v>
      </c>
      <c r="E861" s="20" t="s">
        <v>1705</v>
      </c>
      <c r="F861" s="20">
        <v>30.037001</v>
      </c>
      <c r="G861" s="20">
        <v>47.919429999999998</v>
      </c>
      <c r="H861" s="22">
        <v>2</v>
      </c>
      <c r="I861" s="22">
        <v>12</v>
      </c>
      <c r="J861" s="21"/>
      <c r="K861" s="21">
        <v>1</v>
      </c>
      <c r="L861" s="21"/>
      <c r="M861" s="21"/>
      <c r="N861" s="21"/>
      <c r="O861" s="21">
        <v>1</v>
      </c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>
        <v>2</v>
      </c>
      <c r="AI861" s="21"/>
      <c r="AJ861" s="21"/>
      <c r="AK861" s="21"/>
      <c r="AL861" s="21">
        <v>1</v>
      </c>
      <c r="AM861" s="21">
        <v>1</v>
      </c>
      <c r="AN861" s="21"/>
      <c r="AO861" s="21"/>
      <c r="AP861" s="21"/>
      <c r="AQ861" s="21"/>
      <c r="AR861" s="21"/>
      <c r="AS861" s="21"/>
      <c r="AT861" s="12" t="str">
        <f>HYPERLINK("http://www.openstreetmap.org/?mlat=30.037&amp;mlon=47.9194&amp;zoom=12#map=12/30.037/47.9194","Maplink1")</f>
        <v>Maplink1</v>
      </c>
      <c r="AU861" s="12" t="str">
        <f>HYPERLINK("https://www.google.iq/maps/search/+30.037,47.9194/@30.037,47.9194,14z?hl=en","Maplink2")</f>
        <v>Maplink2</v>
      </c>
      <c r="AV861" s="12" t="str">
        <f>HYPERLINK("http://www.bing.com/maps/?lvl=14&amp;sty=h&amp;cp=30.037~47.9194&amp;sp=point.30.037_47.9194","Maplink3")</f>
        <v>Maplink3</v>
      </c>
    </row>
    <row r="862" spans="1:48" ht="15" customHeight="1" x14ac:dyDescent="0.25">
      <c r="A862" s="19">
        <v>25462</v>
      </c>
      <c r="B862" s="20" t="s">
        <v>12</v>
      </c>
      <c r="C862" s="20" t="s">
        <v>1617</v>
      </c>
      <c r="D862" s="20" t="s">
        <v>1706</v>
      </c>
      <c r="E862" s="20" t="s">
        <v>1707</v>
      </c>
      <c r="F862" s="20">
        <v>30.357017750000001</v>
      </c>
      <c r="G862" s="20">
        <v>47.717136490000001</v>
      </c>
      <c r="H862" s="22">
        <v>7</v>
      </c>
      <c r="I862" s="22">
        <v>42</v>
      </c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>
        <v>7</v>
      </c>
      <c r="Y862" s="21"/>
      <c r="Z862" s="21"/>
      <c r="AA862" s="21"/>
      <c r="AB862" s="21"/>
      <c r="AC862" s="21"/>
      <c r="AD862" s="21"/>
      <c r="AE862" s="21">
        <v>6</v>
      </c>
      <c r="AF862" s="21"/>
      <c r="AG862" s="21"/>
      <c r="AH862" s="21">
        <v>1</v>
      </c>
      <c r="AI862" s="21"/>
      <c r="AJ862" s="21"/>
      <c r="AK862" s="21"/>
      <c r="AL862" s="21">
        <v>3</v>
      </c>
      <c r="AM862" s="21"/>
      <c r="AN862" s="21"/>
      <c r="AO862" s="21">
        <v>4</v>
      </c>
      <c r="AP862" s="21"/>
      <c r="AQ862" s="21"/>
      <c r="AR862" s="21"/>
      <c r="AS862" s="21"/>
      <c r="AT862" s="12" t="str">
        <f>HYPERLINK("http://www.openstreetmap.org/?mlat=30.357&amp;mlon=47.7171&amp;zoom=12#map=12/30.357/47.7171","Maplink1")</f>
        <v>Maplink1</v>
      </c>
      <c r="AU862" s="12" t="str">
        <f>HYPERLINK("https://www.google.iq/maps/search/+30.357,47.7171/@30.357,47.7171,14z?hl=en","Maplink2")</f>
        <v>Maplink2</v>
      </c>
      <c r="AV862" s="12" t="str">
        <f>HYPERLINK("http://www.bing.com/maps/?lvl=14&amp;sty=h&amp;cp=30.357~47.7171&amp;sp=point.30.357_47.7171","Maplink3")</f>
        <v>Maplink3</v>
      </c>
    </row>
    <row r="863" spans="1:48" ht="15" customHeight="1" x14ac:dyDescent="0.25">
      <c r="A863" s="19">
        <v>24929</v>
      </c>
      <c r="B863" s="20" t="s">
        <v>12</v>
      </c>
      <c r="C863" s="20" t="s">
        <v>12</v>
      </c>
      <c r="D863" s="20" t="s">
        <v>1708</v>
      </c>
      <c r="E863" s="20" t="s">
        <v>1709</v>
      </c>
      <c r="F863" s="20">
        <v>30.542439999999999</v>
      </c>
      <c r="G863" s="20">
        <v>47.767879999999998</v>
      </c>
      <c r="H863" s="22">
        <v>2</v>
      </c>
      <c r="I863" s="22">
        <v>12</v>
      </c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>
        <v>2</v>
      </c>
      <c r="Y863" s="21"/>
      <c r="Z863" s="21"/>
      <c r="AA863" s="21"/>
      <c r="AB863" s="21"/>
      <c r="AC863" s="21"/>
      <c r="AD863" s="21"/>
      <c r="AE863" s="21"/>
      <c r="AF863" s="21"/>
      <c r="AG863" s="21"/>
      <c r="AH863" s="21">
        <v>2</v>
      </c>
      <c r="AI863" s="21"/>
      <c r="AJ863" s="21"/>
      <c r="AK863" s="21"/>
      <c r="AL863" s="21">
        <v>1</v>
      </c>
      <c r="AM863" s="21"/>
      <c r="AN863" s="21"/>
      <c r="AO863" s="21"/>
      <c r="AP863" s="21">
        <v>1</v>
      </c>
      <c r="AQ863" s="21"/>
      <c r="AR863" s="21"/>
      <c r="AS863" s="21"/>
      <c r="AT863" s="12" t="str">
        <f>HYPERLINK("http://www.openstreetmap.org/?mlat=30.5424&amp;mlon=47.7679&amp;zoom=12#map=12/30.5424/47.7679","Maplink1")</f>
        <v>Maplink1</v>
      </c>
      <c r="AU863" s="12" t="str">
        <f>HYPERLINK("https://www.google.iq/maps/search/+30.5424,47.7679/@30.5424,47.7679,14z?hl=en","Maplink2")</f>
        <v>Maplink2</v>
      </c>
      <c r="AV863" s="12" t="str">
        <f>HYPERLINK("http://www.bing.com/maps/?lvl=14&amp;sty=h&amp;cp=30.5424~47.7679&amp;sp=point.30.5424_47.7679","Maplink3")</f>
        <v>Maplink3</v>
      </c>
    </row>
    <row r="864" spans="1:48" ht="15" customHeight="1" x14ac:dyDescent="0.25">
      <c r="A864" s="19">
        <v>24799</v>
      </c>
      <c r="B864" s="20" t="s">
        <v>12</v>
      </c>
      <c r="C864" s="20" t="s">
        <v>12</v>
      </c>
      <c r="D864" s="20" t="s">
        <v>5933</v>
      </c>
      <c r="E864" s="20" t="s">
        <v>5934</v>
      </c>
      <c r="F864" s="20">
        <v>30.546425330000002</v>
      </c>
      <c r="G864" s="20">
        <v>47.764421910000003</v>
      </c>
      <c r="H864" s="22">
        <v>1</v>
      </c>
      <c r="I864" s="22">
        <v>6</v>
      </c>
      <c r="J864" s="21"/>
      <c r="K864" s="21"/>
      <c r="L864" s="21">
        <v>1</v>
      </c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>
        <v>1</v>
      </c>
      <c r="AI864" s="21"/>
      <c r="AJ864" s="21"/>
      <c r="AK864" s="21"/>
      <c r="AL864" s="21"/>
      <c r="AM864" s="21">
        <v>1</v>
      </c>
      <c r="AN864" s="21"/>
      <c r="AO864" s="21"/>
      <c r="AP864" s="21"/>
      <c r="AQ864" s="21"/>
      <c r="AR864" s="21"/>
      <c r="AS864" s="21"/>
      <c r="AT864" s="12" t="str">
        <f>HYPERLINK("http://www.openstreetmap.org/?mlat=30.5464&amp;mlon=47.7644&amp;zoom=12#map=12/30.5464/47.7644","Maplink1")</f>
        <v>Maplink1</v>
      </c>
      <c r="AU864" s="12" t="str">
        <f>HYPERLINK("https://www.google.iq/maps/search/+30.5464,47.7644/@30.5464,47.7644,14z?hl=en","Maplink2")</f>
        <v>Maplink2</v>
      </c>
      <c r="AV864" s="12" t="str">
        <f>HYPERLINK("http://www.bing.com/maps/?lvl=14&amp;sty=h&amp;cp=30.5464~47.7644&amp;sp=point.30.5464_47.7644","Maplink3")</f>
        <v>Maplink3</v>
      </c>
    </row>
    <row r="865" spans="1:48" ht="15" customHeight="1" x14ac:dyDescent="0.25">
      <c r="A865" s="19">
        <v>32088</v>
      </c>
      <c r="B865" s="20" t="s">
        <v>12</v>
      </c>
      <c r="C865" s="20" t="s">
        <v>12</v>
      </c>
      <c r="D865" s="20" t="s">
        <v>1710</v>
      </c>
      <c r="E865" s="20" t="s">
        <v>1711</v>
      </c>
      <c r="F865" s="20">
        <v>30.544167000000002</v>
      </c>
      <c r="G865" s="20">
        <v>47.750833</v>
      </c>
      <c r="H865" s="22">
        <v>1</v>
      </c>
      <c r="I865" s="22">
        <v>6</v>
      </c>
      <c r="J865" s="21"/>
      <c r="K865" s="21"/>
      <c r="L865" s="21"/>
      <c r="M865" s="21"/>
      <c r="N865" s="21"/>
      <c r="O865" s="21"/>
      <c r="P865" s="21"/>
      <c r="Q865" s="21"/>
      <c r="R865" s="21">
        <v>1</v>
      </c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>
        <v>1</v>
      </c>
      <c r="AI865" s="21"/>
      <c r="AJ865" s="21"/>
      <c r="AK865" s="21"/>
      <c r="AL865" s="21"/>
      <c r="AM865" s="21"/>
      <c r="AN865" s="21"/>
      <c r="AO865" s="21">
        <v>1</v>
      </c>
      <c r="AP865" s="21"/>
      <c r="AQ865" s="21"/>
      <c r="AR865" s="21"/>
      <c r="AS865" s="21"/>
      <c r="AT865" s="12" t="str">
        <f>HYPERLINK("http://www.openstreetmap.org/?mlat=30.5442&amp;mlon=47.7508&amp;zoom=12#map=12/30.5442/47.7508","Maplink1")</f>
        <v>Maplink1</v>
      </c>
      <c r="AU865" s="12" t="str">
        <f>HYPERLINK("https://www.google.iq/maps/search/+30.5442,47.7508/@30.5442,47.7508,14z?hl=en","Maplink2")</f>
        <v>Maplink2</v>
      </c>
      <c r="AV865" s="12" t="str">
        <f>HYPERLINK("http://www.bing.com/maps/?lvl=14&amp;sty=h&amp;cp=30.5442~47.7508&amp;sp=point.30.5442_47.7508","Maplink3")</f>
        <v>Maplink3</v>
      </c>
    </row>
    <row r="866" spans="1:48" ht="15" customHeight="1" x14ac:dyDescent="0.25">
      <c r="A866" s="19">
        <v>21192</v>
      </c>
      <c r="B866" s="20" t="s">
        <v>12</v>
      </c>
      <c r="C866" s="20" t="s">
        <v>12</v>
      </c>
      <c r="D866" s="20" t="s">
        <v>1712</v>
      </c>
      <c r="E866" s="20" t="s">
        <v>1713</v>
      </c>
      <c r="F866" s="20">
        <v>30.582941640200001</v>
      </c>
      <c r="G866" s="20">
        <v>47.750675668900001</v>
      </c>
      <c r="H866" s="22">
        <v>1</v>
      </c>
      <c r="I866" s="22">
        <v>6</v>
      </c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>
        <v>1</v>
      </c>
      <c r="Y866" s="21"/>
      <c r="Z866" s="21"/>
      <c r="AA866" s="21"/>
      <c r="AB866" s="21"/>
      <c r="AC866" s="21">
        <v>1</v>
      </c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>
        <v>1</v>
      </c>
      <c r="AO866" s="21"/>
      <c r="AP866" s="21"/>
      <c r="AQ866" s="21"/>
      <c r="AR866" s="21"/>
      <c r="AS866" s="21"/>
      <c r="AT866" s="12" t="str">
        <f>HYPERLINK("http://www.openstreetmap.org/?mlat=30.5829&amp;mlon=47.7507&amp;zoom=12#map=12/30.5829/47.7507","Maplink1")</f>
        <v>Maplink1</v>
      </c>
      <c r="AU866" s="12" t="str">
        <f>HYPERLINK("https://www.google.iq/maps/search/+30.5829,47.7507/@30.5829,47.7507,14z?hl=en","Maplink2")</f>
        <v>Maplink2</v>
      </c>
      <c r="AV866" s="12" t="str">
        <f>HYPERLINK("http://www.bing.com/maps/?lvl=14&amp;sty=h&amp;cp=30.5829~47.7507&amp;sp=point.30.5829_47.7507","Maplink3")</f>
        <v>Maplink3</v>
      </c>
    </row>
    <row r="867" spans="1:48" ht="15" customHeight="1" x14ac:dyDescent="0.25">
      <c r="A867" s="19">
        <v>1003</v>
      </c>
      <c r="B867" s="20" t="s">
        <v>12</v>
      </c>
      <c r="C867" s="20" t="s">
        <v>12</v>
      </c>
      <c r="D867" s="20" t="s">
        <v>1714</v>
      </c>
      <c r="E867" s="20" t="s">
        <v>1715</v>
      </c>
      <c r="F867" s="20">
        <v>30.565823614599999</v>
      </c>
      <c r="G867" s="20">
        <v>47.713884646099999</v>
      </c>
      <c r="H867" s="22">
        <v>3</v>
      </c>
      <c r="I867" s="22">
        <v>18</v>
      </c>
      <c r="J867" s="21"/>
      <c r="K867" s="21"/>
      <c r="L867" s="21"/>
      <c r="M867" s="21"/>
      <c r="N867" s="21"/>
      <c r="O867" s="21">
        <v>1</v>
      </c>
      <c r="P867" s="21"/>
      <c r="Q867" s="21"/>
      <c r="R867" s="21"/>
      <c r="S867" s="21"/>
      <c r="T867" s="21"/>
      <c r="U867" s="21"/>
      <c r="V867" s="21"/>
      <c r="W867" s="21"/>
      <c r="X867" s="21">
        <v>2</v>
      </c>
      <c r="Y867" s="21"/>
      <c r="Z867" s="21"/>
      <c r="AA867" s="21"/>
      <c r="AB867" s="21"/>
      <c r="AC867" s="21"/>
      <c r="AD867" s="21"/>
      <c r="AE867" s="21"/>
      <c r="AF867" s="21"/>
      <c r="AG867" s="21"/>
      <c r="AH867" s="21">
        <v>3</v>
      </c>
      <c r="AI867" s="21"/>
      <c r="AJ867" s="21"/>
      <c r="AK867" s="21"/>
      <c r="AL867" s="21"/>
      <c r="AM867" s="21">
        <v>2</v>
      </c>
      <c r="AN867" s="21">
        <v>1</v>
      </c>
      <c r="AO867" s="21"/>
      <c r="AP867" s="21"/>
      <c r="AQ867" s="21"/>
      <c r="AR867" s="21"/>
      <c r="AS867" s="21"/>
      <c r="AT867" s="12" t="str">
        <f>HYPERLINK("http://www.openstreetmap.org/?mlat=30.5658&amp;mlon=47.7139&amp;zoom=12#map=12/30.5658/47.7139","Maplink1")</f>
        <v>Maplink1</v>
      </c>
      <c r="AU867" s="12" t="str">
        <f>HYPERLINK("https://www.google.iq/maps/search/+30.5658,47.7139/@30.5658,47.7139,14z?hl=en","Maplink2")</f>
        <v>Maplink2</v>
      </c>
      <c r="AV867" s="12" t="str">
        <f>HYPERLINK("http://www.bing.com/maps/?lvl=14&amp;sty=h&amp;cp=30.5658~47.7139&amp;sp=point.30.5658_47.7139","Maplink3")</f>
        <v>Maplink3</v>
      </c>
    </row>
    <row r="868" spans="1:48" ht="15" customHeight="1" x14ac:dyDescent="0.25">
      <c r="A868" s="19">
        <v>24179</v>
      </c>
      <c r="B868" s="20" t="s">
        <v>12</v>
      </c>
      <c r="C868" s="20" t="s">
        <v>12</v>
      </c>
      <c r="D868" s="20" t="s">
        <v>1716</v>
      </c>
      <c r="E868" s="20" t="s">
        <v>1717</v>
      </c>
      <c r="F868" s="20">
        <v>30.546274879999999</v>
      </c>
      <c r="G868" s="20">
        <v>47.776179370000001</v>
      </c>
      <c r="H868" s="22">
        <v>4</v>
      </c>
      <c r="I868" s="22">
        <v>24</v>
      </c>
      <c r="J868" s="21"/>
      <c r="K868" s="21"/>
      <c r="L868" s="21"/>
      <c r="M868" s="21"/>
      <c r="N868" s="21"/>
      <c r="O868" s="21">
        <v>1</v>
      </c>
      <c r="P868" s="21"/>
      <c r="Q868" s="21"/>
      <c r="R868" s="21"/>
      <c r="S868" s="21"/>
      <c r="T868" s="21"/>
      <c r="U868" s="21"/>
      <c r="V868" s="21"/>
      <c r="W868" s="21"/>
      <c r="X868" s="21">
        <v>3</v>
      </c>
      <c r="Y868" s="21"/>
      <c r="Z868" s="21"/>
      <c r="AA868" s="21"/>
      <c r="AB868" s="21"/>
      <c r="AC868" s="21">
        <v>1</v>
      </c>
      <c r="AD868" s="21"/>
      <c r="AE868" s="21"/>
      <c r="AF868" s="21"/>
      <c r="AG868" s="21"/>
      <c r="AH868" s="21">
        <v>3</v>
      </c>
      <c r="AI868" s="21"/>
      <c r="AJ868" s="21"/>
      <c r="AK868" s="21"/>
      <c r="AL868" s="21"/>
      <c r="AM868" s="21">
        <v>3</v>
      </c>
      <c r="AN868" s="21">
        <v>1</v>
      </c>
      <c r="AO868" s="21"/>
      <c r="AP868" s="21"/>
      <c r="AQ868" s="21"/>
      <c r="AR868" s="21"/>
      <c r="AS868" s="21"/>
      <c r="AT868" s="12" t="str">
        <f>HYPERLINK("http://www.openstreetmap.org/?mlat=30.5463&amp;mlon=47.7762&amp;zoom=12#map=12/30.5463/47.7762","Maplink1")</f>
        <v>Maplink1</v>
      </c>
      <c r="AU868" s="12" t="str">
        <f>HYPERLINK("https://www.google.iq/maps/search/+30.5463,47.7762/@30.5463,47.7762,14z?hl=en","Maplink2")</f>
        <v>Maplink2</v>
      </c>
      <c r="AV868" s="12" t="str">
        <f>HYPERLINK("http://www.bing.com/maps/?lvl=14&amp;sty=h&amp;cp=30.5463~47.7762&amp;sp=point.30.5463_47.7762","Maplink3")</f>
        <v>Maplink3</v>
      </c>
    </row>
    <row r="869" spans="1:48" ht="15" customHeight="1" x14ac:dyDescent="0.25">
      <c r="A869" s="19">
        <v>1269</v>
      </c>
      <c r="B869" s="20" t="s">
        <v>12</v>
      </c>
      <c r="C869" s="20" t="s">
        <v>12</v>
      </c>
      <c r="D869" s="20" t="s">
        <v>1718</v>
      </c>
      <c r="E869" s="20" t="s">
        <v>1719</v>
      </c>
      <c r="F869" s="20">
        <v>30.466327360000001</v>
      </c>
      <c r="G869" s="20">
        <v>47.780047949999997</v>
      </c>
      <c r="H869" s="22">
        <v>8</v>
      </c>
      <c r="I869" s="22">
        <v>48</v>
      </c>
      <c r="J869" s="21"/>
      <c r="K869" s="21"/>
      <c r="L869" s="21">
        <v>1</v>
      </c>
      <c r="M869" s="21"/>
      <c r="N869" s="21"/>
      <c r="O869" s="21"/>
      <c r="P869" s="21"/>
      <c r="Q869" s="21"/>
      <c r="R869" s="21">
        <v>2</v>
      </c>
      <c r="S869" s="21"/>
      <c r="T869" s="21"/>
      <c r="U869" s="21"/>
      <c r="V869" s="21">
        <v>5</v>
      </c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>
        <v>8</v>
      </c>
      <c r="AI869" s="21"/>
      <c r="AJ869" s="21"/>
      <c r="AK869" s="21"/>
      <c r="AL869" s="21"/>
      <c r="AM869" s="21">
        <v>2</v>
      </c>
      <c r="AN869" s="21">
        <v>1</v>
      </c>
      <c r="AO869" s="21">
        <v>4</v>
      </c>
      <c r="AP869" s="21"/>
      <c r="AQ869" s="21"/>
      <c r="AR869" s="21">
        <v>1</v>
      </c>
      <c r="AS869" s="21"/>
      <c r="AT869" s="12" t="str">
        <f>HYPERLINK("http://www.openstreetmap.org/?mlat=30.4663&amp;mlon=47.78&amp;zoom=12#map=12/30.4663/47.78","Maplink1")</f>
        <v>Maplink1</v>
      </c>
      <c r="AU869" s="12" t="str">
        <f>HYPERLINK("https://www.google.iq/maps/search/+30.4663,47.78/@30.4663,47.78,14z?hl=en","Maplink2")</f>
        <v>Maplink2</v>
      </c>
      <c r="AV869" s="12" t="str">
        <f>HYPERLINK("http://www.bing.com/maps/?lvl=14&amp;sty=h&amp;cp=30.4663~47.78&amp;sp=point.30.4663_47.78","Maplink3")</f>
        <v>Maplink3</v>
      </c>
    </row>
    <row r="870" spans="1:48" ht="15" customHeight="1" x14ac:dyDescent="0.25">
      <c r="A870" s="19">
        <v>968</v>
      </c>
      <c r="B870" s="20" t="s">
        <v>12</v>
      </c>
      <c r="C870" s="20" t="s">
        <v>12</v>
      </c>
      <c r="D870" s="20" t="s">
        <v>1720</v>
      </c>
      <c r="E870" s="20" t="s">
        <v>1721</v>
      </c>
      <c r="F870" s="20">
        <v>30.54327361</v>
      </c>
      <c r="G870" s="20">
        <v>47.794983500000001</v>
      </c>
      <c r="H870" s="22">
        <v>4</v>
      </c>
      <c r="I870" s="22">
        <v>24</v>
      </c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>
        <v>4</v>
      </c>
      <c r="W870" s="21"/>
      <c r="X870" s="21"/>
      <c r="Y870" s="21"/>
      <c r="Z870" s="21"/>
      <c r="AA870" s="21"/>
      <c r="AB870" s="21"/>
      <c r="AC870" s="21">
        <v>3</v>
      </c>
      <c r="AD870" s="21"/>
      <c r="AE870" s="21"/>
      <c r="AF870" s="21"/>
      <c r="AG870" s="21"/>
      <c r="AH870" s="21">
        <v>1</v>
      </c>
      <c r="AI870" s="21"/>
      <c r="AJ870" s="21"/>
      <c r="AK870" s="21"/>
      <c r="AL870" s="21"/>
      <c r="AM870" s="21"/>
      <c r="AN870" s="21">
        <v>2</v>
      </c>
      <c r="AO870" s="21">
        <v>2</v>
      </c>
      <c r="AP870" s="21"/>
      <c r="AQ870" s="21"/>
      <c r="AR870" s="21"/>
      <c r="AS870" s="21"/>
      <c r="AT870" s="12" t="str">
        <f>HYPERLINK("http://www.openstreetmap.org/?mlat=30.5433&amp;mlon=47.795&amp;zoom=12#map=12/30.5433/47.795","Maplink1")</f>
        <v>Maplink1</v>
      </c>
      <c r="AU870" s="12" t="str">
        <f>HYPERLINK("https://www.google.iq/maps/search/+30.5433,47.795/@30.5433,47.795,14z?hl=en","Maplink2")</f>
        <v>Maplink2</v>
      </c>
      <c r="AV870" s="12" t="str">
        <f>HYPERLINK("http://www.bing.com/maps/?lvl=14&amp;sty=h&amp;cp=30.5433~47.795&amp;sp=point.30.5433_47.795","Maplink3")</f>
        <v>Maplink3</v>
      </c>
    </row>
    <row r="871" spans="1:48" ht="15" customHeight="1" x14ac:dyDescent="0.25">
      <c r="A871" s="19">
        <v>475</v>
      </c>
      <c r="B871" s="20" t="s">
        <v>12</v>
      </c>
      <c r="C871" s="20" t="s">
        <v>12</v>
      </c>
      <c r="D871" s="20" t="s">
        <v>1722</v>
      </c>
      <c r="E871" s="20" t="s">
        <v>1723</v>
      </c>
      <c r="F871" s="20">
        <v>30.521910399999999</v>
      </c>
      <c r="G871" s="20">
        <v>47.828808420000001</v>
      </c>
      <c r="H871" s="22">
        <v>1</v>
      </c>
      <c r="I871" s="22">
        <v>6</v>
      </c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>
        <v>1</v>
      </c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>
        <v>1</v>
      </c>
      <c r="AI871" s="21"/>
      <c r="AJ871" s="21"/>
      <c r="AK871" s="21"/>
      <c r="AL871" s="21"/>
      <c r="AM871" s="21"/>
      <c r="AN871" s="21"/>
      <c r="AO871" s="21"/>
      <c r="AP871" s="21"/>
      <c r="AQ871" s="21"/>
      <c r="AR871" s="21">
        <v>1</v>
      </c>
      <c r="AS871" s="21"/>
      <c r="AT871" s="12" t="str">
        <f>HYPERLINK("http://www.openstreetmap.org/?mlat=30.5219&amp;mlon=47.8288&amp;zoom=12#map=12/30.5219/47.8288","Maplink1")</f>
        <v>Maplink1</v>
      </c>
      <c r="AU871" s="12" t="str">
        <f>HYPERLINK("https://www.google.iq/maps/search/+30.5219,47.8288/@30.5219,47.8288,14z?hl=en","Maplink2")</f>
        <v>Maplink2</v>
      </c>
      <c r="AV871" s="12" t="str">
        <f>HYPERLINK("http://www.bing.com/maps/?lvl=14&amp;sty=h&amp;cp=30.5219~47.8288&amp;sp=point.30.5219_47.8288","Maplink3")</f>
        <v>Maplink3</v>
      </c>
    </row>
    <row r="872" spans="1:48" ht="15" customHeight="1" x14ac:dyDescent="0.25">
      <c r="A872" s="19">
        <v>24346</v>
      </c>
      <c r="B872" s="20" t="s">
        <v>12</v>
      </c>
      <c r="C872" s="20" t="s">
        <v>12</v>
      </c>
      <c r="D872" s="20" t="s">
        <v>1724</v>
      </c>
      <c r="E872" s="20" t="s">
        <v>1725</v>
      </c>
      <c r="F872" s="20">
        <v>30.518952720000001</v>
      </c>
      <c r="G872" s="20">
        <v>47.835969249999998</v>
      </c>
      <c r="H872" s="22">
        <v>35</v>
      </c>
      <c r="I872" s="22">
        <v>210</v>
      </c>
      <c r="J872" s="21">
        <v>1</v>
      </c>
      <c r="K872" s="21"/>
      <c r="L872" s="21">
        <v>3</v>
      </c>
      <c r="M872" s="21"/>
      <c r="N872" s="21"/>
      <c r="O872" s="21">
        <v>1</v>
      </c>
      <c r="P872" s="21"/>
      <c r="Q872" s="21"/>
      <c r="R872" s="21"/>
      <c r="S872" s="21"/>
      <c r="T872" s="21"/>
      <c r="U872" s="21"/>
      <c r="V872" s="21">
        <v>29</v>
      </c>
      <c r="W872" s="21"/>
      <c r="X872" s="21">
        <v>1</v>
      </c>
      <c r="Y872" s="21"/>
      <c r="Z872" s="21"/>
      <c r="AA872" s="21"/>
      <c r="AB872" s="21"/>
      <c r="AC872" s="21">
        <v>1</v>
      </c>
      <c r="AD872" s="21"/>
      <c r="AE872" s="21"/>
      <c r="AF872" s="21"/>
      <c r="AG872" s="21"/>
      <c r="AH872" s="21">
        <v>34</v>
      </c>
      <c r="AI872" s="21"/>
      <c r="AJ872" s="21"/>
      <c r="AK872" s="21"/>
      <c r="AL872" s="21">
        <v>1</v>
      </c>
      <c r="AM872" s="21">
        <v>7</v>
      </c>
      <c r="AN872" s="21">
        <v>3</v>
      </c>
      <c r="AO872" s="21">
        <v>14</v>
      </c>
      <c r="AP872" s="21">
        <v>2</v>
      </c>
      <c r="AQ872" s="21">
        <v>4</v>
      </c>
      <c r="AR872" s="21">
        <v>4</v>
      </c>
      <c r="AS872" s="21"/>
      <c r="AT872" s="12" t="str">
        <f>HYPERLINK("http://www.openstreetmap.org/?mlat=30.519&amp;mlon=47.836&amp;zoom=12#map=12/30.519/47.836","Maplink1")</f>
        <v>Maplink1</v>
      </c>
      <c r="AU872" s="12" t="str">
        <f>HYPERLINK("https://www.google.iq/maps/search/+30.519,47.836/@30.519,47.836,14z?hl=en","Maplink2")</f>
        <v>Maplink2</v>
      </c>
      <c r="AV872" s="12" t="str">
        <f>HYPERLINK("http://www.bing.com/maps/?lvl=14&amp;sty=h&amp;cp=30.519~47.836&amp;sp=point.30.519_47.836","Maplink3")</f>
        <v>Maplink3</v>
      </c>
    </row>
    <row r="873" spans="1:48" ht="15" customHeight="1" x14ac:dyDescent="0.25">
      <c r="A873" s="19">
        <v>29555</v>
      </c>
      <c r="B873" s="20" t="s">
        <v>12</v>
      </c>
      <c r="C873" s="20" t="s">
        <v>12</v>
      </c>
      <c r="D873" s="20" t="s">
        <v>1726</v>
      </c>
      <c r="E873" s="20" t="s">
        <v>1727</v>
      </c>
      <c r="F873" s="20">
        <v>30.577734</v>
      </c>
      <c r="G873" s="20">
        <v>47.746377500000001</v>
      </c>
      <c r="H873" s="22">
        <v>1</v>
      </c>
      <c r="I873" s="22">
        <v>6</v>
      </c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>
        <v>1</v>
      </c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>
        <v>1</v>
      </c>
      <c r="AI873" s="21"/>
      <c r="AJ873" s="21"/>
      <c r="AK873" s="21"/>
      <c r="AL873" s="21"/>
      <c r="AM873" s="21">
        <v>1</v>
      </c>
      <c r="AN873" s="21"/>
      <c r="AO873" s="21"/>
      <c r="AP873" s="21"/>
      <c r="AQ873" s="21"/>
      <c r="AR873" s="21"/>
      <c r="AS873" s="21"/>
      <c r="AT873" s="12" t="str">
        <f>HYPERLINK("http://www.openstreetmap.org/?mlat=30.5777&amp;mlon=47.7464&amp;zoom=12#map=12/30.5777/47.7464","Maplink1")</f>
        <v>Maplink1</v>
      </c>
      <c r="AU873" s="12" t="str">
        <f>HYPERLINK("https://www.google.iq/maps/search/+30.5777,47.7464/@30.5777,47.7464,14z?hl=en","Maplink2")</f>
        <v>Maplink2</v>
      </c>
      <c r="AV873" s="12" t="str">
        <f>HYPERLINK("http://www.bing.com/maps/?lvl=14&amp;sty=h&amp;cp=30.5777~47.7464&amp;sp=point.30.5777_47.7464","Maplink3")</f>
        <v>Maplink3</v>
      </c>
    </row>
    <row r="874" spans="1:48" ht="15" customHeight="1" x14ac:dyDescent="0.25">
      <c r="A874" s="19">
        <v>871</v>
      </c>
      <c r="B874" s="20" t="s">
        <v>12</v>
      </c>
      <c r="C874" s="20" t="s">
        <v>12</v>
      </c>
      <c r="D874" s="20" t="s">
        <v>5985</v>
      </c>
      <c r="E874" s="20" t="s">
        <v>5986</v>
      </c>
      <c r="F874" s="20">
        <v>30.596685099999998</v>
      </c>
      <c r="G874" s="20">
        <v>47.750946450000001</v>
      </c>
      <c r="H874" s="22">
        <v>1</v>
      </c>
      <c r="I874" s="22">
        <v>6</v>
      </c>
      <c r="J874" s="21"/>
      <c r="K874" s="21"/>
      <c r="L874" s="21"/>
      <c r="M874" s="21"/>
      <c r="N874" s="21"/>
      <c r="O874" s="21"/>
      <c r="P874" s="21"/>
      <c r="Q874" s="21"/>
      <c r="R874" s="21">
        <v>1</v>
      </c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>
        <v>1</v>
      </c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>
        <v>1</v>
      </c>
      <c r="AQ874" s="21"/>
      <c r="AR874" s="21"/>
      <c r="AS874" s="21"/>
      <c r="AT874" s="12" t="str">
        <f>HYPERLINK("http://www.openstreetmap.org/?mlat=30.5967&amp;mlon=47.7509&amp;zoom=12#map=12/30.5967/47.7509","Maplink1")</f>
        <v>Maplink1</v>
      </c>
      <c r="AU874" s="12" t="str">
        <f>HYPERLINK("https://www.google.iq/maps/search/+30.5967,47.7509/@30.5967,47.7509,14z?hl=en","Maplink2")</f>
        <v>Maplink2</v>
      </c>
      <c r="AV874" s="12" t="str">
        <f>HYPERLINK("http://www.bing.com/maps/?lvl=14&amp;sty=h&amp;cp=30.5967~47.7509&amp;sp=point.30.5967_47.7509","Maplink3")</f>
        <v>Maplink3</v>
      </c>
    </row>
    <row r="875" spans="1:48" ht="15" customHeight="1" x14ac:dyDescent="0.25">
      <c r="A875" s="19">
        <v>894</v>
      </c>
      <c r="B875" s="20" t="s">
        <v>12</v>
      </c>
      <c r="C875" s="20" t="s">
        <v>12</v>
      </c>
      <c r="D875" s="20" t="s">
        <v>1728</v>
      </c>
      <c r="E875" s="20" t="s">
        <v>1729</v>
      </c>
      <c r="F875" s="20">
        <v>30.504076399999999</v>
      </c>
      <c r="G875" s="20">
        <v>47.826019530000003</v>
      </c>
      <c r="H875" s="22">
        <v>4</v>
      </c>
      <c r="I875" s="22">
        <v>24</v>
      </c>
      <c r="J875" s="21">
        <v>1</v>
      </c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>
        <v>2</v>
      </c>
      <c r="W875" s="21"/>
      <c r="X875" s="21">
        <v>1</v>
      </c>
      <c r="Y875" s="21"/>
      <c r="Z875" s="21"/>
      <c r="AA875" s="21"/>
      <c r="AB875" s="21"/>
      <c r="AC875" s="21">
        <v>2</v>
      </c>
      <c r="AD875" s="21"/>
      <c r="AE875" s="21"/>
      <c r="AF875" s="21"/>
      <c r="AG875" s="21"/>
      <c r="AH875" s="21">
        <v>2</v>
      </c>
      <c r="AI875" s="21"/>
      <c r="AJ875" s="21"/>
      <c r="AK875" s="21"/>
      <c r="AL875" s="21">
        <v>1</v>
      </c>
      <c r="AM875" s="21"/>
      <c r="AN875" s="21">
        <v>1</v>
      </c>
      <c r="AO875" s="21">
        <v>2</v>
      </c>
      <c r="AP875" s="21"/>
      <c r="AQ875" s="21"/>
      <c r="AR875" s="21"/>
      <c r="AS875" s="21"/>
      <c r="AT875" s="12" t="str">
        <f>HYPERLINK("http://www.openstreetmap.org/?mlat=30.5041&amp;mlon=47.826&amp;zoom=12#map=12/30.5041/47.826","Maplink1")</f>
        <v>Maplink1</v>
      </c>
      <c r="AU875" s="12" t="str">
        <f>HYPERLINK("https://www.google.iq/maps/search/+30.5041,47.826/@30.5041,47.826,14z?hl=en","Maplink2")</f>
        <v>Maplink2</v>
      </c>
      <c r="AV875" s="12" t="str">
        <f>HYPERLINK("http://www.bing.com/maps/?lvl=14&amp;sty=h&amp;cp=30.5041~47.826&amp;sp=point.30.5041_47.826","Maplink3")</f>
        <v>Maplink3</v>
      </c>
    </row>
    <row r="876" spans="1:48" ht="15" customHeight="1" x14ac:dyDescent="0.25">
      <c r="A876" s="19">
        <v>927</v>
      </c>
      <c r="B876" s="20" t="s">
        <v>12</v>
      </c>
      <c r="C876" s="20" t="s">
        <v>12</v>
      </c>
      <c r="D876" s="20" t="s">
        <v>1730</v>
      </c>
      <c r="E876" s="20" t="s">
        <v>1731</v>
      </c>
      <c r="F876" s="20">
        <v>30.52243352</v>
      </c>
      <c r="G876" s="20">
        <v>47.796822990000003</v>
      </c>
      <c r="H876" s="22">
        <v>9</v>
      </c>
      <c r="I876" s="22">
        <v>54</v>
      </c>
      <c r="J876" s="21">
        <v>1</v>
      </c>
      <c r="K876" s="21"/>
      <c r="L876" s="21"/>
      <c r="M876" s="21"/>
      <c r="N876" s="21"/>
      <c r="O876" s="21"/>
      <c r="P876" s="21"/>
      <c r="Q876" s="21"/>
      <c r="R876" s="21">
        <v>6</v>
      </c>
      <c r="S876" s="21"/>
      <c r="T876" s="21"/>
      <c r="U876" s="21"/>
      <c r="V876" s="21">
        <v>1</v>
      </c>
      <c r="W876" s="21"/>
      <c r="X876" s="21">
        <v>1</v>
      </c>
      <c r="Y876" s="21"/>
      <c r="Z876" s="21"/>
      <c r="AA876" s="21"/>
      <c r="AB876" s="21"/>
      <c r="AC876" s="21">
        <v>6</v>
      </c>
      <c r="AD876" s="21"/>
      <c r="AE876" s="21"/>
      <c r="AF876" s="21"/>
      <c r="AG876" s="21"/>
      <c r="AH876" s="21">
        <v>3</v>
      </c>
      <c r="AI876" s="21"/>
      <c r="AJ876" s="21"/>
      <c r="AK876" s="21"/>
      <c r="AL876" s="21"/>
      <c r="AM876" s="21">
        <v>2</v>
      </c>
      <c r="AN876" s="21">
        <v>5</v>
      </c>
      <c r="AO876" s="21">
        <v>2</v>
      </c>
      <c r="AP876" s="21"/>
      <c r="AQ876" s="21"/>
      <c r="AR876" s="21"/>
      <c r="AS876" s="21"/>
      <c r="AT876" s="12" t="str">
        <f>HYPERLINK("http://www.openstreetmap.org/?mlat=30.5224&amp;mlon=47.7968&amp;zoom=12#map=12/30.5224/47.7968","Maplink1")</f>
        <v>Maplink1</v>
      </c>
      <c r="AU876" s="12" t="str">
        <f>HYPERLINK("https://www.google.iq/maps/search/+30.5224,47.7968/@30.5224,47.7968,14z?hl=en","Maplink2")</f>
        <v>Maplink2</v>
      </c>
      <c r="AV876" s="12" t="str">
        <f>HYPERLINK("http://www.bing.com/maps/?lvl=14&amp;sty=h&amp;cp=30.5224~47.7968&amp;sp=point.30.5224_47.7968","Maplink3")</f>
        <v>Maplink3</v>
      </c>
    </row>
    <row r="877" spans="1:48" ht="15" customHeight="1" x14ac:dyDescent="0.25">
      <c r="A877" s="19">
        <v>24344</v>
      </c>
      <c r="B877" s="20" t="s">
        <v>12</v>
      </c>
      <c r="C877" s="20" t="s">
        <v>12</v>
      </c>
      <c r="D877" s="20" t="s">
        <v>1732</v>
      </c>
      <c r="E877" s="20" t="s">
        <v>1733</v>
      </c>
      <c r="F877" s="20">
        <v>30.468988410000001</v>
      </c>
      <c r="G877" s="20">
        <v>47.811623920000002</v>
      </c>
      <c r="H877" s="22">
        <v>6</v>
      </c>
      <c r="I877" s="22">
        <v>36</v>
      </c>
      <c r="J877" s="21">
        <v>2</v>
      </c>
      <c r="K877" s="21"/>
      <c r="L877" s="21"/>
      <c r="M877" s="21"/>
      <c r="N877" s="21"/>
      <c r="O877" s="21"/>
      <c r="P877" s="21"/>
      <c r="Q877" s="21"/>
      <c r="R877" s="21">
        <v>1</v>
      </c>
      <c r="S877" s="21"/>
      <c r="T877" s="21"/>
      <c r="U877" s="21"/>
      <c r="V877" s="21"/>
      <c r="W877" s="21"/>
      <c r="X877" s="21">
        <v>3</v>
      </c>
      <c r="Y877" s="21"/>
      <c r="Z877" s="21"/>
      <c r="AA877" s="21"/>
      <c r="AB877" s="21"/>
      <c r="AC877" s="21">
        <v>1</v>
      </c>
      <c r="AD877" s="21"/>
      <c r="AE877" s="21"/>
      <c r="AF877" s="21"/>
      <c r="AG877" s="21"/>
      <c r="AH877" s="21">
        <v>5</v>
      </c>
      <c r="AI877" s="21"/>
      <c r="AJ877" s="21"/>
      <c r="AK877" s="21"/>
      <c r="AL877" s="21"/>
      <c r="AM877" s="21">
        <v>2</v>
      </c>
      <c r="AN877" s="21">
        <v>1</v>
      </c>
      <c r="AO877" s="21">
        <v>1</v>
      </c>
      <c r="AP877" s="21">
        <v>2</v>
      </c>
      <c r="AQ877" s="21"/>
      <c r="AR877" s="21"/>
      <c r="AS877" s="21"/>
      <c r="AT877" s="12" t="str">
        <f>HYPERLINK("http://www.openstreetmap.org/?mlat=30.469&amp;mlon=47.8116&amp;zoom=12#map=12/30.469/47.8116","Maplink1")</f>
        <v>Maplink1</v>
      </c>
      <c r="AU877" s="12" t="str">
        <f>HYPERLINK("https://www.google.iq/maps/search/+30.469,47.8116/@30.469,47.8116,14z?hl=en","Maplink2")</f>
        <v>Maplink2</v>
      </c>
      <c r="AV877" s="12" t="str">
        <f>HYPERLINK("http://www.bing.com/maps/?lvl=14&amp;sty=h&amp;cp=30.469~47.8116&amp;sp=point.30.469_47.8116","Maplink3")</f>
        <v>Maplink3</v>
      </c>
    </row>
    <row r="878" spans="1:48" ht="15" customHeight="1" x14ac:dyDescent="0.25">
      <c r="A878" s="19">
        <v>898</v>
      </c>
      <c r="B878" s="20" t="s">
        <v>12</v>
      </c>
      <c r="C878" s="20" t="s">
        <v>12</v>
      </c>
      <c r="D878" s="20" t="s">
        <v>1734</v>
      </c>
      <c r="E878" s="20" t="s">
        <v>1735</v>
      </c>
      <c r="F878" s="20">
        <v>30.488893789999999</v>
      </c>
      <c r="G878" s="20">
        <v>47.792199529999998</v>
      </c>
      <c r="H878" s="22">
        <v>8</v>
      </c>
      <c r="I878" s="22">
        <v>48</v>
      </c>
      <c r="J878" s="21">
        <v>1</v>
      </c>
      <c r="K878" s="21"/>
      <c r="L878" s="21"/>
      <c r="M878" s="21"/>
      <c r="N878" s="21"/>
      <c r="O878" s="21">
        <v>1</v>
      </c>
      <c r="P878" s="21"/>
      <c r="Q878" s="21"/>
      <c r="R878" s="21"/>
      <c r="S878" s="21"/>
      <c r="T878" s="21"/>
      <c r="U878" s="21"/>
      <c r="V878" s="21">
        <v>6</v>
      </c>
      <c r="W878" s="21"/>
      <c r="X878" s="21"/>
      <c r="Y878" s="21"/>
      <c r="Z878" s="21"/>
      <c r="AA878" s="21"/>
      <c r="AB878" s="21"/>
      <c r="AC878" s="21">
        <v>3</v>
      </c>
      <c r="AD878" s="21"/>
      <c r="AE878" s="21"/>
      <c r="AF878" s="21"/>
      <c r="AG878" s="21"/>
      <c r="AH878" s="21">
        <v>5</v>
      </c>
      <c r="AI878" s="21"/>
      <c r="AJ878" s="21"/>
      <c r="AK878" s="21"/>
      <c r="AL878" s="21">
        <v>1</v>
      </c>
      <c r="AM878" s="21">
        <v>1</v>
      </c>
      <c r="AN878" s="21"/>
      <c r="AO878" s="21">
        <v>2</v>
      </c>
      <c r="AP878" s="21">
        <v>1</v>
      </c>
      <c r="AQ878" s="21"/>
      <c r="AR878" s="21">
        <v>3</v>
      </c>
      <c r="AS878" s="21"/>
      <c r="AT878" s="12" t="str">
        <f>HYPERLINK("http://www.openstreetmap.org/?mlat=30.4889&amp;mlon=47.7922&amp;zoom=12#map=12/30.4889/47.7922","Maplink1")</f>
        <v>Maplink1</v>
      </c>
      <c r="AU878" s="12" t="str">
        <f>HYPERLINK("https://www.google.iq/maps/search/+30.4889,47.7922/@30.4889,47.7922,14z?hl=en","Maplink2")</f>
        <v>Maplink2</v>
      </c>
      <c r="AV878" s="12" t="str">
        <f>HYPERLINK("http://www.bing.com/maps/?lvl=14&amp;sty=h&amp;cp=30.4889~47.7922&amp;sp=point.30.4889_47.7922","Maplink3")</f>
        <v>Maplink3</v>
      </c>
    </row>
    <row r="879" spans="1:48" ht="15" customHeight="1" x14ac:dyDescent="0.25">
      <c r="A879" s="19">
        <v>885</v>
      </c>
      <c r="B879" s="20" t="s">
        <v>12</v>
      </c>
      <c r="C879" s="20" t="s">
        <v>12</v>
      </c>
      <c r="D879" s="20" t="s">
        <v>1736</v>
      </c>
      <c r="E879" s="20" t="s">
        <v>1737</v>
      </c>
      <c r="F879" s="20">
        <v>30.495278119999998</v>
      </c>
      <c r="G879" s="20">
        <v>47.788696649999999</v>
      </c>
      <c r="H879" s="22">
        <v>4</v>
      </c>
      <c r="I879" s="22">
        <v>24</v>
      </c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>
        <v>3</v>
      </c>
      <c r="W879" s="21"/>
      <c r="X879" s="21">
        <v>1</v>
      </c>
      <c r="Y879" s="21"/>
      <c r="Z879" s="21"/>
      <c r="AA879" s="21"/>
      <c r="AB879" s="21"/>
      <c r="AC879" s="21">
        <v>1</v>
      </c>
      <c r="AD879" s="21"/>
      <c r="AE879" s="21"/>
      <c r="AF879" s="21"/>
      <c r="AG879" s="21"/>
      <c r="AH879" s="21">
        <v>2</v>
      </c>
      <c r="AI879" s="21"/>
      <c r="AJ879" s="21">
        <v>1</v>
      </c>
      <c r="AK879" s="21"/>
      <c r="AL879" s="21"/>
      <c r="AM879" s="21">
        <v>1</v>
      </c>
      <c r="AN879" s="21">
        <v>3</v>
      </c>
      <c r="AO879" s="21"/>
      <c r="AP879" s="21"/>
      <c r="AQ879" s="21"/>
      <c r="AR879" s="21"/>
      <c r="AS879" s="21"/>
      <c r="AT879" s="12" t="str">
        <f>HYPERLINK("http://www.openstreetmap.org/?mlat=30.4953&amp;mlon=47.7887&amp;zoom=12#map=12/30.4953/47.7887","Maplink1")</f>
        <v>Maplink1</v>
      </c>
      <c r="AU879" s="12" t="str">
        <f>HYPERLINK("https://www.google.iq/maps/search/+30.4953,47.7887/@30.4953,47.7887,14z?hl=en","Maplink2")</f>
        <v>Maplink2</v>
      </c>
      <c r="AV879" s="12" t="str">
        <f>HYPERLINK("http://www.bing.com/maps/?lvl=14&amp;sty=h&amp;cp=30.4953~47.7887&amp;sp=point.30.4953_47.7887","Maplink3")</f>
        <v>Maplink3</v>
      </c>
    </row>
    <row r="880" spans="1:48" ht="15" customHeight="1" x14ac:dyDescent="0.25">
      <c r="A880" s="19">
        <v>511</v>
      </c>
      <c r="B880" s="20" t="s">
        <v>12</v>
      </c>
      <c r="C880" s="20" t="s">
        <v>12</v>
      </c>
      <c r="D880" s="20" t="s">
        <v>1738</v>
      </c>
      <c r="E880" s="20" t="s">
        <v>1739</v>
      </c>
      <c r="F880" s="20">
        <v>30.505614690000002</v>
      </c>
      <c r="G880" s="20">
        <v>47.781047409999999</v>
      </c>
      <c r="H880" s="22">
        <v>5</v>
      </c>
      <c r="I880" s="22">
        <v>30</v>
      </c>
      <c r="J880" s="21">
        <v>1</v>
      </c>
      <c r="K880" s="21"/>
      <c r="L880" s="21"/>
      <c r="M880" s="21"/>
      <c r="N880" s="21"/>
      <c r="O880" s="21">
        <v>1</v>
      </c>
      <c r="P880" s="21"/>
      <c r="Q880" s="21"/>
      <c r="R880" s="21"/>
      <c r="S880" s="21"/>
      <c r="T880" s="21"/>
      <c r="U880" s="21"/>
      <c r="V880" s="21"/>
      <c r="W880" s="21"/>
      <c r="X880" s="21">
        <v>3</v>
      </c>
      <c r="Y880" s="21"/>
      <c r="Z880" s="21"/>
      <c r="AA880" s="21"/>
      <c r="AB880" s="21"/>
      <c r="AC880" s="21">
        <v>3</v>
      </c>
      <c r="AD880" s="21"/>
      <c r="AE880" s="21"/>
      <c r="AF880" s="21"/>
      <c r="AG880" s="21"/>
      <c r="AH880" s="21">
        <v>2</v>
      </c>
      <c r="AI880" s="21"/>
      <c r="AJ880" s="21"/>
      <c r="AK880" s="21"/>
      <c r="AL880" s="21">
        <v>1</v>
      </c>
      <c r="AM880" s="21"/>
      <c r="AN880" s="21">
        <v>1</v>
      </c>
      <c r="AO880" s="21"/>
      <c r="AP880" s="21"/>
      <c r="AQ880" s="21">
        <v>3</v>
      </c>
      <c r="AR880" s="21"/>
      <c r="AS880" s="21"/>
      <c r="AT880" s="12" t="str">
        <f>HYPERLINK("http://www.openstreetmap.org/?mlat=30.5056&amp;mlon=47.781&amp;zoom=12#map=12/30.5056/47.781","Maplink1")</f>
        <v>Maplink1</v>
      </c>
      <c r="AU880" s="12" t="str">
        <f>HYPERLINK("https://www.google.iq/maps/search/+30.5056,47.781/@30.5056,47.781,14z?hl=en","Maplink2")</f>
        <v>Maplink2</v>
      </c>
      <c r="AV880" s="12" t="str">
        <f>HYPERLINK("http://www.bing.com/maps/?lvl=14&amp;sty=h&amp;cp=30.5056~47.781&amp;sp=point.30.5056_47.781","Maplink3")</f>
        <v>Maplink3</v>
      </c>
    </row>
    <row r="881" spans="1:48" ht="15" customHeight="1" x14ac:dyDescent="0.25">
      <c r="A881" s="19">
        <v>996</v>
      </c>
      <c r="B881" s="20" t="s">
        <v>12</v>
      </c>
      <c r="C881" s="20" t="s">
        <v>12</v>
      </c>
      <c r="D881" s="20" t="s">
        <v>1740</v>
      </c>
      <c r="E881" s="20" t="s">
        <v>1741</v>
      </c>
      <c r="F881" s="20">
        <v>30.5592139</v>
      </c>
      <c r="G881" s="20">
        <v>47.78399658</v>
      </c>
      <c r="H881" s="22">
        <v>4</v>
      </c>
      <c r="I881" s="22">
        <v>24</v>
      </c>
      <c r="J881" s="21"/>
      <c r="K881" s="21"/>
      <c r="L881" s="21"/>
      <c r="M881" s="21"/>
      <c r="N881" s="21"/>
      <c r="O881" s="21"/>
      <c r="P881" s="21"/>
      <c r="Q881" s="21"/>
      <c r="R881" s="21">
        <v>1</v>
      </c>
      <c r="S881" s="21"/>
      <c r="T881" s="21"/>
      <c r="U881" s="21"/>
      <c r="V881" s="21">
        <v>3</v>
      </c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>
        <v>4</v>
      </c>
      <c r="AI881" s="21"/>
      <c r="AJ881" s="21"/>
      <c r="AK881" s="21"/>
      <c r="AL881" s="21"/>
      <c r="AM881" s="21"/>
      <c r="AN881" s="21">
        <v>1</v>
      </c>
      <c r="AO881" s="21"/>
      <c r="AP881" s="21">
        <v>2</v>
      </c>
      <c r="AQ881" s="21"/>
      <c r="AR881" s="21"/>
      <c r="AS881" s="21">
        <v>1</v>
      </c>
      <c r="AT881" s="12" t="str">
        <f>HYPERLINK("http://www.openstreetmap.org/?mlat=30.5592&amp;mlon=47.784&amp;zoom=12#map=12/30.5592/47.784","Maplink1")</f>
        <v>Maplink1</v>
      </c>
      <c r="AU881" s="12" t="str">
        <f>HYPERLINK("https://www.google.iq/maps/search/+30.5592,47.784/@30.5592,47.784,14z?hl=en","Maplink2")</f>
        <v>Maplink2</v>
      </c>
      <c r="AV881" s="12" t="str">
        <f>HYPERLINK("http://www.bing.com/maps/?lvl=14&amp;sty=h&amp;cp=30.5592~47.784&amp;sp=point.30.5592_47.784","Maplink3")</f>
        <v>Maplink3</v>
      </c>
    </row>
    <row r="882" spans="1:48" ht="15" customHeight="1" x14ac:dyDescent="0.25">
      <c r="A882" s="19">
        <v>29595</v>
      </c>
      <c r="B882" s="20" t="s">
        <v>12</v>
      </c>
      <c r="C882" s="20" t="s">
        <v>12</v>
      </c>
      <c r="D882" s="20" t="s">
        <v>1742</v>
      </c>
      <c r="E882" s="20" t="s">
        <v>1743</v>
      </c>
      <c r="F882" s="20">
        <v>30.550179630500001</v>
      </c>
      <c r="G882" s="20">
        <v>47.778797540799999</v>
      </c>
      <c r="H882" s="22">
        <v>3</v>
      </c>
      <c r="I882" s="22">
        <v>18</v>
      </c>
      <c r="J882" s="21">
        <v>2</v>
      </c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>
        <v>1</v>
      </c>
      <c r="W882" s="21"/>
      <c r="X882" s="21"/>
      <c r="Y882" s="21"/>
      <c r="Z882" s="21"/>
      <c r="AA882" s="21"/>
      <c r="AB882" s="21"/>
      <c r="AC882" s="21">
        <v>2</v>
      </c>
      <c r="AD882" s="21"/>
      <c r="AE882" s="21"/>
      <c r="AF882" s="21"/>
      <c r="AG882" s="21"/>
      <c r="AH882" s="21">
        <v>1</v>
      </c>
      <c r="AI882" s="21"/>
      <c r="AJ882" s="21"/>
      <c r="AK882" s="21"/>
      <c r="AL882" s="21"/>
      <c r="AM882" s="21">
        <v>1</v>
      </c>
      <c r="AN882" s="21"/>
      <c r="AO882" s="21">
        <v>1</v>
      </c>
      <c r="AP882" s="21">
        <v>1</v>
      </c>
      <c r="AQ882" s="21"/>
      <c r="AR882" s="21"/>
      <c r="AS882" s="21"/>
      <c r="AT882" s="12" t="str">
        <f>HYPERLINK("http://www.openstreetmap.org/?mlat=30.5502&amp;mlon=47.7788&amp;zoom=12#map=12/30.5502/47.7788","Maplink1")</f>
        <v>Maplink1</v>
      </c>
      <c r="AU882" s="12" t="str">
        <f>HYPERLINK("https://www.google.iq/maps/search/+30.5502,47.7788/@30.5502,47.7788,14z?hl=en","Maplink2")</f>
        <v>Maplink2</v>
      </c>
      <c r="AV882" s="12" t="str">
        <f>HYPERLINK("http://www.bing.com/maps/?lvl=14&amp;sty=h&amp;cp=30.5502~47.7788&amp;sp=point.30.5502_47.7788","Maplink3")</f>
        <v>Maplink3</v>
      </c>
    </row>
    <row r="883" spans="1:48" ht="15" customHeight="1" x14ac:dyDescent="0.25">
      <c r="A883" s="19">
        <v>989</v>
      </c>
      <c r="B883" s="20" t="s">
        <v>12</v>
      </c>
      <c r="C883" s="20" t="s">
        <v>12</v>
      </c>
      <c r="D883" s="20" t="s">
        <v>1744</v>
      </c>
      <c r="E883" s="20" t="s">
        <v>1745</v>
      </c>
      <c r="F883" s="20">
        <v>30.55088585</v>
      </c>
      <c r="G883" s="20">
        <v>47.768313540000001</v>
      </c>
      <c r="H883" s="22">
        <v>2</v>
      </c>
      <c r="I883" s="22">
        <v>12</v>
      </c>
      <c r="J883" s="21"/>
      <c r="K883" s="21"/>
      <c r="L883" s="21"/>
      <c r="M883" s="21"/>
      <c r="N883" s="21"/>
      <c r="O883" s="21">
        <v>1</v>
      </c>
      <c r="P883" s="21"/>
      <c r="Q883" s="21"/>
      <c r="R883" s="21"/>
      <c r="S883" s="21"/>
      <c r="T883" s="21"/>
      <c r="U883" s="21"/>
      <c r="V883" s="21">
        <v>1</v>
      </c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>
        <v>2</v>
      </c>
      <c r="AI883" s="21"/>
      <c r="AJ883" s="21"/>
      <c r="AK883" s="21"/>
      <c r="AL883" s="21"/>
      <c r="AM883" s="21">
        <v>1</v>
      </c>
      <c r="AN883" s="21">
        <v>1</v>
      </c>
      <c r="AO883" s="21"/>
      <c r="AP883" s="21"/>
      <c r="AQ883" s="21"/>
      <c r="AR883" s="21"/>
      <c r="AS883" s="21"/>
      <c r="AT883" s="12" t="str">
        <f>HYPERLINK("http://www.openstreetmap.org/?mlat=30.5509&amp;mlon=47.7683&amp;zoom=12#map=12/30.5509/47.7683","Maplink1")</f>
        <v>Maplink1</v>
      </c>
      <c r="AU883" s="12" t="str">
        <f>HYPERLINK("https://www.google.iq/maps/search/+30.5509,47.7683/@30.5509,47.7683,14z?hl=en","Maplink2")</f>
        <v>Maplink2</v>
      </c>
      <c r="AV883" s="12" t="str">
        <f>HYPERLINK("http://www.bing.com/maps/?lvl=14&amp;sty=h&amp;cp=30.5509~47.7683&amp;sp=point.30.5509_47.7683","Maplink3")</f>
        <v>Maplink3</v>
      </c>
    </row>
    <row r="884" spans="1:48" ht="15" customHeight="1" x14ac:dyDescent="0.25">
      <c r="A884" s="19">
        <v>29538</v>
      </c>
      <c r="B884" s="20" t="s">
        <v>12</v>
      </c>
      <c r="C884" s="20" t="s">
        <v>12</v>
      </c>
      <c r="D884" s="20" t="s">
        <v>1746</v>
      </c>
      <c r="E884" s="20" t="s">
        <v>1747</v>
      </c>
      <c r="F884" s="20">
        <v>30.528304290000001</v>
      </c>
      <c r="G884" s="20">
        <v>47.774706500000001</v>
      </c>
      <c r="H884" s="22">
        <v>3</v>
      </c>
      <c r="I884" s="22">
        <v>18</v>
      </c>
      <c r="J884" s="21">
        <v>1</v>
      </c>
      <c r="K884" s="21"/>
      <c r="L884" s="21"/>
      <c r="M884" s="21"/>
      <c r="N884" s="21"/>
      <c r="O884" s="21"/>
      <c r="P884" s="21"/>
      <c r="Q884" s="21"/>
      <c r="R884" s="21">
        <v>1</v>
      </c>
      <c r="S884" s="21"/>
      <c r="T884" s="21"/>
      <c r="U884" s="21"/>
      <c r="V884" s="21"/>
      <c r="W884" s="21"/>
      <c r="X884" s="21">
        <v>1</v>
      </c>
      <c r="Y884" s="21"/>
      <c r="Z884" s="21"/>
      <c r="AA884" s="21"/>
      <c r="AB884" s="21"/>
      <c r="AC884" s="21"/>
      <c r="AD884" s="21"/>
      <c r="AE884" s="21">
        <v>3</v>
      </c>
      <c r="AF884" s="21"/>
      <c r="AG884" s="21"/>
      <c r="AH884" s="21"/>
      <c r="AI884" s="21"/>
      <c r="AJ884" s="21"/>
      <c r="AK884" s="21"/>
      <c r="AL884" s="21">
        <v>2</v>
      </c>
      <c r="AM884" s="21"/>
      <c r="AN884" s="21">
        <v>1</v>
      </c>
      <c r="AO884" s="21"/>
      <c r="AP884" s="21"/>
      <c r="AQ884" s="21"/>
      <c r="AR884" s="21"/>
      <c r="AS884" s="21"/>
      <c r="AT884" s="12" t="str">
        <f>HYPERLINK("http://www.openstreetmap.org/?mlat=30.5283&amp;mlon=47.7747&amp;zoom=12#map=12/30.5283/47.7747","Maplink1")</f>
        <v>Maplink1</v>
      </c>
      <c r="AU884" s="12" t="str">
        <f>HYPERLINK("https://www.google.iq/maps/search/+30.5283,47.7747/@30.5283,47.7747,14z?hl=en","Maplink2")</f>
        <v>Maplink2</v>
      </c>
      <c r="AV884" s="12" t="str">
        <f>HYPERLINK("http://www.bing.com/maps/?lvl=14&amp;sty=h&amp;cp=30.5283~47.7747&amp;sp=point.30.5283_47.7747","Maplink3")</f>
        <v>Maplink3</v>
      </c>
    </row>
    <row r="885" spans="1:48" ht="15" customHeight="1" x14ac:dyDescent="0.25">
      <c r="A885" s="19">
        <v>963</v>
      </c>
      <c r="B885" s="20" t="s">
        <v>12</v>
      </c>
      <c r="C885" s="20" t="s">
        <v>12</v>
      </c>
      <c r="D885" s="20" t="s">
        <v>1748</v>
      </c>
      <c r="E885" s="20" t="s">
        <v>1749</v>
      </c>
      <c r="F885" s="20">
        <v>30.516487309999999</v>
      </c>
      <c r="G885" s="20">
        <v>47.790808050000003</v>
      </c>
      <c r="H885" s="22">
        <v>23</v>
      </c>
      <c r="I885" s="22">
        <v>138</v>
      </c>
      <c r="J885" s="21">
        <v>3</v>
      </c>
      <c r="K885" s="21"/>
      <c r="L885" s="21"/>
      <c r="M885" s="21"/>
      <c r="N885" s="21"/>
      <c r="O885" s="21"/>
      <c r="P885" s="21"/>
      <c r="Q885" s="21"/>
      <c r="R885" s="21">
        <v>4</v>
      </c>
      <c r="S885" s="21"/>
      <c r="T885" s="21"/>
      <c r="U885" s="21"/>
      <c r="V885" s="21">
        <v>12</v>
      </c>
      <c r="W885" s="21"/>
      <c r="X885" s="21">
        <v>4</v>
      </c>
      <c r="Y885" s="21"/>
      <c r="Z885" s="21"/>
      <c r="AA885" s="21"/>
      <c r="AB885" s="21"/>
      <c r="AC885" s="21">
        <v>4</v>
      </c>
      <c r="AD885" s="21"/>
      <c r="AE885" s="21">
        <v>3</v>
      </c>
      <c r="AF885" s="21"/>
      <c r="AG885" s="21"/>
      <c r="AH885" s="21">
        <v>16</v>
      </c>
      <c r="AI885" s="21"/>
      <c r="AJ885" s="21"/>
      <c r="AK885" s="21"/>
      <c r="AL885" s="21">
        <v>1</v>
      </c>
      <c r="AM885" s="21">
        <v>3</v>
      </c>
      <c r="AN885" s="21">
        <v>12</v>
      </c>
      <c r="AO885" s="21">
        <v>7</v>
      </c>
      <c r="AP885" s="21"/>
      <c r="AQ885" s="21"/>
      <c r="AR885" s="21"/>
      <c r="AS885" s="21"/>
      <c r="AT885" s="12" t="str">
        <f>HYPERLINK("http://www.openstreetmap.org/?mlat=30.5165&amp;mlon=47.7908&amp;zoom=12#map=12/30.5165/47.7908","Maplink1")</f>
        <v>Maplink1</v>
      </c>
      <c r="AU885" s="12" t="str">
        <f>HYPERLINK("https://www.google.iq/maps/search/+30.5165,47.7908/@30.5165,47.7908,14z?hl=en","Maplink2")</f>
        <v>Maplink2</v>
      </c>
      <c r="AV885" s="12" t="str">
        <f>HYPERLINK("http://www.bing.com/maps/?lvl=14&amp;sty=h&amp;cp=30.5165~47.7908&amp;sp=point.30.5165_47.7908","Maplink3")</f>
        <v>Maplink3</v>
      </c>
    </row>
    <row r="886" spans="1:48" ht="15" customHeight="1" x14ac:dyDescent="0.25">
      <c r="A886" s="19">
        <v>24481</v>
      </c>
      <c r="B886" s="20" t="s">
        <v>12</v>
      </c>
      <c r="C886" s="20" t="s">
        <v>12</v>
      </c>
      <c r="D886" s="20" t="s">
        <v>1750</v>
      </c>
      <c r="E886" s="20" t="s">
        <v>1751</v>
      </c>
      <c r="F886" s="20">
        <v>30.489970870000001</v>
      </c>
      <c r="G886" s="20">
        <v>47.81084516</v>
      </c>
      <c r="H886" s="22">
        <v>3</v>
      </c>
      <c r="I886" s="22">
        <v>18</v>
      </c>
      <c r="J886" s="21">
        <v>2</v>
      </c>
      <c r="K886" s="21"/>
      <c r="L886" s="21">
        <v>1</v>
      </c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>
        <v>3</v>
      </c>
      <c r="AI886" s="21"/>
      <c r="AJ886" s="21"/>
      <c r="AK886" s="21"/>
      <c r="AL886" s="21">
        <v>1</v>
      </c>
      <c r="AM886" s="21">
        <v>1</v>
      </c>
      <c r="AN886" s="21"/>
      <c r="AO886" s="21"/>
      <c r="AP886" s="21">
        <v>1</v>
      </c>
      <c r="AQ886" s="21"/>
      <c r="AR886" s="21"/>
      <c r="AS886" s="21"/>
      <c r="AT886" s="12" t="str">
        <f>HYPERLINK("http://www.openstreetmap.org/?mlat=30.49&amp;mlon=47.8108&amp;zoom=12#map=12/30.49/47.8108","Maplink1")</f>
        <v>Maplink1</v>
      </c>
      <c r="AU886" s="12" t="str">
        <f>HYPERLINK("https://www.google.iq/maps/search/+30.49,47.8108/@30.49,47.8108,14z?hl=en","Maplink2")</f>
        <v>Maplink2</v>
      </c>
      <c r="AV886" s="12" t="str">
        <f>HYPERLINK("http://www.bing.com/maps/?lvl=14&amp;sty=h&amp;cp=30.49~47.8108&amp;sp=point.30.49_47.8108","Maplink3")</f>
        <v>Maplink3</v>
      </c>
    </row>
    <row r="887" spans="1:48" ht="15" customHeight="1" x14ac:dyDescent="0.25">
      <c r="A887" s="19">
        <v>1310</v>
      </c>
      <c r="B887" s="20" t="s">
        <v>12</v>
      </c>
      <c r="C887" s="20" t="s">
        <v>12</v>
      </c>
      <c r="D887" s="20" t="s">
        <v>1752</v>
      </c>
      <c r="E887" s="20" t="s">
        <v>1753</v>
      </c>
      <c r="F887" s="20">
        <v>30.46671482</v>
      </c>
      <c r="G887" s="20">
        <v>47.805786099999999</v>
      </c>
      <c r="H887" s="22">
        <v>3</v>
      </c>
      <c r="I887" s="22">
        <v>18</v>
      </c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>
        <v>2</v>
      </c>
      <c r="W887" s="21"/>
      <c r="X887" s="21">
        <v>1</v>
      </c>
      <c r="Y887" s="21"/>
      <c r="Z887" s="21"/>
      <c r="AA887" s="21"/>
      <c r="AB887" s="21"/>
      <c r="AC887" s="21">
        <v>2</v>
      </c>
      <c r="AD887" s="21"/>
      <c r="AE887" s="21"/>
      <c r="AF887" s="21"/>
      <c r="AG887" s="21"/>
      <c r="AH887" s="21">
        <v>1</v>
      </c>
      <c r="AI887" s="21"/>
      <c r="AJ887" s="21"/>
      <c r="AK887" s="21"/>
      <c r="AL887" s="21"/>
      <c r="AM887" s="21">
        <v>1</v>
      </c>
      <c r="AN887" s="21"/>
      <c r="AO887" s="21">
        <v>2</v>
      </c>
      <c r="AP887" s="21"/>
      <c r="AQ887" s="21"/>
      <c r="AR887" s="21"/>
      <c r="AS887" s="21"/>
      <c r="AT887" s="12" t="str">
        <f>HYPERLINK("http://www.openstreetmap.org/?mlat=30.4667&amp;mlon=47.8058&amp;zoom=12#map=12/30.4667/47.8058","Maplink1")</f>
        <v>Maplink1</v>
      </c>
      <c r="AU887" s="12" t="str">
        <f>HYPERLINK("https://www.google.iq/maps/search/+30.4667,47.8058/@30.4667,47.8058,14z?hl=en","Maplink2")</f>
        <v>Maplink2</v>
      </c>
      <c r="AV887" s="12" t="str">
        <f>HYPERLINK("http://www.bing.com/maps/?lvl=14&amp;sty=h&amp;cp=30.4667~47.8058&amp;sp=point.30.4667_47.8058","Maplink3")</f>
        <v>Maplink3</v>
      </c>
    </row>
    <row r="888" spans="1:48" ht="15" customHeight="1" x14ac:dyDescent="0.25">
      <c r="A888" s="19">
        <v>24627</v>
      </c>
      <c r="B888" s="20" t="s">
        <v>12</v>
      </c>
      <c r="C888" s="20" t="s">
        <v>12</v>
      </c>
      <c r="D888" s="20" t="s">
        <v>1754</v>
      </c>
      <c r="E888" s="20" t="s">
        <v>1755</v>
      </c>
      <c r="F888" s="20">
        <v>30.470510730000001</v>
      </c>
      <c r="G888" s="20">
        <v>47.822787779999999</v>
      </c>
      <c r="H888" s="22">
        <v>1</v>
      </c>
      <c r="I888" s="22">
        <v>6</v>
      </c>
      <c r="J888" s="21"/>
      <c r="K888" s="21">
        <v>1</v>
      </c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>
        <v>1</v>
      </c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>
        <v>1</v>
      </c>
      <c r="AO888" s="21"/>
      <c r="AP888" s="21"/>
      <c r="AQ888" s="21"/>
      <c r="AR888" s="21"/>
      <c r="AS888" s="21"/>
      <c r="AT888" s="12" t="str">
        <f>HYPERLINK("http://www.openstreetmap.org/?mlat=30.4705&amp;mlon=47.8228&amp;zoom=12#map=12/30.4705/47.8228","Maplink1")</f>
        <v>Maplink1</v>
      </c>
      <c r="AU888" s="12" t="str">
        <f>HYPERLINK("https://www.google.iq/maps/search/+30.4705,47.8228/@30.4705,47.8228,14z?hl=en","Maplink2")</f>
        <v>Maplink2</v>
      </c>
      <c r="AV888" s="12" t="str">
        <f>HYPERLINK("http://www.bing.com/maps/?lvl=14&amp;sty=h&amp;cp=30.4705~47.8228&amp;sp=point.30.4705_47.8228","Maplink3")</f>
        <v>Maplink3</v>
      </c>
    </row>
    <row r="889" spans="1:48" ht="15" customHeight="1" x14ac:dyDescent="0.25">
      <c r="A889" s="19">
        <v>21641</v>
      </c>
      <c r="B889" s="20" t="s">
        <v>12</v>
      </c>
      <c r="C889" s="20" t="s">
        <v>12</v>
      </c>
      <c r="D889" s="20" t="s">
        <v>1756</v>
      </c>
      <c r="E889" s="20" t="s">
        <v>1757</v>
      </c>
      <c r="F889" s="20">
        <v>30.54014549</v>
      </c>
      <c r="G889" s="20">
        <v>47.75428634</v>
      </c>
      <c r="H889" s="22">
        <v>6</v>
      </c>
      <c r="I889" s="22">
        <v>36</v>
      </c>
      <c r="J889" s="21">
        <v>1</v>
      </c>
      <c r="K889" s="21"/>
      <c r="L889" s="21"/>
      <c r="M889" s="21"/>
      <c r="N889" s="21"/>
      <c r="O889" s="21">
        <v>1</v>
      </c>
      <c r="P889" s="21"/>
      <c r="Q889" s="21"/>
      <c r="R889" s="21">
        <v>3</v>
      </c>
      <c r="S889" s="21"/>
      <c r="T889" s="21"/>
      <c r="U889" s="21"/>
      <c r="V889" s="21"/>
      <c r="W889" s="21"/>
      <c r="X889" s="21">
        <v>1</v>
      </c>
      <c r="Y889" s="21"/>
      <c r="Z889" s="21"/>
      <c r="AA889" s="21"/>
      <c r="AB889" s="21"/>
      <c r="AC889" s="21">
        <v>1</v>
      </c>
      <c r="AD889" s="21"/>
      <c r="AE889" s="21"/>
      <c r="AF889" s="21"/>
      <c r="AG889" s="21"/>
      <c r="AH889" s="21">
        <v>5</v>
      </c>
      <c r="AI889" s="21"/>
      <c r="AJ889" s="21"/>
      <c r="AK889" s="21"/>
      <c r="AL889" s="21"/>
      <c r="AM889" s="21"/>
      <c r="AN889" s="21">
        <v>3</v>
      </c>
      <c r="AO889" s="21">
        <v>2</v>
      </c>
      <c r="AP889" s="21">
        <v>1</v>
      </c>
      <c r="AQ889" s="21"/>
      <c r="AR889" s="21"/>
      <c r="AS889" s="21"/>
      <c r="AT889" s="12" t="str">
        <f>HYPERLINK("http://www.openstreetmap.org/?mlat=30.5401&amp;mlon=47.7543&amp;zoom=12#map=12/30.5401/47.7543","Maplink1")</f>
        <v>Maplink1</v>
      </c>
      <c r="AU889" s="12" t="str">
        <f>HYPERLINK("https://www.google.iq/maps/search/+30.5401,47.7543/@30.5401,47.7543,14z?hl=en","Maplink2")</f>
        <v>Maplink2</v>
      </c>
      <c r="AV889" s="12" t="str">
        <f>HYPERLINK("http://www.bing.com/maps/?lvl=14&amp;sty=h&amp;cp=30.5401~47.7543&amp;sp=point.30.5401_47.7543","Maplink3")</f>
        <v>Maplink3</v>
      </c>
    </row>
    <row r="890" spans="1:48" ht="15" customHeight="1" x14ac:dyDescent="0.25">
      <c r="A890" s="19">
        <v>959</v>
      </c>
      <c r="B890" s="20" t="s">
        <v>12</v>
      </c>
      <c r="C890" s="20" t="s">
        <v>12</v>
      </c>
      <c r="D890" s="20" t="s">
        <v>1758</v>
      </c>
      <c r="E890" s="20" t="s">
        <v>1759</v>
      </c>
      <c r="F890" s="20">
        <v>30.535540260000001</v>
      </c>
      <c r="G890" s="20">
        <v>47.760522729999998</v>
      </c>
      <c r="H890" s="22">
        <v>1</v>
      </c>
      <c r="I890" s="22">
        <v>6</v>
      </c>
      <c r="J890" s="21">
        <v>1</v>
      </c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>
        <v>1</v>
      </c>
      <c r="AF890" s="21"/>
      <c r="AG890" s="21"/>
      <c r="AH890" s="21"/>
      <c r="AI890" s="21"/>
      <c r="AJ890" s="21"/>
      <c r="AK890" s="21"/>
      <c r="AL890" s="21">
        <v>1</v>
      </c>
      <c r="AM890" s="21"/>
      <c r="AN890" s="21"/>
      <c r="AO890" s="21"/>
      <c r="AP890" s="21"/>
      <c r="AQ890" s="21"/>
      <c r="AR890" s="21"/>
      <c r="AS890" s="21"/>
      <c r="AT890" s="12" t="str">
        <f>HYPERLINK("http://www.openstreetmap.org/?mlat=30.5355&amp;mlon=47.7605&amp;zoom=12#map=12/30.5355/47.7605","Maplink1")</f>
        <v>Maplink1</v>
      </c>
      <c r="AU890" s="12" t="str">
        <f>HYPERLINK("https://www.google.iq/maps/search/+30.5355,47.7605/@30.5355,47.7605,14z?hl=en","Maplink2")</f>
        <v>Maplink2</v>
      </c>
      <c r="AV890" s="12" t="str">
        <f>HYPERLINK("http://www.bing.com/maps/?lvl=14&amp;sty=h&amp;cp=30.5355~47.7605&amp;sp=point.30.5355_47.7605","Maplink3")</f>
        <v>Maplink3</v>
      </c>
    </row>
    <row r="891" spans="1:48" ht="15" customHeight="1" x14ac:dyDescent="0.25">
      <c r="A891" s="19">
        <v>24180</v>
      </c>
      <c r="B891" s="20" t="s">
        <v>12</v>
      </c>
      <c r="C891" s="20" t="s">
        <v>12</v>
      </c>
      <c r="D891" s="20" t="s">
        <v>1760</v>
      </c>
      <c r="E891" s="20" t="s">
        <v>1761</v>
      </c>
      <c r="F891" s="20">
        <v>30.512921689999999</v>
      </c>
      <c r="G891" s="20">
        <v>47.767972309999998</v>
      </c>
      <c r="H891" s="22">
        <v>7</v>
      </c>
      <c r="I891" s="22">
        <v>42</v>
      </c>
      <c r="J891" s="21">
        <v>1</v>
      </c>
      <c r="K891" s="21"/>
      <c r="L891" s="21">
        <v>1</v>
      </c>
      <c r="M891" s="21"/>
      <c r="N891" s="21"/>
      <c r="O891" s="21"/>
      <c r="P891" s="21"/>
      <c r="Q891" s="21"/>
      <c r="R891" s="21">
        <v>1</v>
      </c>
      <c r="S891" s="21"/>
      <c r="T891" s="21"/>
      <c r="U891" s="21"/>
      <c r="V891" s="21">
        <v>4</v>
      </c>
      <c r="W891" s="21"/>
      <c r="X891" s="21"/>
      <c r="Y891" s="21"/>
      <c r="Z891" s="21"/>
      <c r="AA891" s="21"/>
      <c r="AB891" s="21"/>
      <c r="AC891" s="21">
        <v>1</v>
      </c>
      <c r="AD891" s="21"/>
      <c r="AE891" s="21"/>
      <c r="AF891" s="21"/>
      <c r="AG891" s="21"/>
      <c r="AH891" s="21">
        <v>6</v>
      </c>
      <c r="AI891" s="21"/>
      <c r="AJ891" s="21"/>
      <c r="AK891" s="21"/>
      <c r="AL891" s="21"/>
      <c r="AM891" s="21">
        <v>2</v>
      </c>
      <c r="AN891" s="21"/>
      <c r="AO891" s="21">
        <v>2</v>
      </c>
      <c r="AP891" s="21"/>
      <c r="AQ891" s="21">
        <v>2</v>
      </c>
      <c r="AR891" s="21">
        <v>1</v>
      </c>
      <c r="AS891" s="21"/>
      <c r="AT891" s="12" t="str">
        <f>HYPERLINK("http://www.openstreetmap.org/?mlat=30.5129&amp;mlon=47.768&amp;zoom=12#map=12/30.5129/47.768","Maplink1")</f>
        <v>Maplink1</v>
      </c>
      <c r="AU891" s="12" t="str">
        <f>HYPERLINK("https://www.google.iq/maps/search/+30.5129,47.768/@30.5129,47.768,14z?hl=en","Maplink2")</f>
        <v>Maplink2</v>
      </c>
      <c r="AV891" s="12" t="str">
        <f>HYPERLINK("http://www.bing.com/maps/?lvl=14&amp;sty=h&amp;cp=30.5129~47.768&amp;sp=point.30.5129_47.768","Maplink3")</f>
        <v>Maplink3</v>
      </c>
    </row>
    <row r="892" spans="1:48" ht="15" customHeight="1" x14ac:dyDescent="0.25">
      <c r="A892" s="19">
        <v>1296</v>
      </c>
      <c r="B892" s="20" t="s">
        <v>12</v>
      </c>
      <c r="C892" s="20" t="s">
        <v>12</v>
      </c>
      <c r="D892" s="20" t="s">
        <v>1762</v>
      </c>
      <c r="E892" s="20" t="s">
        <v>1763</v>
      </c>
      <c r="F892" s="20">
        <v>30.523982790000002</v>
      </c>
      <c r="G892" s="20">
        <v>47.827212170000003</v>
      </c>
      <c r="H892" s="22">
        <v>2</v>
      </c>
      <c r="I892" s="22">
        <v>12</v>
      </c>
      <c r="J892" s="21">
        <v>2</v>
      </c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>
        <v>2</v>
      </c>
      <c r="AI892" s="21"/>
      <c r="AJ892" s="21"/>
      <c r="AK892" s="21"/>
      <c r="AL892" s="21"/>
      <c r="AM892" s="21"/>
      <c r="AN892" s="21"/>
      <c r="AO892" s="21">
        <v>1</v>
      </c>
      <c r="AP892" s="21"/>
      <c r="AQ892" s="21"/>
      <c r="AR892" s="21">
        <v>1</v>
      </c>
      <c r="AS892" s="21"/>
      <c r="AT892" s="12" t="str">
        <f>HYPERLINK("http://www.openstreetmap.org/?mlat=30.524&amp;mlon=47.8272&amp;zoom=12#map=12/30.524/47.8272","Maplink1")</f>
        <v>Maplink1</v>
      </c>
      <c r="AU892" s="12" t="str">
        <f>HYPERLINK("https://www.google.iq/maps/search/+30.524,47.8272/@30.524,47.8272,14z?hl=en","Maplink2")</f>
        <v>Maplink2</v>
      </c>
      <c r="AV892" s="12" t="str">
        <f>HYPERLINK("http://www.bing.com/maps/?lvl=14&amp;sty=h&amp;cp=30.524~47.8272&amp;sp=point.30.524_47.8272","Maplink3")</f>
        <v>Maplink3</v>
      </c>
    </row>
    <row r="893" spans="1:48" ht="15" customHeight="1" x14ac:dyDescent="0.25">
      <c r="A893" s="19">
        <v>920</v>
      </c>
      <c r="B893" s="20" t="s">
        <v>12</v>
      </c>
      <c r="C893" s="20" t="s">
        <v>12</v>
      </c>
      <c r="D893" s="20" t="s">
        <v>1764</v>
      </c>
      <c r="E893" s="20" t="s">
        <v>1765</v>
      </c>
      <c r="F893" s="20">
        <v>30.520750639999999</v>
      </c>
      <c r="G893" s="20">
        <v>47.818125510000002</v>
      </c>
      <c r="H893" s="22">
        <v>6</v>
      </c>
      <c r="I893" s="22">
        <v>36</v>
      </c>
      <c r="J893" s="21">
        <v>2</v>
      </c>
      <c r="K893" s="21"/>
      <c r="L893" s="21"/>
      <c r="M893" s="21"/>
      <c r="N893" s="21"/>
      <c r="O893" s="21">
        <v>1</v>
      </c>
      <c r="P893" s="21"/>
      <c r="Q893" s="21"/>
      <c r="R893" s="21"/>
      <c r="S893" s="21"/>
      <c r="T893" s="21"/>
      <c r="U893" s="21"/>
      <c r="V893" s="21">
        <v>3</v>
      </c>
      <c r="W893" s="21"/>
      <c r="X893" s="21"/>
      <c r="Y893" s="21"/>
      <c r="Z893" s="21"/>
      <c r="AA893" s="21"/>
      <c r="AB893" s="21"/>
      <c r="AC893" s="21">
        <v>2</v>
      </c>
      <c r="AD893" s="21"/>
      <c r="AE893" s="21"/>
      <c r="AF893" s="21"/>
      <c r="AG893" s="21"/>
      <c r="AH893" s="21">
        <v>4</v>
      </c>
      <c r="AI893" s="21"/>
      <c r="AJ893" s="21"/>
      <c r="AK893" s="21"/>
      <c r="AL893" s="21"/>
      <c r="AM893" s="21">
        <v>4</v>
      </c>
      <c r="AN893" s="21">
        <v>1</v>
      </c>
      <c r="AO893" s="21">
        <v>1</v>
      </c>
      <c r="AP893" s="21"/>
      <c r="AQ893" s="21"/>
      <c r="AR893" s="21"/>
      <c r="AS893" s="21"/>
      <c r="AT893" s="12" t="str">
        <f>HYPERLINK("http://www.openstreetmap.org/?mlat=30.5208&amp;mlon=47.8181&amp;zoom=12#map=12/30.5208/47.8181","Maplink1")</f>
        <v>Maplink1</v>
      </c>
      <c r="AU893" s="12" t="str">
        <f>HYPERLINK("https://www.google.iq/maps/search/+30.5208,47.8181/@30.5208,47.8181,14z?hl=en","Maplink2")</f>
        <v>Maplink2</v>
      </c>
      <c r="AV893" s="12" t="str">
        <f>HYPERLINK("http://www.bing.com/maps/?lvl=14&amp;sty=h&amp;cp=30.5208~47.8181&amp;sp=point.30.5208_47.8181","Maplink3")</f>
        <v>Maplink3</v>
      </c>
    </row>
    <row r="894" spans="1:48" ht="15" customHeight="1" x14ac:dyDescent="0.25">
      <c r="A894" s="19">
        <v>890</v>
      </c>
      <c r="B894" s="20" t="s">
        <v>12</v>
      </c>
      <c r="C894" s="20" t="s">
        <v>12</v>
      </c>
      <c r="D894" s="20" t="s">
        <v>5987</v>
      </c>
      <c r="E894" s="20" t="s">
        <v>5988</v>
      </c>
      <c r="F894" s="20">
        <v>30.504999999999999</v>
      </c>
      <c r="G894" s="20">
        <v>47.835278000000002</v>
      </c>
      <c r="H894" s="22">
        <v>1</v>
      </c>
      <c r="I894" s="22">
        <v>6</v>
      </c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>
        <v>1</v>
      </c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>
        <v>1</v>
      </c>
      <c r="AI894" s="21"/>
      <c r="AJ894" s="21"/>
      <c r="AK894" s="21"/>
      <c r="AL894" s="21"/>
      <c r="AM894" s="21"/>
      <c r="AN894" s="21"/>
      <c r="AO894" s="21">
        <v>1</v>
      </c>
      <c r="AP894" s="21"/>
      <c r="AQ894" s="21"/>
      <c r="AR894" s="21"/>
      <c r="AS894" s="21"/>
      <c r="AT894" s="12" t="str">
        <f>HYPERLINK("http://www.openstreetmap.org/?mlat=30.505&amp;mlon=47.8353&amp;zoom=12#map=12/30.505/47.8353","Maplink1")</f>
        <v>Maplink1</v>
      </c>
      <c r="AU894" s="12" t="str">
        <f>HYPERLINK("https://www.google.iq/maps/search/+30.505,47.8353/@30.505,47.8353,14z?hl=en","Maplink2")</f>
        <v>Maplink2</v>
      </c>
      <c r="AV894" s="12" t="str">
        <f>HYPERLINK("http://www.bing.com/maps/?lvl=14&amp;sty=h&amp;cp=30.505~47.8353&amp;sp=point.30.505_47.8353","Maplink3")</f>
        <v>Maplink3</v>
      </c>
    </row>
    <row r="895" spans="1:48" ht="15" customHeight="1" x14ac:dyDescent="0.25">
      <c r="A895" s="19">
        <v>905</v>
      </c>
      <c r="B895" s="20" t="s">
        <v>12</v>
      </c>
      <c r="C895" s="20" t="s">
        <v>12</v>
      </c>
      <c r="D895" s="20" t="s">
        <v>1766</v>
      </c>
      <c r="E895" s="20" t="s">
        <v>1767</v>
      </c>
      <c r="F895" s="20">
        <v>30.509197319999998</v>
      </c>
      <c r="G895" s="20">
        <v>47.791742130000003</v>
      </c>
      <c r="H895" s="22">
        <v>8</v>
      </c>
      <c r="I895" s="22">
        <v>48</v>
      </c>
      <c r="J895" s="21"/>
      <c r="K895" s="21"/>
      <c r="L895" s="21">
        <v>2</v>
      </c>
      <c r="M895" s="21"/>
      <c r="N895" s="21"/>
      <c r="O895" s="21"/>
      <c r="P895" s="21"/>
      <c r="Q895" s="21"/>
      <c r="R895" s="21">
        <v>1</v>
      </c>
      <c r="S895" s="21"/>
      <c r="T895" s="21"/>
      <c r="U895" s="21"/>
      <c r="V895" s="21">
        <v>4</v>
      </c>
      <c r="W895" s="21"/>
      <c r="X895" s="21">
        <v>1</v>
      </c>
      <c r="Y895" s="21"/>
      <c r="Z895" s="21"/>
      <c r="AA895" s="21"/>
      <c r="AB895" s="21"/>
      <c r="AC895" s="21">
        <v>3</v>
      </c>
      <c r="AD895" s="21"/>
      <c r="AE895" s="21"/>
      <c r="AF895" s="21"/>
      <c r="AG895" s="21"/>
      <c r="AH895" s="21">
        <v>5</v>
      </c>
      <c r="AI895" s="21"/>
      <c r="AJ895" s="21"/>
      <c r="AK895" s="21"/>
      <c r="AL895" s="21">
        <v>3</v>
      </c>
      <c r="AM895" s="21"/>
      <c r="AN895" s="21">
        <v>2</v>
      </c>
      <c r="AO895" s="21">
        <v>2</v>
      </c>
      <c r="AP895" s="21"/>
      <c r="AQ895" s="21"/>
      <c r="AR895" s="21">
        <v>1</v>
      </c>
      <c r="AS895" s="21"/>
      <c r="AT895" s="12" t="str">
        <f>HYPERLINK("http://www.openstreetmap.org/?mlat=30.5092&amp;mlon=47.7917&amp;zoom=12#map=12/30.5092/47.7917","Maplink1")</f>
        <v>Maplink1</v>
      </c>
      <c r="AU895" s="12" t="str">
        <f>HYPERLINK("https://www.google.iq/maps/search/+30.5092,47.7917/@30.5092,47.7917,14z?hl=en","Maplink2")</f>
        <v>Maplink2</v>
      </c>
      <c r="AV895" s="12" t="str">
        <f>HYPERLINK("http://www.bing.com/maps/?lvl=14&amp;sty=h&amp;cp=30.5092~47.7917&amp;sp=point.30.5092_47.7917","Maplink3")</f>
        <v>Maplink3</v>
      </c>
    </row>
    <row r="896" spans="1:48" ht="15" customHeight="1" x14ac:dyDescent="0.25">
      <c r="A896" s="19">
        <v>1030</v>
      </c>
      <c r="B896" s="20" t="s">
        <v>12</v>
      </c>
      <c r="C896" s="20" t="s">
        <v>12</v>
      </c>
      <c r="D896" s="20" t="s">
        <v>1768</v>
      </c>
      <c r="E896" s="20" t="s">
        <v>1769</v>
      </c>
      <c r="F896" s="20">
        <v>30.58571727</v>
      </c>
      <c r="G896" s="20">
        <v>47.758617190000002</v>
      </c>
      <c r="H896" s="22">
        <v>6</v>
      </c>
      <c r="I896" s="22">
        <v>36</v>
      </c>
      <c r="J896" s="21">
        <v>2</v>
      </c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>
        <v>4</v>
      </c>
      <c r="W896" s="21"/>
      <c r="X896" s="21"/>
      <c r="Y896" s="21"/>
      <c r="Z896" s="21"/>
      <c r="AA896" s="21"/>
      <c r="AB896" s="21"/>
      <c r="AC896" s="21">
        <v>4</v>
      </c>
      <c r="AD896" s="21"/>
      <c r="AE896" s="21"/>
      <c r="AF896" s="21"/>
      <c r="AG896" s="21"/>
      <c r="AH896" s="21">
        <v>2</v>
      </c>
      <c r="AI896" s="21"/>
      <c r="AJ896" s="21"/>
      <c r="AK896" s="21"/>
      <c r="AL896" s="21"/>
      <c r="AM896" s="21">
        <v>4</v>
      </c>
      <c r="AN896" s="21"/>
      <c r="AO896" s="21">
        <v>1</v>
      </c>
      <c r="AP896" s="21">
        <v>1</v>
      </c>
      <c r="AQ896" s="21"/>
      <c r="AR896" s="21"/>
      <c r="AS896" s="21"/>
      <c r="AT896" s="12" t="str">
        <f>HYPERLINK("http://www.openstreetmap.org/?mlat=30.5857&amp;mlon=47.7586&amp;zoom=12#map=12/30.5857/47.7586","Maplink1")</f>
        <v>Maplink1</v>
      </c>
      <c r="AU896" s="12" t="str">
        <f>HYPERLINK("https://www.google.iq/maps/search/+30.5857,47.7586/@30.5857,47.7586,14z?hl=en","Maplink2")</f>
        <v>Maplink2</v>
      </c>
      <c r="AV896" s="12" t="str">
        <f>HYPERLINK("http://www.bing.com/maps/?lvl=14&amp;sty=h&amp;cp=30.5857~47.7586&amp;sp=point.30.5857_47.7586","Maplink3")</f>
        <v>Maplink3</v>
      </c>
    </row>
    <row r="897" spans="1:48" ht="15" customHeight="1" x14ac:dyDescent="0.25">
      <c r="A897" s="19">
        <v>1308</v>
      </c>
      <c r="B897" s="20" t="s">
        <v>12</v>
      </c>
      <c r="C897" s="20" t="s">
        <v>12</v>
      </c>
      <c r="D897" s="20" t="s">
        <v>1770</v>
      </c>
      <c r="E897" s="20" t="s">
        <v>1771</v>
      </c>
      <c r="F897" s="20">
        <v>30.499007150000001</v>
      </c>
      <c r="G897" s="20">
        <v>47.81347959</v>
      </c>
      <c r="H897" s="22">
        <v>15</v>
      </c>
      <c r="I897" s="22">
        <v>90</v>
      </c>
      <c r="J897" s="21">
        <v>7</v>
      </c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>
        <v>6</v>
      </c>
      <c r="W897" s="21"/>
      <c r="X897" s="21">
        <v>2</v>
      </c>
      <c r="Y897" s="21"/>
      <c r="Z897" s="21"/>
      <c r="AA897" s="21"/>
      <c r="AB897" s="21"/>
      <c r="AC897" s="21">
        <v>2</v>
      </c>
      <c r="AD897" s="21"/>
      <c r="AE897" s="21"/>
      <c r="AF897" s="21"/>
      <c r="AG897" s="21">
        <v>1</v>
      </c>
      <c r="AH897" s="21">
        <v>12</v>
      </c>
      <c r="AI897" s="21"/>
      <c r="AJ897" s="21"/>
      <c r="AK897" s="21"/>
      <c r="AL897" s="21">
        <v>4</v>
      </c>
      <c r="AM897" s="21">
        <v>1</v>
      </c>
      <c r="AN897" s="21">
        <v>2</v>
      </c>
      <c r="AO897" s="21">
        <v>7</v>
      </c>
      <c r="AP897" s="21"/>
      <c r="AQ897" s="21">
        <v>1</v>
      </c>
      <c r="AR897" s="21"/>
      <c r="AS897" s="21"/>
      <c r="AT897" s="12" t="str">
        <f>HYPERLINK("http://www.openstreetmap.org/?mlat=30.499&amp;mlon=47.8135&amp;zoom=12#map=12/30.499/47.8135","Maplink1")</f>
        <v>Maplink1</v>
      </c>
      <c r="AU897" s="12" t="str">
        <f>HYPERLINK("https://www.google.iq/maps/search/+30.499,47.8135/@30.499,47.8135,14z?hl=en","Maplink2")</f>
        <v>Maplink2</v>
      </c>
      <c r="AV897" s="12" t="str">
        <f>HYPERLINK("http://www.bing.com/maps/?lvl=14&amp;sty=h&amp;cp=30.499~47.8135&amp;sp=point.30.499_47.8135","Maplink3")</f>
        <v>Maplink3</v>
      </c>
    </row>
    <row r="898" spans="1:48" ht="15" customHeight="1" x14ac:dyDescent="0.25">
      <c r="A898" s="19">
        <v>872</v>
      </c>
      <c r="B898" s="20" t="s">
        <v>12</v>
      </c>
      <c r="C898" s="20" t="s">
        <v>12</v>
      </c>
      <c r="D898" s="20" t="s">
        <v>1772</v>
      </c>
      <c r="E898" s="20" t="s">
        <v>1773</v>
      </c>
      <c r="F898" s="20">
        <v>30.49970205</v>
      </c>
      <c r="G898" s="20">
        <v>47.85495023</v>
      </c>
      <c r="H898" s="22">
        <v>10</v>
      </c>
      <c r="I898" s="22">
        <v>60</v>
      </c>
      <c r="J898" s="21">
        <v>2</v>
      </c>
      <c r="K898" s="21"/>
      <c r="L898" s="21"/>
      <c r="M898" s="21"/>
      <c r="N898" s="21"/>
      <c r="O898" s="21"/>
      <c r="P898" s="21"/>
      <c r="Q898" s="21"/>
      <c r="R898" s="21">
        <v>2</v>
      </c>
      <c r="S898" s="21"/>
      <c r="T898" s="21"/>
      <c r="U898" s="21"/>
      <c r="V898" s="21">
        <v>2</v>
      </c>
      <c r="W898" s="21"/>
      <c r="X898" s="21">
        <v>4</v>
      </c>
      <c r="Y898" s="21"/>
      <c r="Z898" s="21"/>
      <c r="AA898" s="21"/>
      <c r="AB898" s="21"/>
      <c r="AC898" s="21">
        <v>4</v>
      </c>
      <c r="AD898" s="21"/>
      <c r="AE898" s="21"/>
      <c r="AF898" s="21"/>
      <c r="AG898" s="21"/>
      <c r="AH898" s="21">
        <v>6</v>
      </c>
      <c r="AI898" s="21"/>
      <c r="AJ898" s="21"/>
      <c r="AK898" s="21"/>
      <c r="AL898" s="21"/>
      <c r="AM898" s="21"/>
      <c r="AN898" s="21">
        <v>3</v>
      </c>
      <c r="AO898" s="21">
        <v>1</v>
      </c>
      <c r="AP898" s="21">
        <v>5</v>
      </c>
      <c r="AQ898" s="21"/>
      <c r="AR898" s="21">
        <v>1</v>
      </c>
      <c r="AS898" s="21"/>
      <c r="AT898" s="12" t="str">
        <f>HYPERLINK("http://www.openstreetmap.org/?mlat=30.4997&amp;mlon=47.855&amp;zoom=12#map=12/30.4997/47.855","Maplink1")</f>
        <v>Maplink1</v>
      </c>
      <c r="AU898" s="12" t="str">
        <f>HYPERLINK("https://www.google.iq/maps/search/+30.4997,47.855/@30.4997,47.855,14z?hl=en","Maplink2")</f>
        <v>Maplink2</v>
      </c>
      <c r="AV898" s="12" t="str">
        <f>HYPERLINK("http://www.bing.com/maps/?lvl=14&amp;sty=h&amp;cp=30.4997~47.855&amp;sp=point.30.4997_47.855","Maplink3")</f>
        <v>Maplink3</v>
      </c>
    </row>
    <row r="899" spans="1:48" ht="15" customHeight="1" x14ac:dyDescent="0.25">
      <c r="A899" s="19">
        <v>998</v>
      </c>
      <c r="B899" s="20" t="s">
        <v>12</v>
      </c>
      <c r="C899" s="20" t="s">
        <v>12</v>
      </c>
      <c r="D899" s="20" t="s">
        <v>1774</v>
      </c>
      <c r="E899" s="20" t="s">
        <v>1775</v>
      </c>
      <c r="F899" s="20">
        <v>30.456481140000001</v>
      </c>
      <c r="G899" s="20">
        <v>47.800009289999998</v>
      </c>
      <c r="H899" s="22">
        <v>8</v>
      </c>
      <c r="I899" s="22">
        <v>48</v>
      </c>
      <c r="J899" s="21"/>
      <c r="K899" s="21">
        <v>2</v>
      </c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>
        <v>6</v>
      </c>
      <c r="Y899" s="21"/>
      <c r="Z899" s="21"/>
      <c r="AA899" s="21"/>
      <c r="AB899" s="21"/>
      <c r="AC899" s="21">
        <v>2</v>
      </c>
      <c r="AD899" s="21"/>
      <c r="AE899" s="21"/>
      <c r="AF899" s="21"/>
      <c r="AG899" s="21"/>
      <c r="AH899" s="21">
        <v>6</v>
      </c>
      <c r="AI899" s="21"/>
      <c r="AJ899" s="21"/>
      <c r="AK899" s="21"/>
      <c r="AL899" s="21">
        <v>2</v>
      </c>
      <c r="AM899" s="21"/>
      <c r="AN899" s="21">
        <v>2</v>
      </c>
      <c r="AO899" s="21">
        <v>4</v>
      </c>
      <c r="AP899" s="21"/>
      <c r="AQ899" s="21"/>
      <c r="AR899" s="21"/>
      <c r="AS899" s="21"/>
      <c r="AT899" s="12" t="str">
        <f>HYPERLINK("http://www.openstreetmap.org/?mlat=30.4565&amp;mlon=47.8&amp;zoom=12#map=12/30.4565/47.8","Maplink1")</f>
        <v>Maplink1</v>
      </c>
      <c r="AU899" s="12" t="str">
        <f>HYPERLINK("https://www.google.iq/maps/search/+30.4565,47.8/@30.4565,47.8,14z?hl=en","Maplink2")</f>
        <v>Maplink2</v>
      </c>
      <c r="AV899" s="12" t="str">
        <f>HYPERLINK("http://www.bing.com/maps/?lvl=14&amp;sty=h&amp;cp=30.4565~47.8&amp;sp=point.30.4565_47.8","Maplink3")</f>
        <v>Maplink3</v>
      </c>
    </row>
    <row r="900" spans="1:48" ht="15" customHeight="1" x14ac:dyDescent="0.25">
      <c r="A900" s="19">
        <v>951</v>
      </c>
      <c r="B900" s="20" t="s">
        <v>12</v>
      </c>
      <c r="C900" s="20" t="s">
        <v>12</v>
      </c>
      <c r="D900" s="20" t="s">
        <v>1776</v>
      </c>
      <c r="E900" s="20" t="s">
        <v>1777</v>
      </c>
      <c r="F900" s="20">
        <v>30.526418280000001</v>
      </c>
      <c r="G900" s="20">
        <v>47.815012099999997</v>
      </c>
      <c r="H900" s="22">
        <v>11</v>
      </c>
      <c r="I900" s="22">
        <v>66</v>
      </c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>
        <v>7</v>
      </c>
      <c r="W900" s="21"/>
      <c r="X900" s="21">
        <v>4</v>
      </c>
      <c r="Y900" s="21"/>
      <c r="Z900" s="21"/>
      <c r="AA900" s="21"/>
      <c r="AB900" s="21"/>
      <c r="AC900" s="21">
        <v>2</v>
      </c>
      <c r="AD900" s="21"/>
      <c r="AE900" s="21"/>
      <c r="AF900" s="21"/>
      <c r="AG900" s="21"/>
      <c r="AH900" s="21">
        <v>9</v>
      </c>
      <c r="AI900" s="21"/>
      <c r="AJ900" s="21"/>
      <c r="AK900" s="21"/>
      <c r="AL900" s="21">
        <v>1</v>
      </c>
      <c r="AM900" s="21">
        <v>3</v>
      </c>
      <c r="AN900" s="21">
        <v>3</v>
      </c>
      <c r="AO900" s="21">
        <v>1</v>
      </c>
      <c r="AP900" s="21">
        <v>1</v>
      </c>
      <c r="AQ900" s="21">
        <v>1</v>
      </c>
      <c r="AR900" s="21">
        <v>1</v>
      </c>
      <c r="AS900" s="21"/>
      <c r="AT900" s="12" t="str">
        <f>HYPERLINK("http://www.openstreetmap.org/?mlat=30.5264&amp;mlon=47.815&amp;zoom=12#map=12/30.5264/47.815","Maplink1")</f>
        <v>Maplink1</v>
      </c>
      <c r="AU900" s="12" t="str">
        <f>HYPERLINK("https://www.google.iq/maps/search/+30.5264,47.815/@30.5264,47.815,14z?hl=en","Maplink2")</f>
        <v>Maplink2</v>
      </c>
      <c r="AV900" s="12" t="str">
        <f>HYPERLINK("http://www.bing.com/maps/?lvl=14&amp;sty=h&amp;cp=30.5264~47.815&amp;sp=point.30.5264_47.815","Maplink3")</f>
        <v>Maplink3</v>
      </c>
    </row>
    <row r="901" spans="1:48" ht="15" customHeight="1" x14ac:dyDescent="0.25">
      <c r="A901" s="19">
        <v>884</v>
      </c>
      <c r="B901" s="20" t="s">
        <v>12</v>
      </c>
      <c r="C901" s="20" t="s">
        <v>12</v>
      </c>
      <c r="D901" s="20" t="s">
        <v>1778</v>
      </c>
      <c r="E901" s="20" t="s">
        <v>1779</v>
      </c>
      <c r="F901" s="20">
        <v>30.499404910999999</v>
      </c>
      <c r="G901" s="20">
        <v>47.824262408499997</v>
      </c>
      <c r="H901" s="22">
        <v>3</v>
      </c>
      <c r="I901" s="22">
        <v>18</v>
      </c>
      <c r="J901" s="21">
        <v>2</v>
      </c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>
        <v>1</v>
      </c>
      <c r="W901" s="21"/>
      <c r="X901" s="21"/>
      <c r="Y901" s="21"/>
      <c r="Z901" s="21"/>
      <c r="AA901" s="21"/>
      <c r="AB901" s="21"/>
      <c r="AC901" s="21">
        <v>3</v>
      </c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>
        <v>2</v>
      </c>
      <c r="AP901" s="21">
        <v>1</v>
      </c>
      <c r="AQ901" s="21"/>
      <c r="AR901" s="21"/>
      <c r="AS901" s="21"/>
      <c r="AT901" s="12" t="str">
        <f>HYPERLINK("http://www.openstreetmap.org/?mlat=30.4994&amp;mlon=47.8243&amp;zoom=12#map=12/30.4994/47.8243","Maplink1")</f>
        <v>Maplink1</v>
      </c>
      <c r="AU901" s="12" t="str">
        <f>HYPERLINK("https://www.google.iq/maps/search/+30.4994,47.8243/@30.4994,47.8243,14z?hl=en","Maplink2")</f>
        <v>Maplink2</v>
      </c>
      <c r="AV901" s="12" t="str">
        <f>HYPERLINK("http://www.bing.com/maps/?lvl=14&amp;sty=h&amp;cp=30.4994~47.8243&amp;sp=point.30.4994_47.8243","Maplink3")</f>
        <v>Maplink3</v>
      </c>
    </row>
    <row r="902" spans="1:48" ht="15" customHeight="1" x14ac:dyDescent="0.25">
      <c r="A902" s="19">
        <v>1275</v>
      </c>
      <c r="B902" s="20" t="s">
        <v>12</v>
      </c>
      <c r="C902" s="20" t="s">
        <v>12</v>
      </c>
      <c r="D902" s="20" t="s">
        <v>1780</v>
      </c>
      <c r="E902" s="20" t="s">
        <v>1781</v>
      </c>
      <c r="F902" s="20">
        <v>30.541561609999999</v>
      </c>
      <c r="G902" s="20">
        <v>47.796539680000002</v>
      </c>
      <c r="H902" s="22">
        <v>11</v>
      </c>
      <c r="I902" s="22">
        <v>66</v>
      </c>
      <c r="J902" s="21"/>
      <c r="K902" s="21">
        <v>1</v>
      </c>
      <c r="L902" s="21"/>
      <c r="M902" s="21"/>
      <c r="N902" s="21"/>
      <c r="O902" s="21">
        <v>1</v>
      </c>
      <c r="P902" s="21"/>
      <c r="Q902" s="21"/>
      <c r="R902" s="21">
        <v>2</v>
      </c>
      <c r="S902" s="21"/>
      <c r="T902" s="21"/>
      <c r="U902" s="21"/>
      <c r="V902" s="21">
        <v>4</v>
      </c>
      <c r="W902" s="21"/>
      <c r="X902" s="21">
        <v>3</v>
      </c>
      <c r="Y902" s="21"/>
      <c r="Z902" s="21"/>
      <c r="AA902" s="21"/>
      <c r="AB902" s="21"/>
      <c r="AC902" s="21">
        <v>5</v>
      </c>
      <c r="AD902" s="21"/>
      <c r="AE902" s="21"/>
      <c r="AF902" s="21"/>
      <c r="AG902" s="21"/>
      <c r="AH902" s="21">
        <v>6</v>
      </c>
      <c r="AI902" s="21"/>
      <c r="AJ902" s="21"/>
      <c r="AK902" s="21"/>
      <c r="AL902" s="21">
        <v>1</v>
      </c>
      <c r="AM902" s="21">
        <v>3</v>
      </c>
      <c r="AN902" s="21">
        <v>1</v>
      </c>
      <c r="AO902" s="21">
        <v>4</v>
      </c>
      <c r="AP902" s="21">
        <v>1</v>
      </c>
      <c r="AQ902" s="21"/>
      <c r="AR902" s="21">
        <v>1</v>
      </c>
      <c r="AS902" s="21"/>
      <c r="AT902" s="12" t="str">
        <f>HYPERLINK("http://www.openstreetmap.org/?mlat=30.5416&amp;mlon=47.7965&amp;zoom=12#map=12/30.5416/47.7965","Maplink1")</f>
        <v>Maplink1</v>
      </c>
      <c r="AU902" s="12" t="str">
        <f>HYPERLINK("https://www.google.iq/maps/search/+30.5416,47.7965/@30.5416,47.7965,14z?hl=en","Maplink2")</f>
        <v>Maplink2</v>
      </c>
      <c r="AV902" s="12" t="str">
        <f>HYPERLINK("http://www.bing.com/maps/?lvl=14&amp;sty=h&amp;cp=30.5416~47.7965&amp;sp=point.30.5416_47.7965","Maplink3")</f>
        <v>Maplink3</v>
      </c>
    </row>
    <row r="903" spans="1:48" ht="15" customHeight="1" x14ac:dyDescent="0.25">
      <c r="A903" s="19">
        <v>986</v>
      </c>
      <c r="B903" s="20" t="s">
        <v>12</v>
      </c>
      <c r="C903" s="20" t="s">
        <v>12</v>
      </c>
      <c r="D903" s="20" t="s">
        <v>1782</v>
      </c>
      <c r="E903" s="20" t="s">
        <v>1783</v>
      </c>
      <c r="F903" s="20">
        <v>30.545307439999998</v>
      </c>
      <c r="G903" s="20">
        <v>47.805118309999997</v>
      </c>
      <c r="H903" s="22">
        <v>11</v>
      </c>
      <c r="I903" s="22">
        <v>66</v>
      </c>
      <c r="J903" s="21"/>
      <c r="K903" s="21">
        <v>2</v>
      </c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>
        <v>5</v>
      </c>
      <c r="W903" s="21"/>
      <c r="X903" s="21">
        <v>4</v>
      </c>
      <c r="Y903" s="21"/>
      <c r="Z903" s="21"/>
      <c r="AA903" s="21"/>
      <c r="AB903" s="21"/>
      <c r="AC903" s="21">
        <v>3</v>
      </c>
      <c r="AD903" s="21"/>
      <c r="AE903" s="21"/>
      <c r="AF903" s="21"/>
      <c r="AG903" s="21"/>
      <c r="AH903" s="21">
        <v>8</v>
      </c>
      <c r="AI903" s="21"/>
      <c r="AJ903" s="21"/>
      <c r="AK903" s="21"/>
      <c r="AL903" s="21">
        <v>1</v>
      </c>
      <c r="AM903" s="21">
        <v>3</v>
      </c>
      <c r="AN903" s="21">
        <v>3</v>
      </c>
      <c r="AO903" s="21">
        <v>4</v>
      </c>
      <c r="AP903" s="21"/>
      <c r="AQ903" s="21"/>
      <c r="AR903" s="21"/>
      <c r="AS903" s="21"/>
      <c r="AT903" s="12" t="str">
        <f>HYPERLINK("http://www.openstreetmap.org/?mlat=30.5453&amp;mlon=47.8051&amp;zoom=12#map=12/30.5453/47.8051","Maplink1")</f>
        <v>Maplink1</v>
      </c>
      <c r="AU903" s="12" t="str">
        <f>HYPERLINK("https://www.google.iq/maps/search/+30.5453,47.8051/@30.5453,47.8051,14z?hl=en","Maplink2")</f>
        <v>Maplink2</v>
      </c>
      <c r="AV903" s="12" t="str">
        <f>HYPERLINK("http://www.bing.com/maps/?lvl=14&amp;sty=h&amp;cp=30.5453~47.8051&amp;sp=point.30.5453_47.8051","Maplink3")</f>
        <v>Maplink3</v>
      </c>
    </row>
    <row r="904" spans="1:48" ht="15" customHeight="1" x14ac:dyDescent="0.25">
      <c r="A904" s="19">
        <v>847</v>
      </c>
      <c r="B904" s="20" t="s">
        <v>12</v>
      </c>
      <c r="C904" s="20" t="s">
        <v>12</v>
      </c>
      <c r="D904" s="20" t="s">
        <v>1784</v>
      </c>
      <c r="E904" s="20" t="s">
        <v>1785</v>
      </c>
      <c r="F904" s="20">
        <v>30.490864340000002</v>
      </c>
      <c r="G904" s="20">
        <v>47.816063309999997</v>
      </c>
      <c r="H904" s="22">
        <v>10</v>
      </c>
      <c r="I904" s="22">
        <v>60</v>
      </c>
      <c r="J904" s="21">
        <v>4</v>
      </c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>
        <v>4</v>
      </c>
      <c r="W904" s="21"/>
      <c r="X904" s="21">
        <v>2</v>
      </c>
      <c r="Y904" s="21"/>
      <c r="Z904" s="21"/>
      <c r="AA904" s="21"/>
      <c r="AB904" s="21"/>
      <c r="AC904" s="21">
        <v>6</v>
      </c>
      <c r="AD904" s="21"/>
      <c r="AE904" s="21"/>
      <c r="AF904" s="21"/>
      <c r="AG904" s="21"/>
      <c r="AH904" s="21">
        <v>4</v>
      </c>
      <c r="AI904" s="21"/>
      <c r="AJ904" s="21"/>
      <c r="AK904" s="21"/>
      <c r="AL904" s="21">
        <v>2</v>
      </c>
      <c r="AM904" s="21">
        <v>1</v>
      </c>
      <c r="AN904" s="21">
        <v>1</v>
      </c>
      <c r="AO904" s="21">
        <v>5</v>
      </c>
      <c r="AP904" s="21">
        <v>1</v>
      </c>
      <c r="AQ904" s="21"/>
      <c r="AR904" s="21"/>
      <c r="AS904" s="21"/>
      <c r="AT904" s="12" t="str">
        <f>HYPERLINK("http://www.openstreetmap.org/?mlat=30.4909&amp;mlon=47.8161&amp;zoom=12#map=12/30.4909/47.8161","Maplink1")</f>
        <v>Maplink1</v>
      </c>
      <c r="AU904" s="12" t="str">
        <f>HYPERLINK("https://www.google.iq/maps/search/+30.4909,47.8161/@30.4909,47.8161,14z?hl=en","Maplink2")</f>
        <v>Maplink2</v>
      </c>
      <c r="AV904" s="12" t="str">
        <f>HYPERLINK("http://www.bing.com/maps/?lvl=14&amp;sty=h&amp;cp=30.4909~47.8161&amp;sp=point.30.4909_47.8161","Maplink3")</f>
        <v>Maplink3</v>
      </c>
    </row>
    <row r="905" spans="1:48" ht="15" customHeight="1" x14ac:dyDescent="0.25">
      <c r="A905" s="19">
        <v>1306</v>
      </c>
      <c r="B905" s="20" t="s">
        <v>12</v>
      </c>
      <c r="C905" s="20" t="s">
        <v>12</v>
      </c>
      <c r="D905" s="20" t="s">
        <v>1786</v>
      </c>
      <c r="E905" s="20" t="s">
        <v>1787</v>
      </c>
      <c r="F905" s="20">
        <v>30.485769860000001</v>
      </c>
      <c r="G905" s="20">
        <v>47.812151980000003</v>
      </c>
      <c r="H905" s="22">
        <v>9</v>
      </c>
      <c r="I905" s="22">
        <v>54</v>
      </c>
      <c r="J905" s="21">
        <v>2</v>
      </c>
      <c r="K905" s="21"/>
      <c r="L905" s="21"/>
      <c r="M905" s="21"/>
      <c r="N905" s="21"/>
      <c r="O905" s="21">
        <v>1</v>
      </c>
      <c r="P905" s="21"/>
      <c r="Q905" s="21"/>
      <c r="R905" s="21"/>
      <c r="S905" s="21"/>
      <c r="T905" s="21"/>
      <c r="U905" s="21"/>
      <c r="V905" s="21">
        <v>4</v>
      </c>
      <c r="W905" s="21"/>
      <c r="X905" s="21">
        <v>2</v>
      </c>
      <c r="Y905" s="21"/>
      <c r="Z905" s="21"/>
      <c r="AA905" s="21"/>
      <c r="AB905" s="21"/>
      <c r="AC905" s="21">
        <v>2</v>
      </c>
      <c r="AD905" s="21"/>
      <c r="AE905" s="21"/>
      <c r="AF905" s="21"/>
      <c r="AG905" s="21"/>
      <c r="AH905" s="21">
        <v>7</v>
      </c>
      <c r="AI905" s="21"/>
      <c r="AJ905" s="21"/>
      <c r="AK905" s="21"/>
      <c r="AL905" s="21">
        <v>1</v>
      </c>
      <c r="AM905" s="21">
        <v>1</v>
      </c>
      <c r="AN905" s="21">
        <v>3</v>
      </c>
      <c r="AO905" s="21">
        <v>1</v>
      </c>
      <c r="AP905" s="21">
        <v>2</v>
      </c>
      <c r="AQ905" s="21"/>
      <c r="AR905" s="21">
        <v>1</v>
      </c>
      <c r="AS905" s="21"/>
      <c r="AT905" s="12" t="str">
        <f>HYPERLINK("http://www.openstreetmap.org/?mlat=30.4858&amp;mlon=47.8122&amp;zoom=12#map=12/30.4858/47.8122","Maplink1")</f>
        <v>Maplink1</v>
      </c>
      <c r="AU905" s="12" t="str">
        <f>HYPERLINK("https://www.google.iq/maps/search/+30.4858,47.8122/@30.4858,47.8122,14z?hl=en","Maplink2")</f>
        <v>Maplink2</v>
      </c>
      <c r="AV905" s="12" t="str">
        <f>HYPERLINK("http://www.bing.com/maps/?lvl=14&amp;sty=h&amp;cp=30.4858~47.8122&amp;sp=point.30.4858_47.8122","Maplink3")</f>
        <v>Maplink3</v>
      </c>
    </row>
    <row r="906" spans="1:48" ht="15" customHeight="1" x14ac:dyDescent="0.25">
      <c r="A906" s="19">
        <v>849</v>
      </c>
      <c r="B906" s="20" t="s">
        <v>12</v>
      </c>
      <c r="C906" s="20" t="s">
        <v>12</v>
      </c>
      <c r="D906" s="20" t="s">
        <v>1788</v>
      </c>
      <c r="E906" s="20" t="s">
        <v>1789</v>
      </c>
      <c r="F906" s="20">
        <v>30.481716580000001</v>
      </c>
      <c r="G906" s="20">
        <v>47.829216619999997</v>
      </c>
      <c r="H906" s="22">
        <v>13</v>
      </c>
      <c r="I906" s="22">
        <v>78</v>
      </c>
      <c r="J906" s="21">
        <v>3</v>
      </c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>
        <v>6</v>
      </c>
      <c r="W906" s="21"/>
      <c r="X906" s="21">
        <v>4</v>
      </c>
      <c r="Y906" s="21"/>
      <c r="Z906" s="21"/>
      <c r="AA906" s="21"/>
      <c r="AB906" s="21"/>
      <c r="AC906" s="21">
        <v>6</v>
      </c>
      <c r="AD906" s="21"/>
      <c r="AE906" s="21"/>
      <c r="AF906" s="21"/>
      <c r="AG906" s="21"/>
      <c r="AH906" s="21">
        <v>7</v>
      </c>
      <c r="AI906" s="21"/>
      <c r="AJ906" s="21"/>
      <c r="AK906" s="21"/>
      <c r="AL906" s="21">
        <v>1</v>
      </c>
      <c r="AM906" s="21">
        <v>1</v>
      </c>
      <c r="AN906" s="21">
        <v>1</v>
      </c>
      <c r="AO906" s="21">
        <v>5</v>
      </c>
      <c r="AP906" s="21"/>
      <c r="AQ906" s="21">
        <v>1</v>
      </c>
      <c r="AR906" s="21">
        <v>4</v>
      </c>
      <c r="AS906" s="21"/>
      <c r="AT906" s="12" t="str">
        <f>HYPERLINK("http://www.openstreetmap.org/?mlat=30.4817&amp;mlon=47.8292&amp;zoom=12#map=12/30.4817/47.8292","Maplink1")</f>
        <v>Maplink1</v>
      </c>
      <c r="AU906" s="12" t="str">
        <f>HYPERLINK("https://www.google.iq/maps/search/+30.4817,47.8292/@30.4817,47.8292,14z?hl=en","Maplink2")</f>
        <v>Maplink2</v>
      </c>
      <c r="AV906" s="12" t="str">
        <f>HYPERLINK("http://www.bing.com/maps/?lvl=14&amp;sty=h&amp;cp=30.4817~47.8292&amp;sp=point.30.4817_47.8292","Maplink3")</f>
        <v>Maplink3</v>
      </c>
    </row>
    <row r="907" spans="1:48" ht="15" customHeight="1" x14ac:dyDescent="0.25">
      <c r="A907" s="19">
        <v>941</v>
      </c>
      <c r="B907" s="20" t="s">
        <v>12</v>
      </c>
      <c r="C907" s="20" t="s">
        <v>12</v>
      </c>
      <c r="D907" s="20" t="s">
        <v>1790</v>
      </c>
      <c r="E907" s="20" t="s">
        <v>1791</v>
      </c>
      <c r="F907" s="20">
        <v>30.528975760000002</v>
      </c>
      <c r="G907" s="20">
        <v>47.82596444</v>
      </c>
      <c r="H907" s="22">
        <v>1</v>
      </c>
      <c r="I907" s="22">
        <v>6</v>
      </c>
      <c r="J907" s="21"/>
      <c r="K907" s="21"/>
      <c r="L907" s="21"/>
      <c r="M907" s="21"/>
      <c r="N907" s="21"/>
      <c r="O907" s="21">
        <v>1</v>
      </c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>
        <v>1</v>
      </c>
      <c r="AI907" s="21"/>
      <c r="AJ907" s="21"/>
      <c r="AK907" s="21"/>
      <c r="AL907" s="21"/>
      <c r="AM907" s="21"/>
      <c r="AN907" s="21">
        <v>1</v>
      </c>
      <c r="AO907" s="21"/>
      <c r="AP907" s="21"/>
      <c r="AQ907" s="21"/>
      <c r="AR907" s="21"/>
      <c r="AS907" s="21"/>
      <c r="AT907" s="12" t="str">
        <f>HYPERLINK("http://www.openstreetmap.org/?mlat=30.529&amp;mlon=47.826&amp;zoom=12#map=12/30.529/47.826","Maplink1")</f>
        <v>Maplink1</v>
      </c>
      <c r="AU907" s="12" t="str">
        <f>HYPERLINK("https://www.google.iq/maps/search/+30.529,47.826/@30.529,47.826,14z?hl=en","Maplink2")</f>
        <v>Maplink2</v>
      </c>
      <c r="AV907" s="12" t="str">
        <f>HYPERLINK("http://www.bing.com/maps/?lvl=14&amp;sty=h&amp;cp=30.529~47.826&amp;sp=point.30.529_47.826","Maplink3")</f>
        <v>Maplink3</v>
      </c>
    </row>
    <row r="908" spans="1:48" ht="15" customHeight="1" x14ac:dyDescent="0.25">
      <c r="A908" s="19">
        <v>24674</v>
      </c>
      <c r="B908" s="20" t="s">
        <v>12</v>
      </c>
      <c r="C908" s="20" t="s">
        <v>12</v>
      </c>
      <c r="D908" s="20" t="s">
        <v>1792</v>
      </c>
      <c r="E908" s="20" t="s">
        <v>1793</v>
      </c>
      <c r="F908" s="20">
        <v>30.529128</v>
      </c>
      <c r="G908" s="20">
        <v>47.832675000000002</v>
      </c>
      <c r="H908" s="22">
        <v>1</v>
      </c>
      <c r="I908" s="22">
        <v>6</v>
      </c>
      <c r="J908" s="21"/>
      <c r="K908" s="21"/>
      <c r="L908" s="21"/>
      <c r="M908" s="21"/>
      <c r="N908" s="21"/>
      <c r="O908" s="21"/>
      <c r="P908" s="21"/>
      <c r="Q908" s="21"/>
      <c r="R908" s="21">
        <v>1</v>
      </c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>
        <v>1</v>
      </c>
      <c r="AF908" s="21"/>
      <c r="AG908" s="21"/>
      <c r="AH908" s="21"/>
      <c r="AI908" s="21"/>
      <c r="AJ908" s="21"/>
      <c r="AK908" s="21"/>
      <c r="AL908" s="21"/>
      <c r="AM908" s="21"/>
      <c r="AN908" s="21"/>
      <c r="AO908" s="21">
        <v>1</v>
      </c>
      <c r="AP908" s="21"/>
      <c r="AQ908" s="21"/>
      <c r="AR908" s="21"/>
      <c r="AS908" s="21"/>
      <c r="AT908" s="12" t="str">
        <f>HYPERLINK("http://www.openstreetmap.org/?mlat=30.5291&amp;mlon=47.8327&amp;zoom=12#map=12/30.5291/47.8327","Maplink1")</f>
        <v>Maplink1</v>
      </c>
      <c r="AU908" s="12" t="str">
        <f>HYPERLINK("https://www.google.iq/maps/search/+30.5291,47.8327/@30.5291,47.8327,14z?hl=en","Maplink2")</f>
        <v>Maplink2</v>
      </c>
      <c r="AV908" s="12" t="str">
        <f>HYPERLINK("http://www.bing.com/maps/?lvl=14&amp;sty=h&amp;cp=30.5291~47.8327&amp;sp=point.30.5291_47.8327","Maplink3")</f>
        <v>Maplink3</v>
      </c>
    </row>
    <row r="909" spans="1:48" ht="15" customHeight="1" x14ac:dyDescent="0.25">
      <c r="A909" s="19">
        <v>1313</v>
      </c>
      <c r="B909" s="20" t="s">
        <v>12</v>
      </c>
      <c r="C909" s="20" t="s">
        <v>12</v>
      </c>
      <c r="D909" s="20" t="s">
        <v>1794</v>
      </c>
      <c r="E909" s="20" t="s">
        <v>1795</v>
      </c>
      <c r="F909" s="20">
        <v>30.506106750000001</v>
      </c>
      <c r="G909" s="20">
        <v>47.815313549999999</v>
      </c>
      <c r="H909" s="22">
        <v>3</v>
      </c>
      <c r="I909" s="22">
        <v>18</v>
      </c>
      <c r="J909" s="21">
        <v>2</v>
      </c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>
        <v>1</v>
      </c>
      <c r="Y909" s="21"/>
      <c r="Z909" s="21"/>
      <c r="AA909" s="21"/>
      <c r="AB909" s="21"/>
      <c r="AC909" s="21"/>
      <c r="AD909" s="21"/>
      <c r="AE909" s="21"/>
      <c r="AF909" s="21"/>
      <c r="AG909" s="21"/>
      <c r="AH909" s="21">
        <v>3</v>
      </c>
      <c r="AI909" s="21"/>
      <c r="AJ909" s="21"/>
      <c r="AK909" s="21"/>
      <c r="AL909" s="21">
        <v>1</v>
      </c>
      <c r="AM909" s="21">
        <v>2</v>
      </c>
      <c r="AN909" s="21"/>
      <c r="AO909" s="21"/>
      <c r="AP909" s="21"/>
      <c r="AQ909" s="21"/>
      <c r="AR909" s="21"/>
      <c r="AS909" s="21"/>
      <c r="AT909" s="12" t="str">
        <f>HYPERLINK("http://www.openstreetmap.org/?mlat=30.5061&amp;mlon=47.8153&amp;zoom=12#map=12/30.5061/47.8153","Maplink1")</f>
        <v>Maplink1</v>
      </c>
      <c r="AU909" s="12" t="str">
        <f>HYPERLINK("https://www.google.iq/maps/search/+30.5061,47.8153/@30.5061,47.8153,14z?hl=en","Maplink2")</f>
        <v>Maplink2</v>
      </c>
      <c r="AV909" s="12" t="str">
        <f>HYPERLINK("http://www.bing.com/maps/?lvl=14&amp;sty=h&amp;cp=30.5061~47.8153&amp;sp=point.30.5061_47.8153","Maplink3")</f>
        <v>Maplink3</v>
      </c>
    </row>
    <row r="910" spans="1:48" ht="15" customHeight="1" x14ac:dyDescent="0.25">
      <c r="A910" s="19">
        <v>28457</v>
      </c>
      <c r="B910" s="20" t="s">
        <v>12</v>
      </c>
      <c r="C910" s="20" t="s">
        <v>12</v>
      </c>
      <c r="D910" s="20" t="s">
        <v>1796</v>
      </c>
      <c r="E910" s="20" t="s">
        <v>1797</v>
      </c>
      <c r="F910" s="20">
        <v>30.5028826</v>
      </c>
      <c r="G910" s="20">
        <v>47.815051949999997</v>
      </c>
      <c r="H910" s="22">
        <v>1</v>
      </c>
      <c r="I910" s="22">
        <v>6</v>
      </c>
      <c r="J910" s="21"/>
      <c r="K910" s="21"/>
      <c r="L910" s="21"/>
      <c r="M910" s="21"/>
      <c r="N910" s="21"/>
      <c r="O910" s="21"/>
      <c r="P910" s="21"/>
      <c r="Q910" s="21"/>
      <c r="R910" s="21">
        <v>1</v>
      </c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>
        <v>1</v>
      </c>
      <c r="AI910" s="21"/>
      <c r="AJ910" s="21"/>
      <c r="AK910" s="21"/>
      <c r="AL910" s="21"/>
      <c r="AM910" s="21"/>
      <c r="AN910" s="21"/>
      <c r="AO910" s="21">
        <v>1</v>
      </c>
      <c r="AP910" s="21"/>
      <c r="AQ910" s="21"/>
      <c r="AR910" s="21"/>
      <c r="AS910" s="21"/>
      <c r="AT910" s="12" t="str">
        <f>HYPERLINK("http://www.openstreetmap.org/?mlat=30.5029&amp;mlon=47.8151&amp;zoom=12#map=12/30.5029/47.8151","Maplink1")</f>
        <v>Maplink1</v>
      </c>
      <c r="AU910" s="12" t="str">
        <f>HYPERLINK("https://www.google.iq/maps/search/+30.5029,47.8151/@30.5029,47.8151,14z?hl=en","Maplink2")</f>
        <v>Maplink2</v>
      </c>
      <c r="AV910" s="12" t="str">
        <f>HYPERLINK("http://www.bing.com/maps/?lvl=14&amp;sty=h&amp;cp=30.5029~47.8151&amp;sp=point.30.5029_47.8151","Maplink3")</f>
        <v>Maplink3</v>
      </c>
    </row>
    <row r="911" spans="1:48" ht="15" customHeight="1" x14ac:dyDescent="0.25">
      <c r="A911" s="19">
        <v>896</v>
      </c>
      <c r="B911" s="20" t="s">
        <v>12</v>
      </c>
      <c r="C911" s="20" t="s">
        <v>12</v>
      </c>
      <c r="D911" s="20" t="s">
        <v>1798</v>
      </c>
      <c r="E911" s="20" t="s">
        <v>1799</v>
      </c>
      <c r="F911" s="20">
        <v>30.503118010000001</v>
      </c>
      <c r="G911" s="20">
        <v>47.819643560000003</v>
      </c>
      <c r="H911" s="22">
        <v>4</v>
      </c>
      <c r="I911" s="22">
        <v>24</v>
      </c>
      <c r="J911" s="21">
        <v>1</v>
      </c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>
        <v>3</v>
      </c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>
        <v>4</v>
      </c>
      <c r="AI911" s="21"/>
      <c r="AJ911" s="21"/>
      <c r="AK911" s="21"/>
      <c r="AL911" s="21">
        <v>1</v>
      </c>
      <c r="AM911" s="21"/>
      <c r="AN911" s="21">
        <v>1</v>
      </c>
      <c r="AO911" s="21"/>
      <c r="AP911" s="21">
        <v>1</v>
      </c>
      <c r="AQ911" s="21"/>
      <c r="AR911" s="21">
        <v>1</v>
      </c>
      <c r="AS911" s="21"/>
      <c r="AT911" s="12" t="str">
        <f>HYPERLINK("http://www.openstreetmap.org/?mlat=30.5031&amp;mlon=47.8196&amp;zoom=12#map=12/30.5031/47.8196","Maplink1")</f>
        <v>Maplink1</v>
      </c>
      <c r="AU911" s="12" t="str">
        <f>HYPERLINK("https://www.google.iq/maps/search/+30.5031,47.8196/@30.5031,47.8196,14z?hl=en","Maplink2")</f>
        <v>Maplink2</v>
      </c>
      <c r="AV911" s="12" t="str">
        <f>HYPERLINK("http://www.bing.com/maps/?lvl=14&amp;sty=h&amp;cp=30.5031~47.8196&amp;sp=point.30.5031_47.8196","Maplink3")</f>
        <v>Maplink3</v>
      </c>
    </row>
    <row r="912" spans="1:48" ht="15" customHeight="1" x14ac:dyDescent="0.25">
      <c r="A912" s="19">
        <v>24128</v>
      </c>
      <c r="B912" s="20" t="s">
        <v>12</v>
      </c>
      <c r="C912" s="20" t="s">
        <v>12</v>
      </c>
      <c r="D912" s="20" t="s">
        <v>1800</v>
      </c>
      <c r="E912" s="20" t="s">
        <v>1801</v>
      </c>
      <c r="F912" s="20">
        <v>30.544230071800001</v>
      </c>
      <c r="G912" s="20">
        <v>47.779454514400001</v>
      </c>
      <c r="H912" s="22">
        <v>4</v>
      </c>
      <c r="I912" s="22">
        <v>24</v>
      </c>
      <c r="J912" s="21">
        <v>3</v>
      </c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>
        <v>1</v>
      </c>
      <c r="W912" s="21"/>
      <c r="X912" s="21"/>
      <c r="Y912" s="21"/>
      <c r="Z912" s="21"/>
      <c r="AA912" s="21"/>
      <c r="AB912" s="21"/>
      <c r="AC912" s="21">
        <v>1</v>
      </c>
      <c r="AD912" s="21"/>
      <c r="AE912" s="21"/>
      <c r="AF912" s="21"/>
      <c r="AG912" s="21"/>
      <c r="AH912" s="21">
        <v>3</v>
      </c>
      <c r="AI912" s="21"/>
      <c r="AJ912" s="21"/>
      <c r="AK912" s="21"/>
      <c r="AL912" s="21">
        <v>2</v>
      </c>
      <c r="AM912" s="21"/>
      <c r="AN912" s="21"/>
      <c r="AO912" s="21">
        <v>2</v>
      </c>
      <c r="AP912" s="21"/>
      <c r="AQ912" s="21"/>
      <c r="AR912" s="21"/>
      <c r="AS912" s="21"/>
      <c r="AT912" s="12" t="str">
        <f>HYPERLINK("http://www.openstreetmap.org/?mlat=30.5442&amp;mlon=47.7795&amp;zoom=12#map=12/30.5442/47.7795","Maplink1")</f>
        <v>Maplink1</v>
      </c>
      <c r="AU912" s="12" t="str">
        <f>HYPERLINK("https://www.google.iq/maps/search/+30.5442,47.7795/@30.5442,47.7795,14z?hl=en","Maplink2")</f>
        <v>Maplink2</v>
      </c>
      <c r="AV912" s="12" t="str">
        <f>HYPERLINK("http://www.bing.com/maps/?lvl=14&amp;sty=h&amp;cp=30.5442~47.7795&amp;sp=point.30.5442_47.7795","Maplink3")</f>
        <v>Maplink3</v>
      </c>
    </row>
    <row r="913" spans="1:48" ht="15" customHeight="1" x14ac:dyDescent="0.25">
      <c r="A913" s="19">
        <v>918</v>
      </c>
      <c r="B913" s="20" t="s">
        <v>12</v>
      </c>
      <c r="C913" s="20" t="s">
        <v>12</v>
      </c>
      <c r="D913" s="20" t="s">
        <v>1802</v>
      </c>
      <c r="E913" s="20" t="s">
        <v>1803</v>
      </c>
      <c r="F913" s="20">
        <v>30.511824879999999</v>
      </c>
      <c r="G913" s="20">
        <v>47.827639230000003</v>
      </c>
      <c r="H913" s="22">
        <v>2</v>
      </c>
      <c r="I913" s="22">
        <v>12</v>
      </c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>
        <v>2</v>
      </c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>
        <v>2</v>
      </c>
      <c r="AI913" s="21"/>
      <c r="AJ913" s="21"/>
      <c r="AK913" s="21"/>
      <c r="AL913" s="21"/>
      <c r="AM913" s="21"/>
      <c r="AN913" s="21">
        <v>2</v>
      </c>
      <c r="AO913" s="21"/>
      <c r="AP913" s="21"/>
      <c r="AQ913" s="21"/>
      <c r="AR913" s="21"/>
      <c r="AS913" s="21"/>
      <c r="AT913" s="12" t="str">
        <f>HYPERLINK("http://www.openstreetmap.org/?mlat=30.5118&amp;mlon=47.8276&amp;zoom=12#map=12/30.5118/47.8276","Maplink1")</f>
        <v>Maplink1</v>
      </c>
      <c r="AU913" s="12" t="str">
        <f>HYPERLINK("https://www.google.iq/maps/search/+30.5118,47.8276/@30.5118,47.8276,14z?hl=en","Maplink2")</f>
        <v>Maplink2</v>
      </c>
      <c r="AV913" s="12" t="str">
        <f>HYPERLINK("http://www.bing.com/maps/?lvl=14&amp;sty=h&amp;cp=30.5118~47.8276&amp;sp=point.30.5118_47.8276","Maplink3")</f>
        <v>Maplink3</v>
      </c>
    </row>
    <row r="914" spans="1:48" ht="15" customHeight="1" x14ac:dyDescent="0.25">
      <c r="A914" s="19">
        <v>857</v>
      </c>
      <c r="B914" s="20" t="s">
        <v>12</v>
      </c>
      <c r="C914" s="20" t="s">
        <v>12</v>
      </c>
      <c r="D914" s="20" t="s">
        <v>1804</v>
      </c>
      <c r="E914" s="20" t="s">
        <v>1805</v>
      </c>
      <c r="F914" s="20">
        <v>30.496013510000001</v>
      </c>
      <c r="G914" s="20">
        <v>47.816435220000002</v>
      </c>
      <c r="H914" s="22">
        <v>6</v>
      </c>
      <c r="I914" s="22">
        <v>36</v>
      </c>
      <c r="J914" s="21">
        <v>3</v>
      </c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>
        <v>3</v>
      </c>
      <c r="Y914" s="21"/>
      <c r="Z914" s="21"/>
      <c r="AA914" s="21"/>
      <c r="AB914" s="21"/>
      <c r="AC914" s="21">
        <v>6</v>
      </c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>
        <v>3</v>
      </c>
      <c r="AO914" s="21">
        <v>3</v>
      </c>
      <c r="AP914" s="21"/>
      <c r="AQ914" s="21"/>
      <c r="AR914" s="21"/>
      <c r="AS914" s="21"/>
      <c r="AT914" s="12" t="str">
        <f>HYPERLINK("http://www.openstreetmap.org/?mlat=30.496&amp;mlon=47.8164&amp;zoom=12#map=12/30.496/47.8164","Maplink1")</f>
        <v>Maplink1</v>
      </c>
      <c r="AU914" s="12" t="str">
        <f>HYPERLINK("https://www.google.iq/maps/search/+30.496,47.8164/@30.496,47.8164,14z?hl=en","Maplink2")</f>
        <v>Maplink2</v>
      </c>
      <c r="AV914" s="12" t="str">
        <f>HYPERLINK("http://www.bing.com/maps/?lvl=14&amp;sty=h&amp;cp=30.496~47.8164&amp;sp=point.30.496_47.8164","Maplink3")</f>
        <v>Maplink3</v>
      </c>
    </row>
    <row r="915" spans="1:48" ht="15" customHeight="1" x14ac:dyDescent="0.25">
      <c r="A915" s="19">
        <v>903</v>
      </c>
      <c r="B915" s="20" t="s">
        <v>12</v>
      </c>
      <c r="C915" s="20" t="s">
        <v>12</v>
      </c>
      <c r="D915" s="20" t="s">
        <v>1806</v>
      </c>
      <c r="E915" s="20" t="s">
        <v>1807</v>
      </c>
      <c r="F915" s="20">
        <v>30.507539250000001</v>
      </c>
      <c r="G915" s="20">
        <v>47.822103900000002</v>
      </c>
      <c r="H915" s="22">
        <v>3</v>
      </c>
      <c r="I915" s="22">
        <v>18</v>
      </c>
      <c r="J915" s="21">
        <v>1</v>
      </c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>
        <v>1</v>
      </c>
      <c r="W915" s="21"/>
      <c r="X915" s="21">
        <v>1</v>
      </c>
      <c r="Y915" s="21"/>
      <c r="Z915" s="21"/>
      <c r="AA915" s="21"/>
      <c r="AB915" s="21"/>
      <c r="AC915" s="21">
        <v>3</v>
      </c>
      <c r="AD915" s="21"/>
      <c r="AE915" s="21"/>
      <c r="AF915" s="21"/>
      <c r="AG915" s="21"/>
      <c r="AH915" s="21"/>
      <c r="AI915" s="21"/>
      <c r="AJ915" s="21"/>
      <c r="AK915" s="21"/>
      <c r="AL915" s="21"/>
      <c r="AM915" s="21">
        <v>1</v>
      </c>
      <c r="AN915" s="21"/>
      <c r="AO915" s="21">
        <v>2</v>
      </c>
      <c r="AP915" s="21"/>
      <c r="AQ915" s="21"/>
      <c r="AR915" s="21"/>
      <c r="AS915" s="21"/>
      <c r="AT915" s="12" t="str">
        <f>HYPERLINK("http://www.openstreetmap.org/?mlat=30.5075&amp;mlon=47.8221&amp;zoom=12#map=12/30.5075/47.8221","Maplink1")</f>
        <v>Maplink1</v>
      </c>
      <c r="AU915" s="12" t="str">
        <f>HYPERLINK("https://www.google.iq/maps/search/+30.5075,47.8221/@30.5075,47.8221,14z?hl=en","Maplink2")</f>
        <v>Maplink2</v>
      </c>
      <c r="AV915" s="12" t="str">
        <f>HYPERLINK("http://www.bing.com/maps/?lvl=14&amp;sty=h&amp;cp=30.5075~47.8221&amp;sp=point.30.5075_47.8221","Maplink3")</f>
        <v>Maplink3</v>
      </c>
    </row>
    <row r="916" spans="1:48" ht="15" customHeight="1" x14ac:dyDescent="0.25">
      <c r="A916" s="19">
        <v>24624</v>
      </c>
      <c r="B916" s="20" t="s">
        <v>12</v>
      </c>
      <c r="C916" s="20" t="s">
        <v>12</v>
      </c>
      <c r="D916" s="20" t="s">
        <v>1808</v>
      </c>
      <c r="E916" s="20" t="s">
        <v>1809</v>
      </c>
      <c r="F916" s="20">
        <v>30.494083320000001</v>
      </c>
      <c r="G916" s="20">
        <v>47.813297200000001</v>
      </c>
      <c r="H916" s="22">
        <v>7</v>
      </c>
      <c r="I916" s="22">
        <v>42</v>
      </c>
      <c r="J916" s="21">
        <v>1</v>
      </c>
      <c r="K916" s="21"/>
      <c r="L916" s="21"/>
      <c r="M916" s="21"/>
      <c r="N916" s="21"/>
      <c r="O916" s="21">
        <v>2</v>
      </c>
      <c r="P916" s="21"/>
      <c r="Q916" s="21"/>
      <c r="R916" s="21">
        <v>1</v>
      </c>
      <c r="S916" s="21"/>
      <c r="T916" s="21"/>
      <c r="U916" s="21"/>
      <c r="V916" s="21">
        <v>2</v>
      </c>
      <c r="W916" s="21"/>
      <c r="X916" s="21">
        <v>1</v>
      </c>
      <c r="Y916" s="21"/>
      <c r="Z916" s="21"/>
      <c r="AA916" s="21"/>
      <c r="AB916" s="21"/>
      <c r="AC916" s="21">
        <v>3</v>
      </c>
      <c r="AD916" s="21"/>
      <c r="AE916" s="21"/>
      <c r="AF916" s="21"/>
      <c r="AG916" s="21"/>
      <c r="AH916" s="21">
        <v>4</v>
      </c>
      <c r="AI916" s="21"/>
      <c r="AJ916" s="21"/>
      <c r="AK916" s="21"/>
      <c r="AL916" s="21">
        <v>2</v>
      </c>
      <c r="AM916" s="21">
        <v>1</v>
      </c>
      <c r="AN916" s="21">
        <v>2</v>
      </c>
      <c r="AO916" s="21">
        <v>1</v>
      </c>
      <c r="AP916" s="21">
        <v>1</v>
      </c>
      <c r="AQ916" s="21"/>
      <c r="AR916" s="21"/>
      <c r="AS916" s="21"/>
      <c r="AT916" s="12" t="str">
        <f>HYPERLINK("http://www.openstreetmap.org/?mlat=30.4941&amp;mlon=47.8133&amp;zoom=12#map=12/30.4941/47.8133","Maplink1")</f>
        <v>Maplink1</v>
      </c>
      <c r="AU916" s="12" t="str">
        <f>HYPERLINK("https://www.google.iq/maps/search/+30.4941,47.8133/@30.4941,47.8133,14z?hl=en","Maplink2")</f>
        <v>Maplink2</v>
      </c>
      <c r="AV916" s="12" t="str">
        <f>HYPERLINK("http://www.bing.com/maps/?lvl=14&amp;sty=h&amp;cp=30.4941~47.8133&amp;sp=point.30.4941_47.8133","Maplink3")</f>
        <v>Maplink3</v>
      </c>
    </row>
    <row r="917" spans="1:48" ht="15" customHeight="1" x14ac:dyDescent="0.25">
      <c r="A917" s="19">
        <v>907</v>
      </c>
      <c r="B917" s="20" t="s">
        <v>12</v>
      </c>
      <c r="C917" s="20" t="s">
        <v>12</v>
      </c>
      <c r="D917" s="20" t="s">
        <v>1810</v>
      </c>
      <c r="E917" s="20" t="s">
        <v>1811</v>
      </c>
      <c r="F917" s="20">
        <v>30.514400299999998</v>
      </c>
      <c r="G917" s="20">
        <v>47.838968289999997</v>
      </c>
      <c r="H917" s="22">
        <v>10</v>
      </c>
      <c r="I917" s="22">
        <v>60</v>
      </c>
      <c r="J917" s="21">
        <v>3</v>
      </c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>
        <v>6</v>
      </c>
      <c r="W917" s="21"/>
      <c r="X917" s="21">
        <v>1</v>
      </c>
      <c r="Y917" s="21"/>
      <c r="Z917" s="21"/>
      <c r="AA917" s="21"/>
      <c r="AB917" s="21"/>
      <c r="AC917" s="21">
        <v>3</v>
      </c>
      <c r="AD917" s="21"/>
      <c r="AE917" s="21"/>
      <c r="AF917" s="21"/>
      <c r="AG917" s="21"/>
      <c r="AH917" s="21">
        <v>7</v>
      </c>
      <c r="AI917" s="21"/>
      <c r="AJ917" s="21"/>
      <c r="AK917" s="21"/>
      <c r="AL917" s="21"/>
      <c r="AM917" s="21"/>
      <c r="AN917" s="21">
        <v>10</v>
      </c>
      <c r="AO917" s="21"/>
      <c r="AP917" s="21"/>
      <c r="AQ917" s="21"/>
      <c r="AR917" s="21"/>
      <c r="AS917" s="21"/>
      <c r="AT917" s="12" t="str">
        <f>HYPERLINK("http://www.openstreetmap.org/?mlat=30.5144&amp;mlon=47.839&amp;zoom=12#map=12/30.5144/47.839","Maplink1")</f>
        <v>Maplink1</v>
      </c>
      <c r="AU917" s="12" t="str">
        <f>HYPERLINK("https://www.google.iq/maps/search/+30.5144,47.839/@30.5144,47.839,14z?hl=en","Maplink2")</f>
        <v>Maplink2</v>
      </c>
      <c r="AV917" s="12" t="str">
        <f>HYPERLINK("http://www.bing.com/maps/?lvl=14&amp;sty=h&amp;cp=30.5144~47.839&amp;sp=point.30.5144_47.839","Maplink3")</f>
        <v>Maplink3</v>
      </c>
    </row>
    <row r="918" spans="1:48" ht="15" customHeight="1" x14ac:dyDescent="0.25">
      <c r="A918" s="19">
        <v>24182</v>
      </c>
      <c r="B918" s="20" t="s">
        <v>12</v>
      </c>
      <c r="C918" s="20" t="s">
        <v>12</v>
      </c>
      <c r="D918" s="20" t="s">
        <v>1812</v>
      </c>
      <c r="E918" s="20" t="s">
        <v>1813</v>
      </c>
      <c r="F918" s="20">
        <v>30.509452209999999</v>
      </c>
      <c r="G918" s="20">
        <v>47.80900604</v>
      </c>
      <c r="H918" s="22">
        <v>20</v>
      </c>
      <c r="I918" s="22">
        <v>120</v>
      </c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>
        <v>20</v>
      </c>
      <c r="W918" s="21"/>
      <c r="X918" s="21"/>
      <c r="Y918" s="21"/>
      <c r="Z918" s="21"/>
      <c r="AA918" s="21"/>
      <c r="AB918" s="21"/>
      <c r="AC918" s="21"/>
      <c r="AD918" s="21"/>
      <c r="AE918" s="21">
        <v>20</v>
      </c>
      <c r="AF918" s="21"/>
      <c r="AG918" s="21"/>
      <c r="AH918" s="21"/>
      <c r="AI918" s="21"/>
      <c r="AJ918" s="21"/>
      <c r="AK918" s="21"/>
      <c r="AL918" s="21"/>
      <c r="AM918" s="21">
        <v>7</v>
      </c>
      <c r="AN918" s="21">
        <v>9</v>
      </c>
      <c r="AO918" s="21">
        <v>4</v>
      </c>
      <c r="AP918" s="21"/>
      <c r="AQ918" s="21"/>
      <c r="AR918" s="21"/>
      <c r="AS918" s="21"/>
      <c r="AT918" s="12" t="str">
        <f>HYPERLINK("http://www.openstreetmap.org/?mlat=30.5095&amp;mlon=47.809&amp;zoom=12#map=12/30.5095/47.809","Maplink1")</f>
        <v>Maplink1</v>
      </c>
      <c r="AU918" s="12" t="str">
        <f>HYPERLINK("https://www.google.iq/maps/search/+30.5095,47.809/@30.5095,47.809,14z?hl=en","Maplink2")</f>
        <v>Maplink2</v>
      </c>
      <c r="AV918" s="12" t="str">
        <f>HYPERLINK("http://www.bing.com/maps/?lvl=14&amp;sty=h&amp;cp=30.5095~47.809&amp;sp=point.30.5095_47.809","Maplink3")</f>
        <v>Maplink3</v>
      </c>
    </row>
    <row r="919" spans="1:48" ht="15" customHeight="1" x14ac:dyDescent="0.25">
      <c r="A919" s="19">
        <v>24798</v>
      </c>
      <c r="B919" s="20" t="s">
        <v>12</v>
      </c>
      <c r="C919" s="20" t="s">
        <v>12</v>
      </c>
      <c r="D919" s="20" t="s">
        <v>1814</v>
      </c>
      <c r="E919" s="20" t="s">
        <v>1815</v>
      </c>
      <c r="F919" s="20">
        <v>30.548425380000001</v>
      </c>
      <c r="G919" s="20">
        <v>47.758755659999998</v>
      </c>
      <c r="H919" s="22">
        <v>5</v>
      </c>
      <c r="I919" s="22">
        <v>30</v>
      </c>
      <c r="J919" s="21">
        <v>1</v>
      </c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>
        <v>1</v>
      </c>
      <c r="W919" s="21"/>
      <c r="X919" s="21">
        <v>3</v>
      </c>
      <c r="Y919" s="21"/>
      <c r="Z919" s="21"/>
      <c r="AA919" s="21"/>
      <c r="AB919" s="21"/>
      <c r="AC919" s="21"/>
      <c r="AD919" s="21"/>
      <c r="AE919" s="21">
        <v>5</v>
      </c>
      <c r="AF919" s="21"/>
      <c r="AG919" s="21"/>
      <c r="AH919" s="21"/>
      <c r="AI919" s="21"/>
      <c r="AJ919" s="21"/>
      <c r="AK919" s="21"/>
      <c r="AL919" s="21"/>
      <c r="AM919" s="21">
        <v>2</v>
      </c>
      <c r="AN919" s="21">
        <v>1</v>
      </c>
      <c r="AO919" s="21"/>
      <c r="AP919" s="21">
        <v>2</v>
      </c>
      <c r="AQ919" s="21"/>
      <c r="AR919" s="21"/>
      <c r="AS919" s="21"/>
      <c r="AT919" s="12" t="str">
        <f>HYPERLINK("http://www.openstreetmap.org/?mlat=30.5484&amp;mlon=47.7588&amp;zoom=12#map=12/30.5484/47.7588","Maplink1")</f>
        <v>Maplink1</v>
      </c>
      <c r="AU919" s="12" t="str">
        <f>HYPERLINK("https://www.google.iq/maps/search/+30.5484,47.7588/@30.5484,47.7588,14z?hl=en","Maplink2")</f>
        <v>Maplink2</v>
      </c>
      <c r="AV919" s="12" t="str">
        <f>HYPERLINK("http://www.bing.com/maps/?lvl=14&amp;sty=h&amp;cp=30.5484~47.7588&amp;sp=point.30.5484_47.7588","Maplink3")</f>
        <v>Maplink3</v>
      </c>
    </row>
    <row r="920" spans="1:48" ht="15" customHeight="1" x14ac:dyDescent="0.25">
      <c r="A920" s="19">
        <v>1295</v>
      </c>
      <c r="B920" s="20" t="s">
        <v>12</v>
      </c>
      <c r="C920" s="20" t="s">
        <v>12</v>
      </c>
      <c r="D920" s="20" t="s">
        <v>1646</v>
      </c>
      <c r="E920" s="20" t="s">
        <v>1647</v>
      </c>
      <c r="F920" s="20">
        <v>30.53366016</v>
      </c>
      <c r="G920" s="20">
        <v>47.787925520000002</v>
      </c>
      <c r="H920" s="22">
        <v>12</v>
      </c>
      <c r="I920" s="22">
        <v>72</v>
      </c>
      <c r="J920" s="21">
        <v>3</v>
      </c>
      <c r="K920" s="21"/>
      <c r="L920" s="21"/>
      <c r="M920" s="21"/>
      <c r="N920" s="21"/>
      <c r="O920" s="21"/>
      <c r="P920" s="21"/>
      <c r="Q920" s="21"/>
      <c r="R920" s="21">
        <v>1</v>
      </c>
      <c r="S920" s="21"/>
      <c r="T920" s="21"/>
      <c r="U920" s="21"/>
      <c r="V920" s="21"/>
      <c r="W920" s="21"/>
      <c r="X920" s="21">
        <v>8</v>
      </c>
      <c r="Y920" s="21"/>
      <c r="Z920" s="21"/>
      <c r="AA920" s="21"/>
      <c r="AB920" s="21"/>
      <c r="AC920" s="21">
        <v>2</v>
      </c>
      <c r="AD920" s="21"/>
      <c r="AE920" s="21"/>
      <c r="AF920" s="21"/>
      <c r="AG920" s="21"/>
      <c r="AH920" s="21">
        <v>10</v>
      </c>
      <c r="AI920" s="21"/>
      <c r="AJ920" s="21"/>
      <c r="AK920" s="21"/>
      <c r="AL920" s="21"/>
      <c r="AM920" s="21"/>
      <c r="AN920" s="21"/>
      <c r="AO920" s="21">
        <v>9</v>
      </c>
      <c r="AP920" s="21">
        <v>2</v>
      </c>
      <c r="AQ920" s="21"/>
      <c r="AR920" s="21">
        <v>1</v>
      </c>
      <c r="AS920" s="21"/>
      <c r="AT920" s="12" t="str">
        <f>HYPERLINK("http://www.openstreetmap.org/?mlat=30.5337&amp;mlon=47.7879&amp;zoom=12#map=12/30.5337/47.7879","Maplink1")</f>
        <v>Maplink1</v>
      </c>
      <c r="AU920" s="12" t="str">
        <f>HYPERLINK("https://www.google.iq/maps/search/+30.5337,47.7879/@30.5337,47.7879,14z?hl=en","Maplink2")</f>
        <v>Maplink2</v>
      </c>
      <c r="AV920" s="12" t="str">
        <f>HYPERLINK("http://www.bing.com/maps/?lvl=14&amp;sty=h&amp;cp=30.5337~47.7879&amp;sp=point.30.5337_47.7879","Maplink3")</f>
        <v>Maplink3</v>
      </c>
    </row>
    <row r="921" spans="1:48" ht="15" customHeight="1" x14ac:dyDescent="0.25">
      <c r="A921" s="19">
        <v>983</v>
      </c>
      <c r="B921" s="20" t="s">
        <v>12</v>
      </c>
      <c r="C921" s="20" t="s">
        <v>12</v>
      </c>
      <c r="D921" s="20" t="s">
        <v>1816</v>
      </c>
      <c r="E921" s="20" t="s">
        <v>1817</v>
      </c>
      <c r="F921" s="20">
        <v>30.547744940000001</v>
      </c>
      <c r="G921" s="20">
        <v>47.791444319999997</v>
      </c>
      <c r="H921" s="22">
        <v>5</v>
      </c>
      <c r="I921" s="22">
        <v>30</v>
      </c>
      <c r="J921" s="21"/>
      <c r="K921" s="21"/>
      <c r="L921" s="21"/>
      <c r="M921" s="21"/>
      <c r="N921" s="21"/>
      <c r="O921" s="21"/>
      <c r="P921" s="21"/>
      <c r="Q921" s="21"/>
      <c r="R921" s="21">
        <v>1</v>
      </c>
      <c r="S921" s="21"/>
      <c r="T921" s="21"/>
      <c r="U921" s="21"/>
      <c r="V921" s="21">
        <v>1</v>
      </c>
      <c r="W921" s="21"/>
      <c r="X921" s="21">
        <v>3</v>
      </c>
      <c r="Y921" s="21"/>
      <c r="Z921" s="21"/>
      <c r="AA921" s="21"/>
      <c r="AB921" s="21"/>
      <c r="AC921" s="21"/>
      <c r="AD921" s="21"/>
      <c r="AE921" s="21"/>
      <c r="AF921" s="21"/>
      <c r="AG921" s="21"/>
      <c r="AH921" s="21">
        <v>5</v>
      </c>
      <c r="AI921" s="21"/>
      <c r="AJ921" s="21"/>
      <c r="AK921" s="21"/>
      <c r="AL921" s="21"/>
      <c r="AM921" s="21"/>
      <c r="AN921" s="21">
        <v>1</v>
      </c>
      <c r="AO921" s="21">
        <v>4</v>
      </c>
      <c r="AP921" s="21"/>
      <c r="AQ921" s="21"/>
      <c r="AR921" s="21"/>
      <c r="AS921" s="21"/>
      <c r="AT921" s="12" t="str">
        <f>HYPERLINK("http://www.openstreetmap.org/?mlat=30.5477&amp;mlon=47.7914&amp;zoom=12#map=12/30.5477/47.7914","Maplink1")</f>
        <v>Maplink1</v>
      </c>
      <c r="AU921" s="12" t="str">
        <f>HYPERLINK("https://www.google.iq/maps/search/+30.5477,47.7914/@30.5477,47.7914,14z?hl=en","Maplink2")</f>
        <v>Maplink2</v>
      </c>
      <c r="AV921" s="12" t="str">
        <f>HYPERLINK("http://www.bing.com/maps/?lvl=14&amp;sty=h&amp;cp=30.5477~47.7914&amp;sp=point.30.5477_47.7914","Maplink3")</f>
        <v>Maplink3</v>
      </c>
    </row>
    <row r="922" spans="1:48" ht="15" customHeight="1" x14ac:dyDescent="0.25">
      <c r="A922" s="19">
        <v>910</v>
      </c>
      <c r="B922" s="20" t="s">
        <v>12</v>
      </c>
      <c r="C922" s="20" t="s">
        <v>12</v>
      </c>
      <c r="D922" s="20" t="s">
        <v>1818</v>
      </c>
      <c r="E922" s="20" t="s">
        <v>1819</v>
      </c>
      <c r="F922" s="20">
        <v>30.513269000000001</v>
      </c>
      <c r="G922" s="20">
        <v>47.806272</v>
      </c>
      <c r="H922" s="22">
        <v>2</v>
      </c>
      <c r="I922" s="22">
        <v>12</v>
      </c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>
        <v>2</v>
      </c>
      <c r="W922" s="21"/>
      <c r="X922" s="21"/>
      <c r="Y922" s="21"/>
      <c r="Z922" s="21"/>
      <c r="AA922" s="21"/>
      <c r="AB922" s="21"/>
      <c r="AC922" s="21">
        <v>2</v>
      </c>
      <c r="AD922" s="21"/>
      <c r="AE922" s="21"/>
      <c r="AF922" s="21"/>
      <c r="AG922" s="21"/>
      <c r="AH922" s="21"/>
      <c r="AI922" s="21"/>
      <c r="AJ922" s="21"/>
      <c r="AK922" s="21"/>
      <c r="AL922" s="21"/>
      <c r="AM922" s="21">
        <v>1</v>
      </c>
      <c r="AN922" s="21"/>
      <c r="AO922" s="21"/>
      <c r="AP922" s="21"/>
      <c r="AQ922" s="21"/>
      <c r="AR922" s="21">
        <v>1</v>
      </c>
      <c r="AS922" s="21"/>
      <c r="AT922" s="12" t="str">
        <f>HYPERLINK("http://www.openstreetmap.org/?mlat=30.5133&amp;mlon=47.8063&amp;zoom=12#map=12/30.5133/47.8063","Maplink1")</f>
        <v>Maplink1</v>
      </c>
      <c r="AU922" s="12" t="str">
        <f>HYPERLINK("https://www.google.iq/maps/search/+30.5133,47.8063/@30.5133,47.8063,14z?hl=en","Maplink2")</f>
        <v>Maplink2</v>
      </c>
      <c r="AV922" s="12" t="str">
        <f>HYPERLINK("http://www.bing.com/maps/?lvl=14&amp;sty=h&amp;cp=30.5133~47.8063&amp;sp=point.30.5133_47.8063","Maplink3")</f>
        <v>Maplink3</v>
      </c>
    </row>
    <row r="923" spans="1:48" ht="15" customHeight="1" x14ac:dyDescent="0.25">
      <c r="A923" s="19">
        <v>1284</v>
      </c>
      <c r="B923" s="20" t="s">
        <v>12</v>
      </c>
      <c r="C923" s="20" t="s">
        <v>12</v>
      </c>
      <c r="D923" s="20" t="s">
        <v>1820</v>
      </c>
      <c r="E923" s="20" t="s">
        <v>1821</v>
      </c>
      <c r="F923" s="20">
        <v>30.492323630000001</v>
      </c>
      <c r="G923" s="20">
        <v>47.81188427</v>
      </c>
      <c r="H923" s="22">
        <v>4</v>
      </c>
      <c r="I923" s="22">
        <v>24</v>
      </c>
      <c r="J923" s="21">
        <v>3</v>
      </c>
      <c r="K923" s="21"/>
      <c r="L923" s="21"/>
      <c r="M923" s="21"/>
      <c r="N923" s="21"/>
      <c r="O923" s="21">
        <v>1</v>
      </c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>
        <v>1</v>
      </c>
      <c r="AD923" s="21"/>
      <c r="AE923" s="21"/>
      <c r="AF923" s="21"/>
      <c r="AG923" s="21"/>
      <c r="AH923" s="21">
        <v>3</v>
      </c>
      <c r="AI923" s="21"/>
      <c r="AJ923" s="21"/>
      <c r="AK923" s="21"/>
      <c r="AL923" s="21"/>
      <c r="AM923" s="21"/>
      <c r="AN923" s="21">
        <v>1</v>
      </c>
      <c r="AO923" s="21">
        <v>3</v>
      </c>
      <c r="AP923" s="21"/>
      <c r="AQ923" s="21"/>
      <c r="AR923" s="21"/>
      <c r="AS923" s="21"/>
      <c r="AT923" s="12" t="str">
        <f>HYPERLINK("http://www.openstreetmap.org/?mlat=30.4923&amp;mlon=47.8119&amp;zoom=12#map=12/30.4923/47.8119","Maplink1")</f>
        <v>Maplink1</v>
      </c>
      <c r="AU923" s="12" t="str">
        <f>HYPERLINK("https://www.google.iq/maps/search/+30.4923,47.8119/@30.4923,47.8119,14z?hl=en","Maplink2")</f>
        <v>Maplink2</v>
      </c>
      <c r="AV923" s="12" t="str">
        <f>HYPERLINK("http://www.bing.com/maps/?lvl=14&amp;sty=h&amp;cp=30.4923~47.8119&amp;sp=point.30.4923_47.8119","Maplink3")</f>
        <v>Maplink3</v>
      </c>
    </row>
    <row r="924" spans="1:48" ht="15" customHeight="1" x14ac:dyDescent="0.25">
      <c r="A924" s="19">
        <v>914</v>
      </c>
      <c r="B924" s="20" t="s">
        <v>12</v>
      </c>
      <c r="C924" s="20" t="s">
        <v>12</v>
      </c>
      <c r="D924" s="20" t="s">
        <v>1822</v>
      </c>
      <c r="E924" s="20" t="s">
        <v>1823</v>
      </c>
      <c r="F924" s="20">
        <v>30.492164706800001</v>
      </c>
      <c r="G924" s="20">
        <v>47.772272229199999</v>
      </c>
      <c r="H924" s="22">
        <v>3</v>
      </c>
      <c r="I924" s="22">
        <v>18</v>
      </c>
      <c r="J924" s="21">
        <v>1</v>
      </c>
      <c r="K924" s="21"/>
      <c r="L924" s="21"/>
      <c r="M924" s="21"/>
      <c r="N924" s="21"/>
      <c r="O924" s="21"/>
      <c r="P924" s="21"/>
      <c r="Q924" s="21"/>
      <c r="R924" s="21">
        <v>1</v>
      </c>
      <c r="S924" s="21"/>
      <c r="T924" s="21"/>
      <c r="U924" s="21"/>
      <c r="V924" s="21"/>
      <c r="W924" s="21"/>
      <c r="X924" s="21">
        <v>1</v>
      </c>
      <c r="Y924" s="21"/>
      <c r="Z924" s="21"/>
      <c r="AA924" s="21"/>
      <c r="AB924" s="21"/>
      <c r="AC924" s="21">
        <v>2</v>
      </c>
      <c r="AD924" s="21"/>
      <c r="AE924" s="21"/>
      <c r="AF924" s="21"/>
      <c r="AG924" s="21"/>
      <c r="AH924" s="21">
        <v>1</v>
      </c>
      <c r="AI924" s="21"/>
      <c r="AJ924" s="21"/>
      <c r="AK924" s="21"/>
      <c r="AL924" s="21"/>
      <c r="AM924" s="21"/>
      <c r="AN924" s="21">
        <v>3</v>
      </c>
      <c r="AO924" s="21"/>
      <c r="AP924" s="21"/>
      <c r="AQ924" s="21"/>
      <c r="AR924" s="21"/>
      <c r="AS924" s="21"/>
      <c r="AT924" s="12" t="str">
        <f>HYPERLINK("http://www.openstreetmap.org/?mlat=30.4922&amp;mlon=47.7723&amp;zoom=12#map=12/30.4922/47.7723","Maplink1")</f>
        <v>Maplink1</v>
      </c>
      <c r="AU924" s="12" t="str">
        <f>HYPERLINK("https://www.google.iq/maps/search/+30.4922,47.7723/@30.4922,47.7723,14z?hl=en","Maplink2")</f>
        <v>Maplink2</v>
      </c>
      <c r="AV924" s="12" t="str">
        <f>HYPERLINK("http://www.bing.com/maps/?lvl=14&amp;sty=h&amp;cp=30.4922~47.7723&amp;sp=point.30.4922_47.7723","Maplink3")</f>
        <v>Maplink3</v>
      </c>
    </row>
    <row r="925" spans="1:48" ht="15" customHeight="1" x14ac:dyDescent="0.25">
      <c r="A925" s="19">
        <v>966</v>
      </c>
      <c r="B925" s="20" t="s">
        <v>12</v>
      </c>
      <c r="C925" s="20" t="s">
        <v>12</v>
      </c>
      <c r="D925" s="20" t="s">
        <v>1824</v>
      </c>
      <c r="E925" s="20" t="s">
        <v>1825</v>
      </c>
      <c r="F925" s="20">
        <v>30.538885270000002</v>
      </c>
      <c r="G925" s="20">
        <v>47.811309850000001</v>
      </c>
      <c r="H925" s="22">
        <v>4</v>
      </c>
      <c r="I925" s="22">
        <v>24</v>
      </c>
      <c r="J925" s="21">
        <v>1</v>
      </c>
      <c r="K925" s="21"/>
      <c r="L925" s="21"/>
      <c r="M925" s="21"/>
      <c r="N925" s="21"/>
      <c r="O925" s="21">
        <v>1</v>
      </c>
      <c r="P925" s="21"/>
      <c r="Q925" s="21"/>
      <c r="R925" s="21">
        <v>1</v>
      </c>
      <c r="S925" s="21"/>
      <c r="T925" s="21"/>
      <c r="U925" s="21"/>
      <c r="V925" s="21">
        <v>1</v>
      </c>
      <c r="W925" s="21"/>
      <c r="X925" s="21"/>
      <c r="Y925" s="21"/>
      <c r="Z925" s="21"/>
      <c r="AA925" s="21"/>
      <c r="AB925" s="21"/>
      <c r="AC925" s="21">
        <v>3</v>
      </c>
      <c r="AD925" s="21"/>
      <c r="AE925" s="21"/>
      <c r="AF925" s="21"/>
      <c r="AG925" s="21"/>
      <c r="AH925" s="21">
        <v>1</v>
      </c>
      <c r="AI925" s="21"/>
      <c r="AJ925" s="21"/>
      <c r="AK925" s="21"/>
      <c r="AL925" s="21"/>
      <c r="AM925" s="21">
        <v>1</v>
      </c>
      <c r="AN925" s="21">
        <v>1</v>
      </c>
      <c r="AO925" s="21">
        <v>2</v>
      </c>
      <c r="AP925" s="21"/>
      <c r="AQ925" s="21"/>
      <c r="AR925" s="21"/>
      <c r="AS925" s="21"/>
      <c r="AT925" s="12" t="str">
        <f>HYPERLINK("http://www.openstreetmap.org/?mlat=30.5389&amp;mlon=47.8113&amp;zoom=12#map=12/30.5389/47.8113","Maplink1")</f>
        <v>Maplink1</v>
      </c>
      <c r="AU925" s="12" t="str">
        <f>HYPERLINK("https://www.google.iq/maps/search/+30.5389,47.8113/@30.5389,47.8113,14z?hl=en","Maplink2")</f>
        <v>Maplink2</v>
      </c>
      <c r="AV925" s="12" t="str">
        <f>HYPERLINK("http://www.bing.com/maps/?lvl=14&amp;sty=h&amp;cp=30.5389~47.8113&amp;sp=point.30.5389_47.8113","Maplink3")</f>
        <v>Maplink3</v>
      </c>
    </row>
    <row r="926" spans="1:48" ht="15" customHeight="1" x14ac:dyDescent="0.25">
      <c r="A926" s="19">
        <v>1048</v>
      </c>
      <c r="B926" s="20" t="s">
        <v>12</v>
      </c>
      <c r="C926" s="20" t="s">
        <v>12</v>
      </c>
      <c r="D926" s="20" t="s">
        <v>1826</v>
      </c>
      <c r="E926" s="20" t="s">
        <v>1827</v>
      </c>
      <c r="F926" s="20">
        <v>30.675277999999999</v>
      </c>
      <c r="G926" s="20">
        <v>47.751944000000002</v>
      </c>
      <c r="H926" s="22">
        <v>2</v>
      </c>
      <c r="I926" s="22">
        <v>12</v>
      </c>
      <c r="J926" s="21"/>
      <c r="K926" s="21">
        <v>2</v>
      </c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>
        <v>2</v>
      </c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>
        <v>2</v>
      </c>
      <c r="AP926" s="21"/>
      <c r="AQ926" s="21"/>
      <c r="AR926" s="21"/>
      <c r="AS926" s="21"/>
      <c r="AT926" s="12" t="str">
        <f>HYPERLINK("http://www.openstreetmap.org/?mlat=30.6753&amp;mlon=47.7519&amp;zoom=12#map=12/30.6753/47.7519","Maplink1")</f>
        <v>Maplink1</v>
      </c>
      <c r="AU926" s="12" t="str">
        <f>HYPERLINK("https://www.google.iq/maps/search/+30.6753,47.7519/@30.6753,47.7519,14z?hl=en","Maplink2")</f>
        <v>Maplink2</v>
      </c>
      <c r="AV926" s="12" t="str">
        <f>HYPERLINK("http://www.bing.com/maps/?lvl=14&amp;sty=h&amp;cp=30.6753~47.7519&amp;sp=point.30.6753_47.7519","Maplink3")</f>
        <v>Maplink3</v>
      </c>
    </row>
    <row r="927" spans="1:48" ht="15" customHeight="1" x14ac:dyDescent="0.25">
      <c r="A927" s="19">
        <v>934</v>
      </c>
      <c r="B927" s="20" t="s">
        <v>12</v>
      </c>
      <c r="C927" s="20" t="s">
        <v>12</v>
      </c>
      <c r="D927" s="20" t="s">
        <v>1828</v>
      </c>
      <c r="E927" s="20" t="s">
        <v>1829</v>
      </c>
      <c r="F927" s="20">
        <v>30.525535139999999</v>
      </c>
      <c r="G927" s="20">
        <v>47.778494799999997</v>
      </c>
      <c r="H927" s="22">
        <v>2</v>
      </c>
      <c r="I927" s="22">
        <v>12</v>
      </c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>
        <v>2</v>
      </c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>
        <v>2</v>
      </c>
      <c r="AI927" s="21"/>
      <c r="AJ927" s="21"/>
      <c r="AK927" s="21"/>
      <c r="AL927" s="21">
        <v>1</v>
      </c>
      <c r="AM927" s="21"/>
      <c r="AN927" s="21"/>
      <c r="AO927" s="21">
        <v>1</v>
      </c>
      <c r="AP927" s="21"/>
      <c r="AQ927" s="21"/>
      <c r="AR927" s="21"/>
      <c r="AS927" s="21"/>
      <c r="AT927" s="12" t="str">
        <f>HYPERLINK("http://www.openstreetmap.org/?mlat=30.5255&amp;mlon=47.7785&amp;zoom=12#map=12/30.5255/47.7785","Maplink1")</f>
        <v>Maplink1</v>
      </c>
      <c r="AU927" s="12" t="str">
        <f>HYPERLINK("https://www.google.iq/maps/search/+30.5255,47.7785/@30.5255,47.7785,14z?hl=en","Maplink2")</f>
        <v>Maplink2</v>
      </c>
      <c r="AV927" s="12" t="str">
        <f>HYPERLINK("http://www.bing.com/maps/?lvl=14&amp;sty=h&amp;cp=30.5255~47.7785&amp;sp=point.30.5255_47.7785","Maplink3")</f>
        <v>Maplink3</v>
      </c>
    </row>
    <row r="928" spans="1:48" ht="15" customHeight="1" x14ac:dyDescent="0.25">
      <c r="A928" s="19">
        <v>28473</v>
      </c>
      <c r="B928" s="20" t="s">
        <v>12</v>
      </c>
      <c r="C928" s="20" t="s">
        <v>12</v>
      </c>
      <c r="D928" s="20" t="s">
        <v>1830</v>
      </c>
      <c r="E928" s="20" t="s">
        <v>1831</v>
      </c>
      <c r="F928" s="20">
        <v>30.48281742</v>
      </c>
      <c r="G928" s="20">
        <v>47.822844529999998</v>
      </c>
      <c r="H928" s="22">
        <v>1</v>
      </c>
      <c r="I928" s="22">
        <v>6</v>
      </c>
      <c r="J928" s="21">
        <v>1</v>
      </c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>
        <v>1</v>
      </c>
      <c r="AI928" s="21"/>
      <c r="AJ928" s="21"/>
      <c r="AK928" s="21"/>
      <c r="AL928" s="21"/>
      <c r="AM928" s="21">
        <v>1</v>
      </c>
      <c r="AN928" s="21"/>
      <c r="AO928" s="21"/>
      <c r="AP928" s="21"/>
      <c r="AQ928" s="21"/>
      <c r="AR928" s="21"/>
      <c r="AS928" s="21"/>
      <c r="AT928" s="12" t="str">
        <f>HYPERLINK("http://www.openstreetmap.org/?mlat=30.4828&amp;mlon=47.8228&amp;zoom=12#map=12/30.4828/47.8228","Maplink1")</f>
        <v>Maplink1</v>
      </c>
      <c r="AU928" s="12" t="str">
        <f>HYPERLINK("https://www.google.iq/maps/search/+30.4828,47.8228/@30.4828,47.8228,14z?hl=en","Maplink2")</f>
        <v>Maplink2</v>
      </c>
      <c r="AV928" s="12" t="str">
        <f>HYPERLINK("http://www.bing.com/maps/?lvl=14&amp;sty=h&amp;cp=30.4828~47.8228&amp;sp=point.30.4828_47.8228","Maplink3")</f>
        <v>Maplink3</v>
      </c>
    </row>
    <row r="929" spans="1:48" ht="15" customHeight="1" x14ac:dyDescent="0.25">
      <c r="A929" s="19">
        <v>954</v>
      </c>
      <c r="B929" s="20" t="s">
        <v>12</v>
      </c>
      <c r="C929" s="20" t="s">
        <v>12</v>
      </c>
      <c r="D929" s="20" t="s">
        <v>1832</v>
      </c>
      <c r="E929" s="20" t="s">
        <v>1833</v>
      </c>
      <c r="F929" s="20">
        <v>30.539213289999999</v>
      </c>
      <c r="G929" s="20">
        <v>47.782940459999999</v>
      </c>
      <c r="H929" s="22">
        <v>6</v>
      </c>
      <c r="I929" s="22">
        <v>36</v>
      </c>
      <c r="J929" s="21">
        <v>1</v>
      </c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>
        <v>1</v>
      </c>
      <c r="W929" s="21"/>
      <c r="X929" s="21">
        <v>4</v>
      </c>
      <c r="Y929" s="21"/>
      <c r="Z929" s="21"/>
      <c r="AA929" s="21"/>
      <c r="AB929" s="21"/>
      <c r="AC929" s="21">
        <v>2</v>
      </c>
      <c r="AD929" s="21"/>
      <c r="AE929" s="21"/>
      <c r="AF929" s="21"/>
      <c r="AG929" s="21"/>
      <c r="AH929" s="21">
        <v>4</v>
      </c>
      <c r="AI929" s="21"/>
      <c r="AJ929" s="21"/>
      <c r="AK929" s="21"/>
      <c r="AL929" s="21">
        <v>1</v>
      </c>
      <c r="AM929" s="21"/>
      <c r="AN929" s="21">
        <v>2</v>
      </c>
      <c r="AO929" s="21">
        <v>3</v>
      </c>
      <c r="AP929" s="21"/>
      <c r="AQ929" s="21"/>
      <c r="AR929" s="21"/>
      <c r="AS929" s="21"/>
      <c r="AT929" s="12" t="str">
        <f>HYPERLINK("http://www.openstreetmap.org/?mlat=30.5392&amp;mlon=47.7829&amp;zoom=12#map=12/30.5392/47.7829","Maplink1")</f>
        <v>Maplink1</v>
      </c>
      <c r="AU929" s="12" t="str">
        <f>HYPERLINK("https://www.google.iq/maps/search/+30.5392,47.7829/@30.5392,47.7829,14z?hl=en","Maplink2")</f>
        <v>Maplink2</v>
      </c>
      <c r="AV929" s="12" t="str">
        <f>HYPERLINK("http://www.bing.com/maps/?lvl=14&amp;sty=h&amp;cp=30.5392~47.7829&amp;sp=point.30.5392_47.7829","Maplink3")</f>
        <v>Maplink3</v>
      </c>
    </row>
    <row r="930" spans="1:48" ht="15" customHeight="1" x14ac:dyDescent="0.25">
      <c r="A930" s="19">
        <v>24124</v>
      </c>
      <c r="B930" s="20" t="s">
        <v>12</v>
      </c>
      <c r="C930" s="20" t="s">
        <v>12</v>
      </c>
      <c r="D930" s="20" t="s">
        <v>1834</v>
      </c>
      <c r="E930" s="20" t="s">
        <v>1835</v>
      </c>
      <c r="F930" s="20">
        <v>30.50224</v>
      </c>
      <c r="G930" s="20">
        <v>47.774247000000003</v>
      </c>
      <c r="H930" s="22">
        <v>2</v>
      </c>
      <c r="I930" s="22">
        <v>12</v>
      </c>
      <c r="J930" s="21">
        <v>2</v>
      </c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>
        <v>1</v>
      </c>
      <c r="AH930" s="21">
        <v>1</v>
      </c>
      <c r="AI930" s="21"/>
      <c r="AJ930" s="21"/>
      <c r="AK930" s="21"/>
      <c r="AL930" s="21"/>
      <c r="AM930" s="21"/>
      <c r="AN930" s="21">
        <v>1</v>
      </c>
      <c r="AO930" s="21">
        <v>1</v>
      </c>
      <c r="AP930" s="21"/>
      <c r="AQ930" s="21"/>
      <c r="AR930" s="21"/>
      <c r="AS930" s="21"/>
      <c r="AT930" s="12" t="str">
        <f>HYPERLINK("http://www.openstreetmap.org/?mlat=30.5022&amp;mlon=47.7742&amp;zoom=12#map=12/30.5022/47.7742","Maplink1")</f>
        <v>Maplink1</v>
      </c>
      <c r="AU930" s="12" t="str">
        <f>HYPERLINK("https://www.google.iq/maps/search/+30.5022,47.7742/@30.5022,47.7742,14z?hl=en","Maplink2")</f>
        <v>Maplink2</v>
      </c>
      <c r="AV930" s="12" t="str">
        <f>HYPERLINK("http://www.bing.com/maps/?lvl=14&amp;sty=h&amp;cp=30.5022~47.7742&amp;sp=point.30.5022_47.7742","Maplink3")</f>
        <v>Maplink3</v>
      </c>
    </row>
    <row r="931" spans="1:48" ht="15" customHeight="1" x14ac:dyDescent="0.25">
      <c r="A931" s="19">
        <v>869</v>
      </c>
      <c r="B931" s="20" t="s">
        <v>12</v>
      </c>
      <c r="C931" s="20" t="s">
        <v>12</v>
      </c>
      <c r="D931" s="20" t="s">
        <v>1836</v>
      </c>
      <c r="E931" s="20" t="s">
        <v>1837</v>
      </c>
      <c r="F931" s="20">
        <v>30.5003134673</v>
      </c>
      <c r="G931" s="20">
        <v>47.780045103299997</v>
      </c>
      <c r="H931" s="22">
        <v>4</v>
      </c>
      <c r="I931" s="22">
        <v>24</v>
      </c>
      <c r="J931" s="21">
        <v>1</v>
      </c>
      <c r="K931" s="21"/>
      <c r="L931" s="21"/>
      <c r="M931" s="21"/>
      <c r="N931" s="21"/>
      <c r="O931" s="21"/>
      <c r="P931" s="21"/>
      <c r="Q931" s="21"/>
      <c r="R931" s="21">
        <v>1</v>
      </c>
      <c r="S931" s="21"/>
      <c r="T931" s="21"/>
      <c r="U931" s="21"/>
      <c r="V931" s="21">
        <v>1</v>
      </c>
      <c r="W931" s="21"/>
      <c r="X931" s="21">
        <v>1</v>
      </c>
      <c r="Y931" s="21"/>
      <c r="Z931" s="21"/>
      <c r="AA931" s="21"/>
      <c r="AB931" s="21"/>
      <c r="AC931" s="21">
        <v>2</v>
      </c>
      <c r="AD931" s="21"/>
      <c r="AE931" s="21"/>
      <c r="AF931" s="21"/>
      <c r="AG931" s="21"/>
      <c r="AH931" s="21">
        <v>2</v>
      </c>
      <c r="AI931" s="21"/>
      <c r="AJ931" s="21"/>
      <c r="AK931" s="21"/>
      <c r="AL931" s="21">
        <v>1</v>
      </c>
      <c r="AM931" s="21"/>
      <c r="AN931" s="21"/>
      <c r="AO931" s="21">
        <v>1</v>
      </c>
      <c r="AP931" s="21">
        <v>1</v>
      </c>
      <c r="AQ931" s="21"/>
      <c r="AR931" s="21">
        <v>1</v>
      </c>
      <c r="AS931" s="21"/>
      <c r="AT931" s="12" t="str">
        <f>HYPERLINK("http://www.openstreetmap.org/?mlat=30.5003&amp;mlon=47.78&amp;zoom=12#map=12/30.5003/47.78","Maplink1")</f>
        <v>Maplink1</v>
      </c>
      <c r="AU931" s="12" t="str">
        <f>HYPERLINK("https://www.google.iq/maps/search/+30.5003,47.78/@30.5003,47.78,14z?hl=en","Maplink2")</f>
        <v>Maplink2</v>
      </c>
      <c r="AV931" s="12" t="str">
        <f>HYPERLINK("http://www.bing.com/maps/?lvl=14&amp;sty=h&amp;cp=30.5003~47.78&amp;sp=point.30.5003_47.78","Maplink3")</f>
        <v>Maplink3</v>
      </c>
    </row>
    <row r="932" spans="1:48" ht="15" customHeight="1" x14ac:dyDescent="0.25">
      <c r="A932" s="19">
        <v>854</v>
      </c>
      <c r="B932" s="20" t="s">
        <v>12</v>
      </c>
      <c r="C932" s="20" t="s">
        <v>12</v>
      </c>
      <c r="D932" s="20" t="s">
        <v>1838</v>
      </c>
      <c r="E932" s="20" t="s">
        <v>1839</v>
      </c>
      <c r="F932" s="20">
        <v>30.491482189999999</v>
      </c>
      <c r="G932" s="20">
        <v>47.800243199999997</v>
      </c>
      <c r="H932" s="22">
        <v>5</v>
      </c>
      <c r="I932" s="22">
        <v>30</v>
      </c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>
        <v>4</v>
      </c>
      <c r="W932" s="21"/>
      <c r="X932" s="21">
        <v>1</v>
      </c>
      <c r="Y932" s="21"/>
      <c r="Z932" s="21"/>
      <c r="AA932" s="21"/>
      <c r="AB932" s="21"/>
      <c r="AC932" s="21">
        <v>5</v>
      </c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>
        <v>1</v>
      </c>
      <c r="AO932" s="21">
        <v>3</v>
      </c>
      <c r="AP932" s="21">
        <v>1</v>
      </c>
      <c r="AQ932" s="21"/>
      <c r="AR932" s="21"/>
      <c r="AS932" s="21"/>
      <c r="AT932" s="12" t="str">
        <f>HYPERLINK("http://www.openstreetmap.org/?mlat=30.4915&amp;mlon=47.8002&amp;zoom=12#map=12/30.4915/47.8002","Maplink1")</f>
        <v>Maplink1</v>
      </c>
      <c r="AU932" s="12" t="str">
        <f>HYPERLINK("https://www.google.iq/maps/search/+30.4915,47.8002/@30.4915,47.8002,14z?hl=en","Maplink2")</f>
        <v>Maplink2</v>
      </c>
      <c r="AV932" s="12" t="str">
        <f>HYPERLINK("http://www.bing.com/maps/?lvl=14&amp;sty=h&amp;cp=30.4915~47.8002&amp;sp=point.30.4915_47.8002","Maplink3")</f>
        <v>Maplink3</v>
      </c>
    </row>
    <row r="933" spans="1:48" ht="15" customHeight="1" x14ac:dyDescent="0.25">
      <c r="A933" s="19">
        <v>933</v>
      </c>
      <c r="B933" s="20" t="s">
        <v>12</v>
      </c>
      <c r="C933" s="20" t="s">
        <v>12</v>
      </c>
      <c r="D933" s="20" t="s">
        <v>1840</v>
      </c>
      <c r="E933" s="20" t="s">
        <v>1841</v>
      </c>
      <c r="F933" s="20">
        <v>30.523732460000002</v>
      </c>
      <c r="G933" s="20">
        <v>47.811323100000003</v>
      </c>
      <c r="H933" s="22">
        <v>1</v>
      </c>
      <c r="I933" s="22">
        <v>6</v>
      </c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>
        <v>1</v>
      </c>
      <c r="W933" s="21"/>
      <c r="X933" s="21"/>
      <c r="Y933" s="21"/>
      <c r="Z933" s="21"/>
      <c r="AA933" s="21"/>
      <c r="AB933" s="21"/>
      <c r="AC933" s="21">
        <v>1</v>
      </c>
      <c r="AD933" s="21"/>
      <c r="AE933" s="21"/>
      <c r="AF933" s="21"/>
      <c r="AG933" s="21"/>
      <c r="AH933" s="21"/>
      <c r="AI933" s="21"/>
      <c r="AJ933" s="21"/>
      <c r="AK933" s="21"/>
      <c r="AL933" s="21"/>
      <c r="AM933" s="21">
        <v>1</v>
      </c>
      <c r="AN933" s="21"/>
      <c r="AO933" s="21"/>
      <c r="AP933" s="21"/>
      <c r="AQ933" s="21"/>
      <c r="AR933" s="21"/>
      <c r="AS933" s="21"/>
      <c r="AT933" s="12" t="str">
        <f>HYPERLINK("http://www.openstreetmap.org/?mlat=30.5237&amp;mlon=47.8113&amp;zoom=12#map=12/30.5237/47.8113","Maplink1")</f>
        <v>Maplink1</v>
      </c>
      <c r="AU933" s="12" t="str">
        <f>HYPERLINK("https://www.google.iq/maps/search/+30.5237,47.8113/@30.5237,47.8113,14z?hl=en","Maplink2")</f>
        <v>Maplink2</v>
      </c>
      <c r="AV933" s="12" t="str">
        <f>HYPERLINK("http://www.bing.com/maps/?lvl=14&amp;sty=h&amp;cp=30.5237~47.8113&amp;sp=point.30.5237_47.8113","Maplink3")</f>
        <v>Maplink3</v>
      </c>
    </row>
    <row r="934" spans="1:48" ht="15" customHeight="1" x14ac:dyDescent="0.25">
      <c r="A934" s="19">
        <v>852</v>
      </c>
      <c r="B934" s="20" t="s">
        <v>12</v>
      </c>
      <c r="C934" s="20" t="s">
        <v>12</v>
      </c>
      <c r="D934" s="20" t="s">
        <v>1842</v>
      </c>
      <c r="E934" s="20" t="s">
        <v>1843</v>
      </c>
      <c r="F934" s="20">
        <v>30.5014617</v>
      </c>
      <c r="G934" s="20">
        <v>47.785754599999997</v>
      </c>
      <c r="H934" s="22">
        <v>1</v>
      </c>
      <c r="I934" s="22">
        <v>6</v>
      </c>
      <c r="J934" s="21">
        <v>1</v>
      </c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>
        <v>1</v>
      </c>
      <c r="AD934" s="21"/>
      <c r="AE934" s="21"/>
      <c r="AF934" s="21"/>
      <c r="AG934" s="21"/>
      <c r="AH934" s="21"/>
      <c r="AI934" s="21"/>
      <c r="AJ934" s="21"/>
      <c r="AK934" s="21"/>
      <c r="AL934" s="21">
        <v>1</v>
      </c>
      <c r="AM934" s="21"/>
      <c r="AN934" s="21"/>
      <c r="AO934" s="21"/>
      <c r="AP934" s="21"/>
      <c r="AQ934" s="21"/>
      <c r="AR934" s="21"/>
      <c r="AS934" s="21"/>
      <c r="AT934" s="12" t="str">
        <f>HYPERLINK("http://www.openstreetmap.org/?mlat=30.5015&amp;mlon=47.7858&amp;zoom=12#map=12/30.5015/47.7858","Maplink1")</f>
        <v>Maplink1</v>
      </c>
      <c r="AU934" s="12" t="str">
        <f>HYPERLINK("https://www.google.iq/maps/search/+30.5015,47.7858/@30.5015,47.7858,14z?hl=en","Maplink2")</f>
        <v>Maplink2</v>
      </c>
      <c r="AV934" s="12" t="str">
        <f>HYPERLINK("http://www.bing.com/maps/?lvl=14&amp;sty=h&amp;cp=30.5015~47.7858&amp;sp=point.30.5015_47.7858","Maplink3")</f>
        <v>Maplink3</v>
      </c>
    </row>
    <row r="935" spans="1:48" ht="15" customHeight="1" x14ac:dyDescent="0.25">
      <c r="A935" s="19">
        <v>602</v>
      </c>
      <c r="B935" s="20" t="s">
        <v>12</v>
      </c>
      <c r="C935" s="20" t="s">
        <v>12</v>
      </c>
      <c r="D935" s="20" t="s">
        <v>1844</v>
      </c>
      <c r="E935" s="20" t="s">
        <v>1845</v>
      </c>
      <c r="F935" s="20">
        <v>30.463769330000002</v>
      </c>
      <c r="G935" s="20">
        <v>47.790257199999999</v>
      </c>
      <c r="H935" s="22">
        <v>18</v>
      </c>
      <c r="I935" s="22">
        <v>108</v>
      </c>
      <c r="J935" s="21">
        <v>2</v>
      </c>
      <c r="K935" s="21"/>
      <c r="L935" s="21"/>
      <c r="M935" s="21"/>
      <c r="N935" s="21"/>
      <c r="O935" s="21">
        <v>2</v>
      </c>
      <c r="P935" s="21"/>
      <c r="Q935" s="21"/>
      <c r="R935" s="21"/>
      <c r="S935" s="21"/>
      <c r="T935" s="21"/>
      <c r="U935" s="21"/>
      <c r="V935" s="21">
        <v>6</v>
      </c>
      <c r="W935" s="21"/>
      <c r="X935" s="21">
        <v>8</v>
      </c>
      <c r="Y935" s="21"/>
      <c r="Z935" s="21"/>
      <c r="AA935" s="21"/>
      <c r="AB935" s="21"/>
      <c r="AC935" s="21">
        <v>2</v>
      </c>
      <c r="AD935" s="21"/>
      <c r="AE935" s="21"/>
      <c r="AF935" s="21"/>
      <c r="AG935" s="21"/>
      <c r="AH935" s="21">
        <v>16</v>
      </c>
      <c r="AI935" s="21"/>
      <c r="AJ935" s="21"/>
      <c r="AK935" s="21"/>
      <c r="AL935" s="21">
        <v>1</v>
      </c>
      <c r="AM935" s="21">
        <v>5</v>
      </c>
      <c r="AN935" s="21">
        <v>6</v>
      </c>
      <c r="AO935" s="21">
        <v>4</v>
      </c>
      <c r="AP935" s="21"/>
      <c r="AQ935" s="21">
        <v>2</v>
      </c>
      <c r="AR935" s="21"/>
      <c r="AS935" s="21"/>
      <c r="AT935" s="12" t="str">
        <f>HYPERLINK("http://www.openstreetmap.org/?mlat=30.4638&amp;mlon=47.7903&amp;zoom=12#map=12/30.4638/47.7903","Maplink1")</f>
        <v>Maplink1</v>
      </c>
      <c r="AU935" s="12" t="str">
        <f>HYPERLINK("https://www.google.iq/maps/search/+30.4638,47.7903/@30.4638,47.7903,14z?hl=en","Maplink2")</f>
        <v>Maplink2</v>
      </c>
      <c r="AV935" s="12" t="str">
        <f>HYPERLINK("http://www.bing.com/maps/?lvl=14&amp;sty=h&amp;cp=30.4638~47.7903&amp;sp=point.30.4638_47.7903","Maplink3")</f>
        <v>Maplink3</v>
      </c>
    </row>
    <row r="936" spans="1:48" ht="15" customHeight="1" x14ac:dyDescent="0.25">
      <c r="A936" s="19">
        <v>874</v>
      </c>
      <c r="B936" s="20" t="s">
        <v>12</v>
      </c>
      <c r="C936" s="20" t="s">
        <v>12</v>
      </c>
      <c r="D936" s="20" t="s">
        <v>1846</v>
      </c>
      <c r="E936" s="20" t="s">
        <v>1847</v>
      </c>
      <c r="F936" s="20">
        <v>30.49671931</v>
      </c>
      <c r="G936" s="20">
        <v>47.808035459999999</v>
      </c>
      <c r="H936" s="22">
        <v>1</v>
      </c>
      <c r="I936" s="22">
        <v>6</v>
      </c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>
        <v>1</v>
      </c>
      <c r="Y936" s="21"/>
      <c r="Z936" s="21"/>
      <c r="AA936" s="21"/>
      <c r="AB936" s="21"/>
      <c r="AC936" s="21"/>
      <c r="AD936" s="21"/>
      <c r="AE936" s="21"/>
      <c r="AF936" s="21"/>
      <c r="AG936" s="21"/>
      <c r="AH936" s="21">
        <v>1</v>
      </c>
      <c r="AI936" s="21"/>
      <c r="AJ936" s="21"/>
      <c r="AK936" s="21"/>
      <c r="AL936" s="21"/>
      <c r="AM936" s="21">
        <v>1</v>
      </c>
      <c r="AN936" s="21"/>
      <c r="AO936" s="21"/>
      <c r="AP936" s="21"/>
      <c r="AQ936" s="21"/>
      <c r="AR936" s="21"/>
      <c r="AS936" s="21"/>
      <c r="AT936" s="12" t="str">
        <f>HYPERLINK("http://www.openstreetmap.org/?mlat=30.4967&amp;mlon=47.808&amp;zoom=12#map=12/30.4967/47.808","Maplink1")</f>
        <v>Maplink1</v>
      </c>
      <c r="AU936" s="12" t="str">
        <f>HYPERLINK("https://www.google.iq/maps/search/+30.4967,47.808/@30.4967,47.808,14z?hl=en","Maplink2")</f>
        <v>Maplink2</v>
      </c>
      <c r="AV936" s="12" t="str">
        <f>HYPERLINK("http://www.bing.com/maps/?lvl=14&amp;sty=h&amp;cp=30.4967~47.808&amp;sp=point.30.4967_47.808","Maplink3")</f>
        <v>Maplink3</v>
      </c>
    </row>
    <row r="937" spans="1:48" ht="15" customHeight="1" x14ac:dyDescent="0.25">
      <c r="A937" s="19">
        <v>33236</v>
      </c>
      <c r="B937" s="20" t="s">
        <v>12</v>
      </c>
      <c r="C937" s="20" t="s">
        <v>12</v>
      </c>
      <c r="D937" s="20" t="s">
        <v>471</v>
      </c>
      <c r="E937" s="20" t="s">
        <v>5716</v>
      </c>
      <c r="F937" s="20">
        <v>30.535602999999998</v>
      </c>
      <c r="G937" s="20">
        <v>47.777196000000004</v>
      </c>
      <c r="H937" s="22">
        <v>4</v>
      </c>
      <c r="I937" s="22">
        <v>24</v>
      </c>
      <c r="J937" s="21"/>
      <c r="K937" s="21"/>
      <c r="L937" s="21"/>
      <c r="M937" s="21"/>
      <c r="N937" s="21"/>
      <c r="O937" s="21"/>
      <c r="P937" s="21"/>
      <c r="Q937" s="21"/>
      <c r="R937" s="21">
        <v>1</v>
      </c>
      <c r="S937" s="21"/>
      <c r="T937" s="21"/>
      <c r="U937" s="21"/>
      <c r="V937" s="21">
        <v>3</v>
      </c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>
        <v>4</v>
      </c>
      <c r="AI937" s="21"/>
      <c r="AJ937" s="21"/>
      <c r="AK937" s="21"/>
      <c r="AL937" s="21">
        <v>1</v>
      </c>
      <c r="AM937" s="21">
        <v>1</v>
      </c>
      <c r="AN937" s="21">
        <v>2</v>
      </c>
      <c r="AO937" s="21"/>
      <c r="AP937" s="21"/>
      <c r="AQ937" s="21"/>
      <c r="AR937" s="21"/>
      <c r="AS937" s="21"/>
      <c r="AT937" s="12" t="str">
        <f>HYPERLINK("http://www.openstreetmap.org/?mlat=30.5356&amp;mlon=47.7772&amp;zoom=12#map=12/30.5356/47.7772","Maplink1")</f>
        <v>Maplink1</v>
      </c>
      <c r="AU937" s="12" t="str">
        <f>HYPERLINK("https://www.google.iq/maps/search/+30.5356,47.7772/@30.5356,47.7772,14z?hl=en","Maplink2")</f>
        <v>Maplink2</v>
      </c>
      <c r="AV937" s="12" t="str">
        <f>HYPERLINK("http://www.bing.com/maps/?lvl=14&amp;sty=h&amp;cp=30.5356~47.7772&amp;sp=point.30.5356_47.7772","Maplink3")</f>
        <v>Maplink3</v>
      </c>
    </row>
    <row r="938" spans="1:48" ht="15" customHeight="1" x14ac:dyDescent="0.25">
      <c r="A938" s="19">
        <v>21099</v>
      </c>
      <c r="B938" s="20" t="s">
        <v>12</v>
      </c>
      <c r="C938" s="20" t="s">
        <v>12</v>
      </c>
      <c r="D938" s="20" t="s">
        <v>1848</v>
      </c>
      <c r="E938" s="20" t="s">
        <v>1849</v>
      </c>
      <c r="F938" s="20">
        <v>30.4871755466</v>
      </c>
      <c r="G938" s="20">
        <v>47.788946433</v>
      </c>
      <c r="H938" s="22">
        <v>2</v>
      </c>
      <c r="I938" s="22">
        <v>12</v>
      </c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>
        <v>1</v>
      </c>
      <c r="W938" s="21"/>
      <c r="X938" s="21">
        <v>1</v>
      </c>
      <c r="Y938" s="21"/>
      <c r="Z938" s="21"/>
      <c r="AA938" s="21"/>
      <c r="AB938" s="21"/>
      <c r="AC938" s="21"/>
      <c r="AD938" s="21"/>
      <c r="AE938" s="21"/>
      <c r="AF938" s="21"/>
      <c r="AG938" s="21"/>
      <c r="AH938" s="21">
        <v>2</v>
      </c>
      <c r="AI938" s="21"/>
      <c r="AJ938" s="21"/>
      <c r="AK938" s="21"/>
      <c r="AL938" s="21"/>
      <c r="AM938" s="21"/>
      <c r="AN938" s="21"/>
      <c r="AO938" s="21">
        <v>2</v>
      </c>
      <c r="AP938" s="21"/>
      <c r="AQ938" s="21"/>
      <c r="AR938" s="21"/>
      <c r="AS938" s="21"/>
      <c r="AT938" s="12" t="str">
        <f>HYPERLINK("http://www.openstreetmap.org/?mlat=30.4872&amp;mlon=47.7889&amp;zoom=12#map=12/30.4872/47.7889","Maplink1")</f>
        <v>Maplink1</v>
      </c>
      <c r="AU938" s="12" t="str">
        <f>HYPERLINK("https://www.google.iq/maps/search/+30.4872,47.7889/@30.4872,47.7889,14z?hl=en","Maplink2")</f>
        <v>Maplink2</v>
      </c>
      <c r="AV938" s="12" t="str">
        <f>HYPERLINK("http://www.bing.com/maps/?lvl=14&amp;sty=h&amp;cp=30.4872~47.7889&amp;sp=point.30.4872_47.7889","Maplink3")</f>
        <v>Maplink3</v>
      </c>
    </row>
    <row r="939" spans="1:48" ht="15" customHeight="1" x14ac:dyDescent="0.25">
      <c r="A939" s="19">
        <v>23897</v>
      </c>
      <c r="B939" s="20" t="s">
        <v>12</v>
      </c>
      <c r="C939" s="20" t="s">
        <v>12</v>
      </c>
      <c r="D939" s="20" t="s">
        <v>1850</v>
      </c>
      <c r="E939" s="20" t="s">
        <v>1851</v>
      </c>
      <c r="F939" s="20">
        <v>30.479578570000001</v>
      </c>
      <c r="G939" s="20">
        <v>47.830301069999997</v>
      </c>
      <c r="H939" s="22">
        <v>4</v>
      </c>
      <c r="I939" s="22">
        <v>24</v>
      </c>
      <c r="J939" s="21">
        <v>3</v>
      </c>
      <c r="K939" s="21"/>
      <c r="L939" s="21"/>
      <c r="M939" s="21"/>
      <c r="N939" s="21"/>
      <c r="O939" s="21">
        <v>1</v>
      </c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>
        <v>3</v>
      </c>
      <c r="AF939" s="21"/>
      <c r="AG939" s="21"/>
      <c r="AH939" s="21">
        <v>1</v>
      </c>
      <c r="AI939" s="21"/>
      <c r="AJ939" s="21"/>
      <c r="AK939" s="21"/>
      <c r="AL939" s="21">
        <v>1</v>
      </c>
      <c r="AM939" s="21">
        <v>1</v>
      </c>
      <c r="AN939" s="21"/>
      <c r="AO939" s="21">
        <v>2</v>
      </c>
      <c r="AP939" s="21"/>
      <c r="AQ939" s="21"/>
      <c r="AR939" s="21"/>
      <c r="AS939" s="21"/>
      <c r="AT939" s="12" t="str">
        <f>HYPERLINK("http://www.openstreetmap.org/?mlat=30.4796&amp;mlon=47.8303&amp;zoom=12#map=12/30.4796/47.8303","Maplink1")</f>
        <v>Maplink1</v>
      </c>
      <c r="AU939" s="12" t="str">
        <f>HYPERLINK("https://www.google.iq/maps/search/+30.4796,47.8303/@30.4796,47.8303,14z?hl=en","Maplink2")</f>
        <v>Maplink2</v>
      </c>
      <c r="AV939" s="12" t="str">
        <f>HYPERLINK("http://www.bing.com/maps/?lvl=14&amp;sty=h&amp;cp=30.4796~47.8303&amp;sp=point.30.4796_47.8303","Maplink3")</f>
        <v>Maplink3</v>
      </c>
    </row>
    <row r="940" spans="1:48" ht="15" customHeight="1" x14ac:dyDescent="0.25">
      <c r="A940" s="19">
        <v>24126</v>
      </c>
      <c r="B940" s="20" t="s">
        <v>12</v>
      </c>
      <c r="C940" s="20" t="s">
        <v>12</v>
      </c>
      <c r="D940" s="20" t="s">
        <v>1852</v>
      </c>
      <c r="E940" s="20" t="s">
        <v>1853</v>
      </c>
      <c r="F940" s="20">
        <v>30.47485356</v>
      </c>
      <c r="G940" s="20">
        <v>47.804975310000003</v>
      </c>
      <c r="H940" s="22">
        <v>15</v>
      </c>
      <c r="I940" s="22">
        <v>90</v>
      </c>
      <c r="J940" s="21">
        <v>3</v>
      </c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>
        <v>8</v>
      </c>
      <c r="W940" s="21"/>
      <c r="X940" s="21">
        <v>4</v>
      </c>
      <c r="Y940" s="21"/>
      <c r="Z940" s="21"/>
      <c r="AA940" s="21"/>
      <c r="AB940" s="21"/>
      <c r="AC940" s="21">
        <v>1</v>
      </c>
      <c r="AD940" s="21"/>
      <c r="AE940" s="21"/>
      <c r="AF940" s="21"/>
      <c r="AG940" s="21"/>
      <c r="AH940" s="21">
        <v>14</v>
      </c>
      <c r="AI940" s="21"/>
      <c r="AJ940" s="21"/>
      <c r="AK940" s="21"/>
      <c r="AL940" s="21"/>
      <c r="AM940" s="21">
        <v>3</v>
      </c>
      <c r="AN940" s="21">
        <v>6</v>
      </c>
      <c r="AO940" s="21">
        <v>2</v>
      </c>
      <c r="AP940" s="21">
        <v>3</v>
      </c>
      <c r="AQ940" s="21"/>
      <c r="AR940" s="21">
        <v>1</v>
      </c>
      <c r="AS940" s="21"/>
      <c r="AT940" s="12" t="str">
        <f>HYPERLINK("http://www.openstreetmap.org/?mlat=30.4749&amp;mlon=47.805&amp;zoom=12#map=12/30.4749/47.805","Maplink1")</f>
        <v>Maplink1</v>
      </c>
      <c r="AU940" s="12" t="str">
        <f>HYPERLINK("https://www.google.iq/maps/search/+30.4749,47.805/@30.4749,47.805,14z?hl=en","Maplink2")</f>
        <v>Maplink2</v>
      </c>
      <c r="AV940" s="12" t="str">
        <f>HYPERLINK("http://www.bing.com/maps/?lvl=14&amp;sty=h&amp;cp=30.4749~47.805&amp;sp=point.30.4749_47.805","Maplink3")</f>
        <v>Maplink3</v>
      </c>
    </row>
    <row r="941" spans="1:48" ht="15" customHeight="1" x14ac:dyDescent="0.25">
      <c r="A941" s="19">
        <v>21096</v>
      </c>
      <c r="B941" s="20" t="s">
        <v>12</v>
      </c>
      <c r="C941" s="20" t="s">
        <v>12</v>
      </c>
      <c r="D941" s="20" t="s">
        <v>1854</v>
      </c>
      <c r="E941" s="20" t="s">
        <v>1855</v>
      </c>
      <c r="F941" s="20">
        <v>30.472537679999999</v>
      </c>
      <c r="G941" s="20">
        <v>47.814324659999997</v>
      </c>
      <c r="H941" s="22">
        <v>3</v>
      </c>
      <c r="I941" s="22">
        <v>18</v>
      </c>
      <c r="J941" s="21"/>
      <c r="K941" s="21"/>
      <c r="L941" s="21"/>
      <c r="M941" s="21"/>
      <c r="N941" s="21"/>
      <c r="O941" s="21"/>
      <c r="P941" s="21"/>
      <c r="Q941" s="21"/>
      <c r="R941" s="21">
        <v>2</v>
      </c>
      <c r="S941" s="21"/>
      <c r="T941" s="21"/>
      <c r="U941" s="21"/>
      <c r="V941" s="21">
        <v>1</v>
      </c>
      <c r="W941" s="21"/>
      <c r="X941" s="21"/>
      <c r="Y941" s="21"/>
      <c r="Z941" s="21"/>
      <c r="AA941" s="21"/>
      <c r="AB941" s="21"/>
      <c r="AC941" s="21">
        <v>2</v>
      </c>
      <c r="AD941" s="21"/>
      <c r="AE941" s="21"/>
      <c r="AF941" s="21"/>
      <c r="AG941" s="21"/>
      <c r="AH941" s="21">
        <v>1</v>
      </c>
      <c r="AI941" s="21"/>
      <c r="AJ941" s="21"/>
      <c r="AK941" s="21"/>
      <c r="AL941" s="21"/>
      <c r="AM941" s="21"/>
      <c r="AN941" s="21"/>
      <c r="AO941" s="21">
        <v>2</v>
      </c>
      <c r="AP941" s="21"/>
      <c r="AQ941" s="21">
        <v>1</v>
      </c>
      <c r="AR941" s="21"/>
      <c r="AS941" s="21"/>
      <c r="AT941" s="12" t="str">
        <f>HYPERLINK("http://www.openstreetmap.org/?mlat=30.4725&amp;mlon=47.8143&amp;zoom=12#map=12/30.4725/47.8143","Maplink1")</f>
        <v>Maplink1</v>
      </c>
      <c r="AU941" s="12" t="str">
        <f>HYPERLINK("https://www.google.iq/maps/search/+30.4725,47.8143/@30.4725,47.8143,14z?hl=en","Maplink2")</f>
        <v>Maplink2</v>
      </c>
      <c r="AV941" s="12" t="str">
        <f>HYPERLINK("http://www.bing.com/maps/?lvl=14&amp;sty=h&amp;cp=30.4725~47.8143&amp;sp=point.30.4725_47.8143","Maplink3")</f>
        <v>Maplink3</v>
      </c>
    </row>
    <row r="942" spans="1:48" ht="15" customHeight="1" x14ac:dyDescent="0.25">
      <c r="A942" s="19">
        <v>22095</v>
      </c>
      <c r="B942" s="20" t="s">
        <v>12</v>
      </c>
      <c r="C942" s="20" t="s">
        <v>12</v>
      </c>
      <c r="D942" s="20" t="s">
        <v>1856</v>
      </c>
      <c r="E942" s="20" t="s">
        <v>1857</v>
      </c>
      <c r="F942" s="20">
        <v>30.458801999999999</v>
      </c>
      <c r="G942" s="20">
        <v>47.81203</v>
      </c>
      <c r="H942" s="22">
        <v>2</v>
      </c>
      <c r="I942" s="22">
        <v>12</v>
      </c>
      <c r="J942" s="21"/>
      <c r="K942" s="21"/>
      <c r="L942" s="21">
        <v>2</v>
      </c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>
        <v>2</v>
      </c>
      <c r="AI942" s="21"/>
      <c r="AJ942" s="21"/>
      <c r="AK942" s="21"/>
      <c r="AL942" s="21"/>
      <c r="AM942" s="21"/>
      <c r="AN942" s="21">
        <v>2</v>
      </c>
      <c r="AO942" s="21"/>
      <c r="AP942" s="21"/>
      <c r="AQ942" s="21"/>
      <c r="AR942" s="21"/>
      <c r="AS942" s="21"/>
      <c r="AT942" s="12" t="str">
        <f>HYPERLINK("http://www.openstreetmap.org/?mlat=30.4588&amp;mlon=47.812&amp;zoom=12#map=12/30.4588/47.812","Maplink1")</f>
        <v>Maplink1</v>
      </c>
      <c r="AU942" s="12" t="str">
        <f>HYPERLINK("https://www.google.iq/maps/search/+30.4588,47.812/@30.4588,47.812,14z?hl=en","Maplink2")</f>
        <v>Maplink2</v>
      </c>
      <c r="AV942" s="12" t="str">
        <f>HYPERLINK("http://www.bing.com/maps/?lvl=14&amp;sty=h&amp;cp=30.4588~47.812&amp;sp=point.30.4588_47.812","Maplink3")</f>
        <v>Maplink3</v>
      </c>
    </row>
    <row r="943" spans="1:48" ht="15" customHeight="1" x14ac:dyDescent="0.25">
      <c r="A943" s="19">
        <v>860</v>
      </c>
      <c r="B943" s="20" t="s">
        <v>12</v>
      </c>
      <c r="C943" s="20" t="s">
        <v>12</v>
      </c>
      <c r="D943" s="20" t="s">
        <v>1858</v>
      </c>
      <c r="E943" s="20" t="s">
        <v>1859</v>
      </c>
      <c r="F943" s="20">
        <v>30.49687441</v>
      </c>
      <c r="G943" s="20">
        <v>47.806475669999998</v>
      </c>
      <c r="H943" s="22">
        <v>21</v>
      </c>
      <c r="I943" s="22">
        <v>126</v>
      </c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>
        <v>19</v>
      </c>
      <c r="W943" s="21"/>
      <c r="X943" s="21">
        <v>2</v>
      </c>
      <c r="Y943" s="21"/>
      <c r="Z943" s="21"/>
      <c r="AA943" s="21"/>
      <c r="AB943" s="21"/>
      <c r="AC943" s="21"/>
      <c r="AD943" s="21"/>
      <c r="AE943" s="21">
        <v>21</v>
      </c>
      <c r="AF943" s="21"/>
      <c r="AG943" s="21"/>
      <c r="AH943" s="21"/>
      <c r="AI943" s="21"/>
      <c r="AJ943" s="21"/>
      <c r="AK943" s="21"/>
      <c r="AL943" s="21"/>
      <c r="AM943" s="21">
        <v>10</v>
      </c>
      <c r="AN943" s="21">
        <v>5</v>
      </c>
      <c r="AO943" s="21">
        <v>6</v>
      </c>
      <c r="AP943" s="21"/>
      <c r="AQ943" s="21"/>
      <c r="AR943" s="21"/>
      <c r="AS943" s="21"/>
      <c r="AT943" s="12" t="str">
        <f>HYPERLINK("http://www.openstreetmap.org/?mlat=30.4969&amp;mlon=47.8065&amp;zoom=12#map=12/30.4969/47.8065","Maplink1")</f>
        <v>Maplink1</v>
      </c>
      <c r="AU943" s="12" t="str">
        <f>HYPERLINK("https://www.google.iq/maps/search/+30.4969,47.8065/@30.4969,47.8065,14z?hl=en","Maplink2")</f>
        <v>Maplink2</v>
      </c>
      <c r="AV943" s="12" t="str">
        <f>HYPERLINK("http://www.bing.com/maps/?lvl=14&amp;sty=h&amp;cp=30.4969~47.8065&amp;sp=point.30.4969_47.8065","Maplink3")</f>
        <v>Maplink3</v>
      </c>
    </row>
    <row r="944" spans="1:48" ht="15" customHeight="1" x14ac:dyDescent="0.25">
      <c r="A944" s="19">
        <v>24479</v>
      </c>
      <c r="B944" s="20" t="s">
        <v>12</v>
      </c>
      <c r="C944" s="20" t="s">
        <v>12</v>
      </c>
      <c r="D944" s="20" t="s">
        <v>120</v>
      </c>
      <c r="E944" s="20" t="s">
        <v>1860</v>
      </c>
      <c r="F944" s="20">
        <v>30.447289049999998</v>
      </c>
      <c r="G944" s="20">
        <v>47.805263480000001</v>
      </c>
      <c r="H944" s="22">
        <v>3</v>
      </c>
      <c r="I944" s="22">
        <v>18</v>
      </c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>
        <v>2</v>
      </c>
      <c r="W944" s="21"/>
      <c r="X944" s="21">
        <v>1</v>
      </c>
      <c r="Y944" s="21"/>
      <c r="Z944" s="21"/>
      <c r="AA944" s="21"/>
      <c r="AB944" s="21"/>
      <c r="AC944" s="21"/>
      <c r="AD944" s="21"/>
      <c r="AE944" s="21"/>
      <c r="AF944" s="21"/>
      <c r="AG944" s="21"/>
      <c r="AH944" s="21">
        <v>3</v>
      </c>
      <c r="AI944" s="21"/>
      <c r="AJ944" s="21"/>
      <c r="AK944" s="21"/>
      <c r="AL944" s="21"/>
      <c r="AM944" s="21">
        <v>1</v>
      </c>
      <c r="AN944" s="21"/>
      <c r="AO944" s="21">
        <v>2</v>
      </c>
      <c r="AP944" s="21"/>
      <c r="AQ944" s="21"/>
      <c r="AR944" s="21"/>
      <c r="AS944" s="21"/>
      <c r="AT944" s="12" t="str">
        <f>HYPERLINK("http://www.openstreetmap.org/?mlat=30.4473&amp;mlon=47.8053&amp;zoom=12#map=12/30.4473/47.8053","Maplink1")</f>
        <v>Maplink1</v>
      </c>
      <c r="AU944" s="12" t="str">
        <f>HYPERLINK("https://www.google.iq/maps/search/+30.4473,47.8053/@30.4473,47.8053,14z?hl=en","Maplink2")</f>
        <v>Maplink2</v>
      </c>
      <c r="AV944" s="12" t="str">
        <f>HYPERLINK("http://www.bing.com/maps/?lvl=14&amp;sty=h&amp;cp=30.4473~47.8053&amp;sp=point.30.4473_47.8053","Maplink3")</f>
        <v>Maplink3</v>
      </c>
    </row>
    <row r="945" spans="1:48" ht="15" customHeight="1" x14ac:dyDescent="0.25">
      <c r="A945" s="19">
        <v>24595</v>
      </c>
      <c r="B945" s="20" t="s">
        <v>12</v>
      </c>
      <c r="C945" s="20" t="s">
        <v>12</v>
      </c>
      <c r="D945" s="20" t="s">
        <v>1861</v>
      </c>
      <c r="E945" s="20" t="s">
        <v>1418</v>
      </c>
      <c r="F945" s="20">
        <v>30.475302460000002</v>
      </c>
      <c r="G945" s="20">
        <v>47.827985990000002</v>
      </c>
      <c r="H945" s="22">
        <v>1</v>
      </c>
      <c r="I945" s="22">
        <v>6</v>
      </c>
      <c r="J945" s="21">
        <v>1</v>
      </c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>
        <v>1</v>
      </c>
      <c r="AF945" s="21"/>
      <c r="AG945" s="21"/>
      <c r="AH945" s="21"/>
      <c r="AI945" s="21"/>
      <c r="AJ945" s="21"/>
      <c r="AK945" s="21"/>
      <c r="AL945" s="21">
        <v>1</v>
      </c>
      <c r="AM945" s="21"/>
      <c r="AN945" s="21"/>
      <c r="AO945" s="21"/>
      <c r="AP945" s="21"/>
      <c r="AQ945" s="21"/>
      <c r="AR945" s="21"/>
      <c r="AS945" s="21"/>
      <c r="AT945" s="12" t="str">
        <f>HYPERLINK("http://www.openstreetmap.org/?mlat=30.4753&amp;mlon=47.828&amp;zoom=12#map=12/30.4753/47.828","Maplink1")</f>
        <v>Maplink1</v>
      </c>
      <c r="AU945" s="12" t="str">
        <f>HYPERLINK("https://www.google.iq/maps/search/+30.4753,47.828/@30.4753,47.828,14z?hl=en","Maplink2")</f>
        <v>Maplink2</v>
      </c>
      <c r="AV945" s="12" t="str">
        <f>HYPERLINK("http://www.bing.com/maps/?lvl=14&amp;sty=h&amp;cp=30.4753~47.828&amp;sp=point.30.4753_47.828","Maplink3")</f>
        <v>Maplink3</v>
      </c>
    </row>
    <row r="946" spans="1:48" ht="15" customHeight="1" x14ac:dyDescent="0.25">
      <c r="A946" s="19">
        <v>1272</v>
      </c>
      <c r="B946" s="20" t="s">
        <v>12</v>
      </c>
      <c r="C946" s="20" t="s">
        <v>12</v>
      </c>
      <c r="D946" s="20" t="s">
        <v>1862</v>
      </c>
      <c r="E946" s="20" t="s">
        <v>1863</v>
      </c>
      <c r="F946" s="20">
        <v>30.513944500000001</v>
      </c>
      <c r="G946" s="20">
        <v>47.773795300000003</v>
      </c>
      <c r="H946" s="22">
        <v>5</v>
      </c>
      <c r="I946" s="22">
        <v>30</v>
      </c>
      <c r="J946" s="21"/>
      <c r="K946" s="21"/>
      <c r="L946" s="21"/>
      <c r="M946" s="21"/>
      <c r="N946" s="21"/>
      <c r="O946" s="21"/>
      <c r="P946" s="21"/>
      <c r="Q946" s="21"/>
      <c r="R946" s="21">
        <v>3</v>
      </c>
      <c r="S946" s="21"/>
      <c r="T946" s="21"/>
      <c r="U946" s="21"/>
      <c r="V946" s="21">
        <v>1</v>
      </c>
      <c r="W946" s="21"/>
      <c r="X946" s="21">
        <v>1</v>
      </c>
      <c r="Y946" s="21"/>
      <c r="Z946" s="21"/>
      <c r="AA946" s="21"/>
      <c r="AB946" s="21"/>
      <c r="AC946" s="21">
        <v>1</v>
      </c>
      <c r="AD946" s="21"/>
      <c r="AE946" s="21">
        <v>1</v>
      </c>
      <c r="AF946" s="21"/>
      <c r="AG946" s="21"/>
      <c r="AH946" s="21">
        <v>3</v>
      </c>
      <c r="AI946" s="21"/>
      <c r="AJ946" s="21"/>
      <c r="AK946" s="21"/>
      <c r="AL946" s="21">
        <v>2</v>
      </c>
      <c r="AM946" s="21"/>
      <c r="AN946" s="21">
        <v>2</v>
      </c>
      <c r="AO946" s="21">
        <v>1</v>
      </c>
      <c r="AP946" s="21"/>
      <c r="AQ946" s="21"/>
      <c r="AR946" s="21"/>
      <c r="AS946" s="21"/>
      <c r="AT946" s="12" t="str">
        <f>HYPERLINK("http://www.openstreetmap.org/?mlat=30.5139&amp;mlon=47.7738&amp;zoom=12#map=12/30.5139/47.7738","Maplink1")</f>
        <v>Maplink1</v>
      </c>
      <c r="AU946" s="12" t="str">
        <f>HYPERLINK("https://www.google.iq/maps/search/+30.5139,47.7738/@30.5139,47.7738,14z?hl=en","Maplink2")</f>
        <v>Maplink2</v>
      </c>
      <c r="AV946" s="12" t="str">
        <f>HYPERLINK("http://www.bing.com/maps/?lvl=14&amp;sty=h&amp;cp=30.5139~47.7738&amp;sp=point.30.5139_47.7738","Maplink3")</f>
        <v>Maplink3</v>
      </c>
    </row>
    <row r="947" spans="1:48" ht="15" customHeight="1" x14ac:dyDescent="0.25">
      <c r="A947" s="19">
        <v>21311</v>
      </c>
      <c r="B947" s="20" t="s">
        <v>12</v>
      </c>
      <c r="C947" s="20" t="s">
        <v>12</v>
      </c>
      <c r="D947" s="20" t="s">
        <v>1864</v>
      </c>
      <c r="E947" s="20" t="s">
        <v>1865</v>
      </c>
      <c r="F947" s="20">
        <v>30.50082531</v>
      </c>
      <c r="G947" s="20">
        <v>47.793666620000003</v>
      </c>
      <c r="H947" s="22">
        <v>3</v>
      </c>
      <c r="I947" s="22">
        <v>18</v>
      </c>
      <c r="J947" s="21">
        <v>2</v>
      </c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>
        <v>1</v>
      </c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>
        <v>3</v>
      </c>
      <c r="AI947" s="21"/>
      <c r="AJ947" s="21"/>
      <c r="AK947" s="21"/>
      <c r="AL947" s="21"/>
      <c r="AM947" s="21"/>
      <c r="AN947" s="21"/>
      <c r="AO947" s="21">
        <v>1</v>
      </c>
      <c r="AP947" s="21">
        <v>1</v>
      </c>
      <c r="AQ947" s="21">
        <v>1</v>
      </c>
      <c r="AR947" s="21"/>
      <c r="AS947" s="21"/>
      <c r="AT947" s="12" t="str">
        <f>HYPERLINK("http://www.openstreetmap.org/?mlat=30.5008&amp;mlon=47.7937&amp;zoom=12#map=12/30.5008/47.7937","Maplink1")</f>
        <v>Maplink1</v>
      </c>
      <c r="AU947" s="12" t="str">
        <f>HYPERLINK("https://www.google.iq/maps/search/+30.5008,47.7937/@30.5008,47.7937,14z?hl=en","Maplink2")</f>
        <v>Maplink2</v>
      </c>
      <c r="AV947" s="12" t="str">
        <f>HYPERLINK("http://www.bing.com/maps/?lvl=14&amp;sty=h&amp;cp=30.5008~47.7937&amp;sp=point.30.5008_47.7937","Maplink3")</f>
        <v>Maplink3</v>
      </c>
    </row>
    <row r="948" spans="1:48" ht="15" customHeight="1" x14ac:dyDescent="0.25">
      <c r="A948" s="19">
        <v>1271</v>
      </c>
      <c r="B948" s="20" t="s">
        <v>12</v>
      </c>
      <c r="C948" s="20" t="s">
        <v>12</v>
      </c>
      <c r="D948" s="20" t="s">
        <v>1866</v>
      </c>
      <c r="E948" s="20" t="s">
        <v>1867</v>
      </c>
      <c r="F948" s="20">
        <v>30.4945898848</v>
      </c>
      <c r="G948" s="20">
        <v>47.784095406500001</v>
      </c>
      <c r="H948" s="22">
        <v>7</v>
      </c>
      <c r="I948" s="22">
        <v>42</v>
      </c>
      <c r="J948" s="21"/>
      <c r="K948" s="21">
        <v>2</v>
      </c>
      <c r="L948" s="21"/>
      <c r="M948" s="21"/>
      <c r="N948" s="21"/>
      <c r="O948" s="21"/>
      <c r="P948" s="21"/>
      <c r="Q948" s="21"/>
      <c r="R948" s="21">
        <v>5</v>
      </c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>
        <v>3</v>
      </c>
      <c r="AD948" s="21"/>
      <c r="AE948" s="21"/>
      <c r="AF948" s="21"/>
      <c r="AG948" s="21"/>
      <c r="AH948" s="21">
        <v>4</v>
      </c>
      <c r="AI948" s="21"/>
      <c r="AJ948" s="21"/>
      <c r="AK948" s="21"/>
      <c r="AL948" s="21"/>
      <c r="AM948" s="21"/>
      <c r="AN948" s="21">
        <v>5</v>
      </c>
      <c r="AO948" s="21">
        <v>2</v>
      </c>
      <c r="AP948" s="21"/>
      <c r="AQ948" s="21"/>
      <c r="AR948" s="21"/>
      <c r="AS948" s="21"/>
      <c r="AT948" s="12" t="str">
        <f>HYPERLINK("http://www.openstreetmap.org/?mlat=30.4946&amp;mlon=47.7841&amp;zoom=12#map=12/30.4946/47.7841","Maplink1")</f>
        <v>Maplink1</v>
      </c>
      <c r="AU948" s="12" t="str">
        <f>HYPERLINK("https://www.google.iq/maps/search/+30.4946,47.7841/@30.4946,47.7841,14z?hl=en","Maplink2")</f>
        <v>Maplink2</v>
      </c>
      <c r="AV948" s="12" t="str">
        <f>HYPERLINK("http://www.bing.com/maps/?lvl=14&amp;sty=h&amp;cp=30.4946~47.7841&amp;sp=point.30.4946_47.7841","Maplink3")</f>
        <v>Maplink3</v>
      </c>
    </row>
    <row r="949" spans="1:48" ht="15" customHeight="1" x14ac:dyDescent="0.25">
      <c r="A949" s="19">
        <v>863</v>
      </c>
      <c r="B949" s="20" t="s">
        <v>12</v>
      </c>
      <c r="C949" s="20" t="s">
        <v>12</v>
      </c>
      <c r="D949" s="20" t="s">
        <v>1868</v>
      </c>
      <c r="E949" s="20" t="s">
        <v>1869</v>
      </c>
      <c r="F949" s="20">
        <v>30.5074722413</v>
      </c>
      <c r="G949" s="20">
        <v>47.769799819200003</v>
      </c>
      <c r="H949" s="22">
        <v>9</v>
      </c>
      <c r="I949" s="22">
        <v>54</v>
      </c>
      <c r="J949" s="21"/>
      <c r="K949" s="21"/>
      <c r="L949" s="21"/>
      <c r="M949" s="21"/>
      <c r="N949" s="21"/>
      <c r="O949" s="21"/>
      <c r="P949" s="21"/>
      <c r="Q949" s="21"/>
      <c r="R949" s="21">
        <v>2</v>
      </c>
      <c r="S949" s="21"/>
      <c r="T949" s="21"/>
      <c r="U949" s="21"/>
      <c r="V949" s="21">
        <v>3</v>
      </c>
      <c r="W949" s="21"/>
      <c r="X949" s="21">
        <v>4</v>
      </c>
      <c r="Y949" s="21"/>
      <c r="Z949" s="21"/>
      <c r="AA949" s="21"/>
      <c r="AB949" s="21"/>
      <c r="AC949" s="21">
        <v>1</v>
      </c>
      <c r="AD949" s="21"/>
      <c r="AE949" s="21"/>
      <c r="AF949" s="21"/>
      <c r="AG949" s="21"/>
      <c r="AH949" s="21">
        <v>8</v>
      </c>
      <c r="AI949" s="21"/>
      <c r="AJ949" s="21"/>
      <c r="AK949" s="21"/>
      <c r="AL949" s="21">
        <v>2</v>
      </c>
      <c r="AM949" s="21"/>
      <c r="AN949" s="21"/>
      <c r="AO949" s="21">
        <v>4</v>
      </c>
      <c r="AP949" s="21"/>
      <c r="AQ949" s="21">
        <v>3</v>
      </c>
      <c r="AR949" s="21"/>
      <c r="AS949" s="21"/>
      <c r="AT949" s="12" t="str">
        <f>HYPERLINK("http://www.openstreetmap.org/?mlat=30.5075&amp;mlon=47.7698&amp;zoom=12#map=12/30.5075/47.7698","Maplink1")</f>
        <v>Maplink1</v>
      </c>
      <c r="AU949" s="12" t="str">
        <f>HYPERLINK("https://www.google.iq/maps/search/+30.5075,47.7698/@30.5075,47.7698,14z?hl=en","Maplink2")</f>
        <v>Maplink2</v>
      </c>
      <c r="AV949" s="12" t="str">
        <f>HYPERLINK("http://www.bing.com/maps/?lvl=14&amp;sty=h&amp;cp=30.5075~47.7698&amp;sp=point.30.5075_47.7698","Maplink3")</f>
        <v>Maplink3</v>
      </c>
    </row>
    <row r="950" spans="1:48" ht="15" customHeight="1" x14ac:dyDescent="0.25">
      <c r="A950" s="19">
        <v>911</v>
      </c>
      <c r="B950" s="20" t="s">
        <v>12</v>
      </c>
      <c r="C950" s="20" t="s">
        <v>12</v>
      </c>
      <c r="D950" s="20" t="s">
        <v>1870</v>
      </c>
      <c r="E950" s="20" t="s">
        <v>1871</v>
      </c>
      <c r="F950" s="20">
        <v>30.51673336</v>
      </c>
      <c r="G950" s="20">
        <v>47.838135549999997</v>
      </c>
      <c r="H950" s="22">
        <v>5</v>
      </c>
      <c r="I950" s="22">
        <v>30</v>
      </c>
      <c r="J950" s="21">
        <v>1</v>
      </c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>
        <v>3</v>
      </c>
      <c r="W950" s="21"/>
      <c r="X950" s="21">
        <v>1</v>
      </c>
      <c r="Y950" s="21"/>
      <c r="Z950" s="21"/>
      <c r="AA950" s="21"/>
      <c r="AB950" s="21"/>
      <c r="AC950" s="21">
        <v>1</v>
      </c>
      <c r="AD950" s="21"/>
      <c r="AE950" s="21"/>
      <c r="AF950" s="21"/>
      <c r="AG950" s="21">
        <v>4</v>
      </c>
      <c r="AH950" s="21"/>
      <c r="AI950" s="21"/>
      <c r="AJ950" s="21"/>
      <c r="AK950" s="21"/>
      <c r="AL950" s="21"/>
      <c r="AM950" s="21"/>
      <c r="AN950" s="21">
        <v>4</v>
      </c>
      <c r="AO950" s="21">
        <v>1</v>
      </c>
      <c r="AP950" s="21"/>
      <c r="AQ950" s="21"/>
      <c r="AR950" s="21"/>
      <c r="AS950" s="21"/>
      <c r="AT950" s="12" t="str">
        <f>HYPERLINK("http://www.openstreetmap.org/?mlat=30.5167&amp;mlon=47.8381&amp;zoom=12#map=12/30.5167/47.8381","Maplink1")</f>
        <v>Maplink1</v>
      </c>
      <c r="AU950" s="12" t="str">
        <f>HYPERLINK("https://www.google.iq/maps/search/+30.5167,47.8381/@30.5167,47.8381,14z?hl=en","Maplink2")</f>
        <v>Maplink2</v>
      </c>
      <c r="AV950" s="12" t="str">
        <f>HYPERLINK("http://www.bing.com/maps/?lvl=14&amp;sty=h&amp;cp=30.5167~47.8381&amp;sp=point.30.5167_47.8381","Maplink3")</f>
        <v>Maplink3</v>
      </c>
    </row>
    <row r="951" spans="1:48" ht="15" customHeight="1" x14ac:dyDescent="0.25">
      <c r="A951" s="19">
        <v>1282</v>
      </c>
      <c r="B951" s="20" t="s">
        <v>12</v>
      </c>
      <c r="C951" s="20" t="s">
        <v>12</v>
      </c>
      <c r="D951" s="20" t="s">
        <v>1872</v>
      </c>
      <c r="E951" s="20" t="s">
        <v>1873</v>
      </c>
      <c r="F951" s="20">
        <v>30.55118646</v>
      </c>
      <c r="G951" s="20">
        <v>47.761424290000001</v>
      </c>
      <c r="H951" s="22">
        <v>6</v>
      </c>
      <c r="I951" s="22">
        <v>36</v>
      </c>
      <c r="J951" s="21">
        <v>2</v>
      </c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>
        <v>2</v>
      </c>
      <c r="W951" s="21"/>
      <c r="X951" s="21">
        <v>2</v>
      </c>
      <c r="Y951" s="21"/>
      <c r="Z951" s="21"/>
      <c r="AA951" s="21"/>
      <c r="AB951" s="21"/>
      <c r="AC951" s="21"/>
      <c r="AD951" s="21"/>
      <c r="AE951" s="21">
        <v>6</v>
      </c>
      <c r="AF951" s="21"/>
      <c r="AG951" s="21"/>
      <c r="AH951" s="21"/>
      <c r="AI951" s="21"/>
      <c r="AJ951" s="21"/>
      <c r="AK951" s="21"/>
      <c r="AL951" s="21"/>
      <c r="AM951" s="21"/>
      <c r="AN951" s="21">
        <v>2</v>
      </c>
      <c r="AO951" s="21">
        <v>3</v>
      </c>
      <c r="AP951" s="21"/>
      <c r="AQ951" s="21"/>
      <c r="AR951" s="21">
        <v>1</v>
      </c>
      <c r="AS951" s="21"/>
      <c r="AT951" s="12" t="str">
        <f>HYPERLINK("http://www.openstreetmap.org/?mlat=30.5512&amp;mlon=47.7614&amp;zoom=12#map=12/30.5512/47.7614","Maplink1")</f>
        <v>Maplink1</v>
      </c>
      <c r="AU951" s="12" t="str">
        <f>HYPERLINK("https://www.google.iq/maps/search/+30.5512,47.7614/@30.5512,47.7614,14z?hl=en","Maplink2")</f>
        <v>Maplink2</v>
      </c>
      <c r="AV951" s="12" t="str">
        <f>HYPERLINK("http://www.bing.com/maps/?lvl=14&amp;sty=h&amp;cp=30.5512~47.7614&amp;sp=point.30.5512_47.7614","Maplink3")</f>
        <v>Maplink3</v>
      </c>
    </row>
    <row r="952" spans="1:48" ht="15" customHeight="1" x14ac:dyDescent="0.25">
      <c r="A952" s="19">
        <v>393</v>
      </c>
      <c r="B952" s="20" t="s">
        <v>12</v>
      </c>
      <c r="C952" s="20" t="s">
        <v>12</v>
      </c>
      <c r="D952" s="20" t="s">
        <v>1874</v>
      </c>
      <c r="E952" s="20" t="s">
        <v>1875</v>
      </c>
      <c r="F952" s="20">
        <v>30.574246550000002</v>
      </c>
      <c r="G952" s="20">
        <v>47.744224539999998</v>
      </c>
      <c r="H952" s="22">
        <v>1</v>
      </c>
      <c r="I952" s="22">
        <v>6</v>
      </c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>
        <v>1</v>
      </c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>
        <v>1</v>
      </c>
      <c r="AI952" s="21"/>
      <c r="AJ952" s="21"/>
      <c r="AK952" s="21"/>
      <c r="AL952" s="21"/>
      <c r="AM952" s="21"/>
      <c r="AN952" s="21"/>
      <c r="AO952" s="21">
        <v>1</v>
      </c>
      <c r="AP952" s="21"/>
      <c r="AQ952" s="21"/>
      <c r="AR952" s="21"/>
      <c r="AS952" s="21"/>
      <c r="AT952" s="12" t="str">
        <f>HYPERLINK("http://www.openstreetmap.org/?mlat=30.5742&amp;mlon=47.7442&amp;zoom=12#map=12/30.5742/47.7442","Maplink1")</f>
        <v>Maplink1</v>
      </c>
      <c r="AU952" s="12" t="str">
        <f>HYPERLINK("https://www.google.iq/maps/search/+30.5742,47.7442/@30.5742,47.7442,14z?hl=en","Maplink2")</f>
        <v>Maplink2</v>
      </c>
      <c r="AV952" s="12" t="str">
        <f>HYPERLINK("http://www.bing.com/maps/?lvl=14&amp;sty=h&amp;cp=30.5742~47.7442&amp;sp=point.30.5742_47.7442","Maplink3")</f>
        <v>Maplink3</v>
      </c>
    </row>
    <row r="953" spans="1:48" ht="15" customHeight="1" x14ac:dyDescent="0.25">
      <c r="A953" s="19">
        <v>29482</v>
      </c>
      <c r="B953" s="20" t="s">
        <v>12</v>
      </c>
      <c r="C953" s="20" t="s">
        <v>12</v>
      </c>
      <c r="D953" s="20" t="s">
        <v>1876</v>
      </c>
      <c r="E953" s="20" t="s">
        <v>1877</v>
      </c>
      <c r="F953" s="20">
        <v>30.583528876300001</v>
      </c>
      <c r="G953" s="20">
        <v>47.723462982100003</v>
      </c>
      <c r="H953" s="22">
        <v>2</v>
      </c>
      <c r="I953" s="22">
        <v>12</v>
      </c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>
        <v>2</v>
      </c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>
        <v>2</v>
      </c>
      <c r="AI953" s="21"/>
      <c r="AJ953" s="21"/>
      <c r="AK953" s="21"/>
      <c r="AL953" s="21"/>
      <c r="AM953" s="21"/>
      <c r="AN953" s="21">
        <v>1</v>
      </c>
      <c r="AO953" s="21"/>
      <c r="AP953" s="21"/>
      <c r="AQ953" s="21">
        <v>1</v>
      </c>
      <c r="AR953" s="21"/>
      <c r="AS953" s="21"/>
      <c r="AT953" s="12" t="str">
        <f>HYPERLINK("http://www.openstreetmap.org/?mlat=30.5835&amp;mlon=47.7235&amp;zoom=12#map=12/30.5835/47.7235","Maplink1")</f>
        <v>Maplink1</v>
      </c>
      <c r="AU953" s="12" t="str">
        <f>HYPERLINK("https://www.google.iq/maps/search/+30.5835,47.7235/@30.5835,47.7235,14z?hl=en","Maplink2")</f>
        <v>Maplink2</v>
      </c>
      <c r="AV953" s="12" t="str">
        <f>HYPERLINK("http://www.bing.com/maps/?lvl=14&amp;sty=h&amp;cp=30.5835~47.7235&amp;sp=point.30.5835_47.7235","Maplink3")</f>
        <v>Maplink3</v>
      </c>
    </row>
    <row r="954" spans="1:48" ht="15" customHeight="1" x14ac:dyDescent="0.25">
      <c r="A954" s="19">
        <v>893</v>
      </c>
      <c r="B954" s="20" t="s">
        <v>12</v>
      </c>
      <c r="C954" s="20" t="s">
        <v>12</v>
      </c>
      <c r="D954" s="20" t="s">
        <v>1878</v>
      </c>
      <c r="E954" s="20" t="s">
        <v>1879</v>
      </c>
      <c r="F954" s="20">
        <v>30.511761549999999</v>
      </c>
      <c r="G954" s="20">
        <v>47.815780760000003</v>
      </c>
      <c r="H954" s="22">
        <v>10</v>
      </c>
      <c r="I954" s="22">
        <v>60</v>
      </c>
      <c r="J954" s="21"/>
      <c r="K954" s="21"/>
      <c r="L954" s="21"/>
      <c r="M954" s="21"/>
      <c r="N954" s="21"/>
      <c r="O954" s="21">
        <v>3</v>
      </c>
      <c r="P954" s="21"/>
      <c r="Q954" s="21"/>
      <c r="R954" s="21"/>
      <c r="S954" s="21"/>
      <c r="T954" s="21"/>
      <c r="U954" s="21"/>
      <c r="V954" s="21">
        <v>3</v>
      </c>
      <c r="W954" s="21"/>
      <c r="X954" s="21">
        <v>4</v>
      </c>
      <c r="Y954" s="21"/>
      <c r="Z954" s="21"/>
      <c r="AA954" s="21"/>
      <c r="AB954" s="21"/>
      <c r="AC954" s="21"/>
      <c r="AD954" s="21"/>
      <c r="AE954" s="21"/>
      <c r="AF954" s="21"/>
      <c r="AG954" s="21"/>
      <c r="AH954" s="21">
        <v>10</v>
      </c>
      <c r="AI954" s="21"/>
      <c r="AJ954" s="21"/>
      <c r="AK954" s="21"/>
      <c r="AL954" s="21">
        <v>5</v>
      </c>
      <c r="AM954" s="21">
        <v>4</v>
      </c>
      <c r="AN954" s="21"/>
      <c r="AO954" s="21">
        <v>1</v>
      </c>
      <c r="AP954" s="21"/>
      <c r="AQ954" s="21"/>
      <c r="AR954" s="21"/>
      <c r="AS954" s="21"/>
      <c r="AT954" s="12" t="str">
        <f>HYPERLINK("http://www.openstreetmap.org/?mlat=30.5118&amp;mlon=47.8158&amp;zoom=12#map=12/30.5118/47.8158","Maplink1")</f>
        <v>Maplink1</v>
      </c>
      <c r="AU954" s="12" t="str">
        <f>HYPERLINK("https://www.google.iq/maps/search/+30.5118,47.8158/@30.5118,47.8158,14z?hl=en","Maplink2")</f>
        <v>Maplink2</v>
      </c>
      <c r="AV954" s="12" t="str">
        <f>HYPERLINK("http://www.bing.com/maps/?lvl=14&amp;sty=h&amp;cp=30.5118~47.8158&amp;sp=point.30.5118_47.8158","Maplink3")</f>
        <v>Maplink3</v>
      </c>
    </row>
    <row r="955" spans="1:48" ht="15" customHeight="1" x14ac:dyDescent="0.25">
      <c r="A955" s="19">
        <v>27328</v>
      </c>
      <c r="B955" s="20" t="s">
        <v>12</v>
      </c>
      <c r="C955" s="20" t="s">
        <v>12</v>
      </c>
      <c r="D955" s="20" t="s">
        <v>1880</v>
      </c>
      <c r="E955" s="20" t="s">
        <v>1881</v>
      </c>
      <c r="F955" s="20">
        <v>30.503844888900002</v>
      </c>
      <c r="G955" s="20">
        <v>47.803036747500002</v>
      </c>
      <c r="H955" s="22">
        <v>5</v>
      </c>
      <c r="I955" s="22">
        <v>30</v>
      </c>
      <c r="J955" s="21">
        <v>2</v>
      </c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>
        <v>3</v>
      </c>
      <c r="W955" s="21"/>
      <c r="X955" s="21"/>
      <c r="Y955" s="21"/>
      <c r="Z955" s="21"/>
      <c r="AA955" s="21"/>
      <c r="AB955" s="21"/>
      <c r="AC955" s="21">
        <v>2</v>
      </c>
      <c r="AD955" s="21"/>
      <c r="AE955" s="21"/>
      <c r="AF955" s="21"/>
      <c r="AG955" s="21"/>
      <c r="AH955" s="21">
        <v>3</v>
      </c>
      <c r="AI955" s="21"/>
      <c r="AJ955" s="21"/>
      <c r="AK955" s="21"/>
      <c r="AL955" s="21"/>
      <c r="AM955" s="21">
        <v>2</v>
      </c>
      <c r="AN955" s="21"/>
      <c r="AO955" s="21">
        <v>3</v>
      </c>
      <c r="AP955" s="21"/>
      <c r="AQ955" s="21"/>
      <c r="AR955" s="21"/>
      <c r="AS955" s="21"/>
      <c r="AT955" s="12" t="str">
        <f>HYPERLINK("http://www.openstreetmap.org/?mlat=30.5038&amp;mlon=47.803&amp;zoom=12#map=12/30.5038/47.803","Maplink1")</f>
        <v>Maplink1</v>
      </c>
      <c r="AU955" s="12" t="str">
        <f>HYPERLINK("https://www.google.iq/maps/search/+30.5038,47.803/@30.5038,47.803,14z?hl=en","Maplink2")</f>
        <v>Maplink2</v>
      </c>
      <c r="AV955" s="12" t="str">
        <f>HYPERLINK("http://www.bing.com/maps/?lvl=14&amp;sty=h&amp;cp=30.5038~47.803&amp;sp=point.30.5038_47.803","Maplink3")</f>
        <v>Maplink3</v>
      </c>
    </row>
    <row r="956" spans="1:48" ht="15" customHeight="1" x14ac:dyDescent="0.25">
      <c r="A956" s="19">
        <v>21097</v>
      </c>
      <c r="B956" s="20" t="s">
        <v>12</v>
      </c>
      <c r="C956" s="20" t="s">
        <v>12</v>
      </c>
      <c r="D956" s="20" t="s">
        <v>1882</v>
      </c>
      <c r="E956" s="20" t="s">
        <v>1883</v>
      </c>
      <c r="F956" s="20">
        <v>30.490351660000002</v>
      </c>
      <c r="G956" s="20">
        <v>47.83677307</v>
      </c>
      <c r="H956" s="22">
        <v>15</v>
      </c>
      <c r="I956" s="22">
        <v>90</v>
      </c>
      <c r="J956" s="21">
        <v>1</v>
      </c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>
        <v>5</v>
      </c>
      <c r="W956" s="21"/>
      <c r="X956" s="21">
        <v>9</v>
      </c>
      <c r="Y956" s="21"/>
      <c r="Z956" s="21"/>
      <c r="AA956" s="21"/>
      <c r="AB956" s="21"/>
      <c r="AC956" s="21">
        <v>8</v>
      </c>
      <c r="AD956" s="21"/>
      <c r="AE956" s="21"/>
      <c r="AF956" s="21"/>
      <c r="AG956" s="21"/>
      <c r="AH956" s="21">
        <v>7</v>
      </c>
      <c r="AI956" s="21"/>
      <c r="AJ956" s="21"/>
      <c r="AK956" s="21"/>
      <c r="AL956" s="21"/>
      <c r="AM956" s="21">
        <v>4</v>
      </c>
      <c r="AN956" s="21">
        <v>1</v>
      </c>
      <c r="AO956" s="21">
        <v>6</v>
      </c>
      <c r="AP956" s="21"/>
      <c r="AQ956" s="21"/>
      <c r="AR956" s="21">
        <v>3</v>
      </c>
      <c r="AS956" s="21">
        <v>1</v>
      </c>
      <c r="AT956" s="12" t="str">
        <f>HYPERLINK("http://www.openstreetmap.org/?mlat=30.4904&amp;mlon=47.8368&amp;zoom=12#map=12/30.4904/47.8368","Maplink1")</f>
        <v>Maplink1</v>
      </c>
      <c r="AU956" s="12" t="str">
        <f>HYPERLINK("https://www.google.iq/maps/search/+30.4904,47.8368/@30.4904,47.8368,14z?hl=en","Maplink2")</f>
        <v>Maplink2</v>
      </c>
      <c r="AV956" s="12" t="str">
        <f>HYPERLINK("http://www.bing.com/maps/?lvl=14&amp;sty=h&amp;cp=30.4904~47.8368&amp;sp=point.30.4904_47.8368","Maplink3")</f>
        <v>Maplink3</v>
      </c>
    </row>
    <row r="957" spans="1:48" ht="15" customHeight="1" x14ac:dyDescent="0.25">
      <c r="A957" s="19">
        <v>891</v>
      </c>
      <c r="B957" s="20" t="s">
        <v>12</v>
      </c>
      <c r="C957" s="20" t="s">
        <v>12</v>
      </c>
      <c r="D957" s="20" t="s">
        <v>1884</v>
      </c>
      <c r="E957" s="20" t="s">
        <v>1885</v>
      </c>
      <c r="F957" s="20">
        <v>30.507573409999999</v>
      </c>
      <c r="G957" s="20">
        <v>47.843153790000002</v>
      </c>
      <c r="H957" s="22">
        <v>13</v>
      </c>
      <c r="I957" s="22">
        <v>78</v>
      </c>
      <c r="J957" s="21">
        <v>4</v>
      </c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>
        <v>4</v>
      </c>
      <c r="W957" s="21"/>
      <c r="X957" s="21">
        <v>5</v>
      </c>
      <c r="Y957" s="21"/>
      <c r="Z957" s="21"/>
      <c r="AA957" s="21"/>
      <c r="AB957" s="21"/>
      <c r="AC957" s="21">
        <v>3</v>
      </c>
      <c r="AD957" s="21"/>
      <c r="AE957" s="21">
        <v>2</v>
      </c>
      <c r="AF957" s="21"/>
      <c r="AG957" s="21"/>
      <c r="AH957" s="21">
        <v>8</v>
      </c>
      <c r="AI957" s="21"/>
      <c r="AJ957" s="21"/>
      <c r="AK957" s="21"/>
      <c r="AL957" s="21"/>
      <c r="AM957" s="21">
        <v>2</v>
      </c>
      <c r="AN957" s="21"/>
      <c r="AO957" s="21">
        <v>9</v>
      </c>
      <c r="AP957" s="21">
        <v>2</v>
      </c>
      <c r="AQ957" s="21"/>
      <c r="AR957" s="21"/>
      <c r="AS957" s="21"/>
      <c r="AT957" s="12" t="str">
        <f>HYPERLINK("http://www.openstreetmap.org/?mlat=30.5076&amp;mlon=47.8432&amp;zoom=12#map=12/30.5076/47.8432","Maplink1")</f>
        <v>Maplink1</v>
      </c>
      <c r="AU957" s="12" t="str">
        <f>HYPERLINK("https://www.google.iq/maps/search/+30.5076,47.8432/@30.5076,47.8432,14z?hl=en","Maplink2")</f>
        <v>Maplink2</v>
      </c>
      <c r="AV957" s="12" t="str">
        <f>HYPERLINK("http://www.bing.com/maps/?lvl=14&amp;sty=h&amp;cp=30.5076~47.8432&amp;sp=point.30.5076_47.8432","Maplink3")</f>
        <v>Maplink3</v>
      </c>
    </row>
    <row r="958" spans="1:48" ht="15" customHeight="1" x14ac:dyDescent="0.25">
      <c r="A958" s="19">
        <v>334</v>
      </c>
      <c r="B958" s="20" t="s">
        <v>12</v>
      </c>
      <c r="C958" s="20" t="s">
        <v>12</v>
      </c>
      <c r="D958" s="20" t="s">
        <v>1886</v>
      </c>
      <c r="E958" s="20" t="s">
        <v>1887</v>
      </c>
      <c r="F958" s="20">
        <v>30.581565090000002</v>
      </c>
      <c r="G958" s="20">
        <v>47.765060210000001</v>
      </c>
      <c r="H958" s="22">
        <v>2</v>
      </c>
      <c r="I958" s="22">
        <v>12</v>
      </c>
      <c r="J958" s="21">
        <v>1</v>
      </c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>
        <v>1</v>
      </c>
      <c r="Y958" s="21"/>
      <c r="Z958" s="21"/>
      <c r="AA958" s="21"/>
      <c r="AB958" s="21"/>
      <c r="AC958" s="21">
        <v>1</v>
      </c>
      <c r="AD958" s="21"/>
      <c r="AE958" s="21"/>
      <c r="AF958" s="21"/>
      <c r="AG958" s="21"/>
      <c r="AH958" s="21">
        <v>1</v>
      </c>
      <c r="AI958" s="21"/>
      <c r="AJ958" s="21"/>
      <c r="AK958" s="21"/>
      <c r="AL958" s="21"/>
      <c r="AM958" s="21"/>
      <c r="AN958" s="21">
        <v>1</v>
      </c>
      <c r="AO958" s="21">
        <v>1</v>
      </c>
      <c r="AP958" s="21"/>
      <c r="AQ958" s="21"/>
      <c r="AR958" s="21"/>
      <c r="AS958" s="21"/>
      <c r="AT958" s="12" t="str">
        <f>HYPERLINK("http://www.openstreetmap.org/?mlat=30.5816&amp;mlon=47.7651&amp;zoom=12#map=12/30.5816/47.7651","Maplink1")</f>
        <v>Maplink1</v>
      </c>
      <c r="AU958" s="12" t="str">
        <f>HYPERLINK("https://www.google.iq/maps/search/+30.5816,47.7651/@30.5816,47.7651,14z?hl=en","Maplink2")</f>
        <v>Maplink2</v>
      </c>
      <c r="AV958" s="12" t="str">
        <f>HYPERLINK("http://www.bing.com/maps/?lvl=14&amp;sty=h&amp;cp=30.5816~47.7651&amp;sp=point.30.5816_47.7651","Maplink3")</f>
        <v>Maplink3</v>
      </c>
    </row>
    <row r="959" spans="1:48" ht="15" customHeight="1" x14ac:dyDescent="0.25">
      <c r="A959" s="19">
        <v>29508</v>
      </c>
      <c r="B959" s="20" t="s">
        <v>12</v>
      </c>
      <c r="C959" s="20" t="s">
        <v>12</v>
      </c>
      <c r="D959" s="20" t="s">
        <v>1888</v>
      </c>
      <c r="E959" s="20" t="s">
        <v>1889</v>
      </c>
      <c r="F959" s="20">
        <v>30.479997789999999</v>
      </c>
      <c r="G959" s="20">
        <v>47.795824119999999</v>
      </c>
      <c r="H959" s="22">
        <v>4</v>
      </c>
      <c r="I959" s="22">
        <v>24</v>
      </c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>
        <v>1</v>
      </c>
      <c r="W959" s="21"/>
      <c r="X959" s="21">
        <v>3</v>
      </c>
      <c r="Y959" s="21"/>
      <c r="Z959" s="21"/>
      <c r="AA959" s="21"/>
      <c r="AB959" s="21"/>
      <c r="AC959" s="21"/>
      <c r="AD959" s="21"/>
      <c r="AE959" s="21"/>
      <c r="AF959" s="21"/>
      <c r="AG959" s="21"/>
      <c r="AH959" s="21">
        <v>4</v>
      </c>
      <c r="AI959" s="21"/>
      <c r="AJ959" s="21"/>
      <c r="AK959" s="21"/>
      <c r="AL959" s="21"/>
      <c r="AM959" s="21">
        <v>3</v>
      </c>
      <c r="AN959" s="21"/>
      <c r="AO959" s="21">
        <v>1</v>
      </c>
      <c r="AP959" s="21"/>
      <c r="AQ959" s="21"/>
      <c r="AR959" s="21"/>
      <c r="AS959" s="21"/>
      <c r="AT959" s="12" t="str">
        <f>HYPERLINK("http://www.openstreetmap.org/?mlat=30.48&amp;mlon=47.7958&amp;zoom=12#map=12/30.48/47.7958","Maplink1")</f>
        <v>Maplink1</v>
      </c>
      <c r="AU959" s="12" t="str">
        <f>HYPERLINK("https://www.google.iq/maps/search/+30.48,47.7958/@30.48,47.7958,14z?hl=en","Maplink2")</f>
        <v>Maplink2</v>
      </c>
      <c r="AV959" s="12" t="str">
        <f>HYPERLINK("http://www.bing.com/maps/?lvl=14&amp;sty=h&amp;cp=30.48~47.7958&amp;sp=point.30.48_47.7958","Maplink3")</f>
        <v>Maplink3</v>
      </c>
    </row>
    <row r="960" spans="1:48" ht="15" customHeight="1" x14ac:dyDescent="0.25">
      <c r="A960" s="19">
        <v>23974</v>
      </c>
      <c r="B960" s="20" t="s">
        <v>12</v>
      </c>
      <c r="C960" s="20" t="s">
        <v>12</v>
      </c>
      <c r="D960" s="20" t="s">
        <v>1890</v>
      </c>
      <c r="E960" s="20" t="s">
        <v>1891</v>
      </c>
      <c r="F960" s="20">
        <v>30.450644069399999</v>
      </c>
      <c r="G960" s="20">
        <v>47.7993583493</v>
      </c>
      <c r="H960" s="22">
        <v>5</v>
      </c>
      <c r="I960" s="22">
        <v>30</v>
      </c>
      <c r="J960" s="21">
        <v>2</v>
      </c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>
        <v>1</v>
      </c>
      <c r="W960" s="21"/>
      <c r="X960" s="21">
        <v>2</v>
      </c>
      <c r="Y960" s="21"/>
      <c r="Z960" s="21"/>
      <c r="AA960" s="21"/>
      <c r="AB960" s="21"/>
      <c r="AC960" s="21">
        <v>1</v>
      </c>
      <c r="AD960" s="21"/>
      <c r="AE960" s="21"/>
      <c r="AF960" s="21"/>
      <c r="AG960" s="21"/>
      <c r="AH960" s="21">
        <v>4</v>
      </c>
      <c r="AI960" s="21"/>
      <c r="AJ960" s="21"/>
      <c r="AK960" s="21"/>
      <c r="AL960" s="21"/>
      <c r="AM960" s="21">
        <v>2</v>
      </c>
      <c r="AN960" s="21">
        <v>2</v>
      </c>
      <c r="AO960" s="21"/>
      <c r="AP960" s="21">
        <v>1</v>
      </c>
      <c r="AQ960" s="21"/>
      <c r="AR960" s="21"/>
      <c r="AS960" s="21"/>
      <c r="AT960" s="12" t="str">
        <f>HYPERLINK("http://www.openstreetmap.org/?mlat=30.4506&amp;mlon=47.7994&amp;zoom=12#map=12/30.4506/47.7994","Maplink1")</f>
        <v>Maplink1</v>
      </c>
      <c r="AU960" s="12" t="str">
        <f>HYPERLINK("https://www.google.iq/maps/search/+30.4506,47.7994/@30.4506,47.7994,14z?hl=en","Maplink2")</f>
        <v>Maplink2</v>
      </c>
      <c r="AV960" s="12" t="str">
        <f>HYPERLINK("http://www.bing.com/maps/?lvl=14&amp;sty=h&amp;cp=30.4506~47.7994&amp;sp=point.30.4506_47.7994","Maplink3")</f>
        <v>Maplink3</v>
      </c>
    </row>
    <row r="961" spans="1:48" ht="15" customHeight="1" x14ac:dyDescent="0.25">
      <c r="A961" s="19">
        <v>889</v>
      </c>
      <c r="B961" s="20" t="s">
        <v>12</v>
      </c>
      <c r="C961" s="20" t="s">
        <v>12</v>
      </c>
      <c r="D961" s="20" t="s">
        <v>1892</v>
      </c>
      <c r="E961" s="20" t="s">
        <v>1893</v>
      </c>
      <c r="F961" s="20">
        <v>30.504831100000001</v>
      </c>
      <c r="G961" s="20">
        <v>47.81260863</v>
      </c>
      <c r="H961" s="22">
        <v>10</v>
      </c>
      <c r="I961" s="22">
        <v>60</v>
      </c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>
        <v>5</v>
      </c>
      <c r="W961" s="21"/>
      <c r="X961" s="21">
        <v>5</v>
      </c>
      <c r="Y961" s="21"/>
      <c r="Z961" s="21"/>
      <c r="AA961" s="21"/>
      <c r="AB961" s="21"/>
      <c r="AC961" s="21">
        <v>4</v>
      </c>
      <c r="AD961" s="21"/>
      <c r="AE961" s="21"/>
      <c r="AF961" s="21"/>
      <c r="AG961" s="21"/>
      <c r="AH961" s="21">
        <v>6</v>
      </c>
      <c r="AI961" s="21"/>
      <c r="AJ961" s="21"/>
      <c r="AK961" s="21"/>
      <c r="AL961" s="21">
        <v>2</v>
      </c>
      <c r="AM961" s="21">
        <v>1</v>
      </c>
      <c r="AN961" s="21">
        <v>4</v>
      </c>
      <c r="AO961" s="21"/>
      <c r="AP961" s="21">
        <v>1</v>
      </c>
      <c r="AQ961" s="21">
        <v>1</v>
      </c>
      <c r="AR961" s="21">
        <v>1</v>
      </c>
      <c r="AS961" s="21"/>
      <c r="AT961" s="12" t="str">
        <f>HYPERLINK("http://www.openstreetmap.org/?mlat=30.5048&amp;mlon=47.8126&amp;zoom=12#map=12/30.5048/47.8126","Maplink1")</f>
        <v>Maplink1</v>
      </c>
      <c r="AU961" s="12" t="str">
        <f>HYPERLINK("https://www.google.iq/maps/search/+30.5048,47.8126/@30.5048,47.8126,14z?hl=en","Maplink2")</f>
        <v>Maplink2</v>
      </c>
      <c r="AV961" s="12" t="str">
        <f>HYPERLINK("http://www.bing.com/maps/?lvl=14&amp;sty=h&amp;cp=30.5048~47.8126&amp;sp=point.30.5048_47.8126","Maplink3")</f>
        <v>Maplink3</v>
      </c>
    </row>
    <row r="962" spans="1:48" ht="15" customHeight="1" x14ac:dyDescent="0.25">
      <c r="A962" s="19">
        <v>1025</v>
      </c>
      <c r="B962" s="20" t="s">
        <v>12</v>
      </c>
      <c r="C962" s="20" t="s">
        <v>12</v>
      </c>
      <c r="D962" s="20" t="s">
        <v>1894</v>
      </c>
      <c r="E962" s="20" t="s">
        <v>1895</v>
      </c>
      <c r="F962" s="20">
        <v>30.57454779</v>
      </c>
      <c r="G962" s="20">
        <v>47.769838710000002</v>
      </c>
      <c r="H962" s="22">
        <v>2</v>
      </c>
      <c r="I962" s="22">
        <v>12</v>
      </c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>
        <v>1</v>
      </c>
      <c r="W962" s="21"/>
      <c r="X962" s="21">
        <v>1</v>
      </c>
      <c r="Y962" s="21"/>
      <c r="Z962" s="21"/>
      <c r="AA962" s="21"/>
      <c r="AB962" s="21"/>
      <c r="AC962" s="21">
        <v>2</v>
      </c>
      <c r="AD962" s="21"/>
      <c r="AE962" s="21"/>
      <c r="AF962" s="21"/>
      <c r="AG962" s="21"/>
      <c r="AH962" s="21"/>
      <c r="AI962" s="21"/>
      <c r="AJ962" s="21"/>
      <c r="AK962" s="21"/>
      <c r="AL962" s="21"/>
      <c r="AM962" s="21">
        <v>1</v>
      </c>
      <c r="AN962" s="21">
        <v>1</v>
      </c>
      <c r="AO962" s="21"/>
      <c r="AP962" s="21"/>
      <c r="AQ962" s="21"/>
      <c r="AR962" s="21"/>
      <c r="AS962" s="21"/>
      <c r="AT962" s="12" t="str">
        <f>HYPERLINK("http://www.openstreetmap.org/?mlat=30.5745&amp;mlon=47.7698&amp;zoom=12#map=12/30.5745/47.7698","Maplink1")</f>
        <v>Maplink1</v>
      </c>
      <c r="AU962" s="12" t="str">
        <f>HYPERLINK("https://www.google.iq/maps/search/+30.5745,47.7698/@30.5745,47.7698,14z?hl=en","Maplink2")</f>
        <v>Maplink2</v>
      </c>
      <c r="AV962" s="12" t="str">
        <f>HYPERLINK("http://www.bing.com/maps/?lvl=14&amp;sty=h&amp;cp=30.5745~47.7698&amp;sp=point.30.5745_47.7698","Maplink3")</f>
        <v>Maplink3</v>
      </c>
    </row>
    <row r="963" spans="1:48" ht="15" customHeight="1" x14ac:dyDescent="0.25">
      <c r="A963" s="19">
        <v>899</v>
      </c>
      <c r="B963" s="20" t="s">
        <v>12</v>
      </c>
      <c r="C963" s="20" t="s">
        <v>12</v>
      </c>
      <c r="D963" s="20" t="s">
        <v>1896</v>
      </c>
      <c r="E963" s="20" t="s">
        <v>1897</v>
      </c>
      <c r="F963" s="20">
        <v>30.506342440000001</v>
      </c>
      <c r="G963" s="20">
        <v>47.800937670000003</v>
      </c>
      <c r="H963" s="22">
        <v>1</v>
      </c>
      <c r="I963" s="22">
        <v>6</v>
      </c>
      <c r="J963" s="21">
        <v>1</v>
      </c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>
        <v>1</v>
      </c>
      <c r="AI963" s="21"/>
      <c r="AJ963" s="21"/>
      <c r="AK963" s="21"/>
      <c r="AL963" s="21"/>
      <c r="AM963" s="21"/>
      <c r="AN963" s="21">
        <v>1</v>
      </c>
      <c r="AO963" s="21"/>
      <c r="AP963" s="21"/>
      <c r="AQ963" s="21"/>
      <c r="AR963" s="21"/>
      <c r="AS963" s="21"/>
      <c r="AT963" s="12" t="str">
        <f>HYPERLINK("http://www.openstreetmap.org/?mlat=30.5063&amp;mlon=47.8009&amp;zoom=12#map=12/30.5063/47.8009","Maplink1")</f>
        <v>Maplink1</v>
      </c>
      <c r="AU963" s="12" t="str">
        <f>HYPERLINK("https://www.google.iq/maps/search/+30.5063,47.8009/@30.5063,47.8009,14z?hl=en","Maplink2")</f>
        <v>Maplink2</v>
      </c>
      <c r="AV963" s="12" t="str">
        <f>HYPERLINK("http://www.bing.com/maps/?lvl=14&amp;sty=h&amp;cp=30.5063~47.8009&amp;sp=point.30.5063_47.8009","Maplink3")</f>
        <v>Maplink3</v>
      </c>
    </row>
    <row r="964" spans="1:48" ht="15" customHeight="1" x14ac:dyDescent="0.25">
      <c r="A964" s="19">
        <v>31724</v>
      </c>
      <c r="B964" s="20" t="s">
        <v>12</v>
      </c>
      <c r="C964" s="20" t="s">
        <v>12</v>
      </c>
      <c r="D964" s="20" t="s">
        <v>1898</v>
      </c>
      <c r="E964" s="20" t="s">
        <v>1899</v>
      </c>
      <c r="F964" s="20">
        <v>30.549444000000001</v>
      </c>
      <c r="G964" s="20">
        <v>47.786110999999998</v>
      </c>
      <c r="H964" s="22">
        <v>4</v>
      </c>
      <c r="I964" s="22">
        <v>24</v>
      </c>
      <c r="J964" s="21"/>
      <c r="K964" s="21"/>
      <c r="L964" s="21"/>
      <c r="M964" s="21"/>
      <c r="N964" s="21"/>
      <c r="O964" s="21"/>
      <c r="P964" s="21"/>
      <c r="Q964" s="21"/>
      <c r="R964" s="21">
        <v>4</v>
      </c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>
        <v>4</v>
      </c>
      <c r="AF964" s="21"/>
      <c r="AG964" s="21"/>
      <c r="AH964" s="21"/>
      <c r="AI964" s="21"/>
      <c r="AJ964" s="21"/>
      <c r="AK964" s="21"/>
      <c r="AL964" s="21"/>
      <c r="AM964" s="21"/>
      <c r="AN964" s="21">
        <v>4</v>
      </c>
      <c r="AO964" s="21"/>
      <c r="AP964" s="21"/>
      <c r="AQ964" s="21"/>
      <c r="AR964" s="21"/>
      <c r="AS964" s="21"/>
      <c r="AT964" s="12" t="str">
        <f>HYPERLINK("http://www.openstreetmap.org/?mlat=30.5494&amp;mlon=47.7861&amp;zoom=12#map=12/30.5494/47.7861","Maplink1")</f>
        <v>Maplink1</v>
      </c>
      <c r="AU964" s="12" t="str">
        <f>HYPERLINK("https://www.google.iq/maps/search/+30.5494,47.7861/@30.5494,47.7861,14z?hl=en","Maplink2")</f>
        <v>Maplink2</v>
      </c>
      <c r="AV964" s="12" t="str">
        <f>HYPERLINK("http://www.bing.com/maps/?lvl=14&amp;sty=h&amp;cp=30.5494~47.7861&amp;sp=point.30.5494_47.7861","Maplink3")</f>
        <v>Maplink3</v>
      </c>
    </row>
    <row r="965" spans="1:48" ht="15" customHeight="1" x14ac:dyDescent="0.25">
      <c r="A965" s="19">
        <v>29657</v>
      </c>
      <c r="B965" s="20" t="s">
        <v>12</v>
      </c>
      <c r="C965" s="20" t="s">
        <v>12</v>
      </c>
      <c r="D965" s="20" t="s">
        <v>1900</v>
      </c>
      <c r="E965" s="20" t="s">
        <v>1901</v>
      </c>
      <c r="F965" s="20">
        <v>30.557902003599999</v>
      </c>
      <c r="G965" s="20">
        <v>47.770573385100001</v>
      </c>
      <c r="H965" s="22">
        <v>2</v>
      </c>
      <c r="I965" s="22">
        <v>12</v>
      </c>
      <c r="J965" s="21">
        <v>2</v>
      </c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>
        <v>2</v>
      </c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>
        <v>2</v>
      </c>
      <c r="AQ965" s="21"/>
      <c r="AR965" s="21"/>
      <c r="AS965" s="21"/>
      <c r="AT965" s="12" t="str">
        <f>HYPERLINK("http://www.openstreetmap.org/?mlat=30.5579&amp;mlon=47.7706&amp;zoom=12#map=12/30.5579/47.7706","Maplink1")</f>
        <v>Maplink1</v>
      </c>
      <c r="AU965" s="12" t="str">
        <f>HYPERLINK("https://www.google.iq/maps/search/+30.5579,47.7706/@30.5579,47.7706,14z?hl=en","Maplink2")</f>
        <v>Maplink2</v>
      </c>
      <c r="AV965" s="12" t="str">
        <f>HYPERLINK("http://www.bing.com/maps/?lvl=14&amp;sty=h&amp;cp=30.5579~47.7706&amp;sp=point.30.5579_47.7706","Maplink3")</f>
        <v>Maplink3</v>
      </c>
    </row>
    <row r="966" spans="1:48" ht="15" customHeight="1" x14ac:dyDescent="0.25">
      <c r="A966" s="19">
        <v>897</v>
      </c>
      <c r="B966" s="20" t="s">
        <v>12</v>
      </c>
      <c r="C966" s="20" t="s">
        <v>12</v>
      </c>
      <c r="D966" s="20" t="s">
        <v>1902</v>
      </c>
      <c r="E966" s="20" t="s">
        <v>1903</v>
      </c>
      <c r="F966" s="20">
        <v>30.508438510000001</v>
      </c>
      <c r="G966" s="20">
        <v>47.796025290000003</v>
      </c>
      <c r="H966" s="22">
        <v>1</v>
      </c>
      <c r="I966" s="22">
        <v>6</v>
      </c>
      <c r="J966" s="21">
        <v>1</v>
      </c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>
        <v>1</v>
      </c>
      <c r="AI966" s="21"/>
      <c r="AJ966" s="21"/>
      <c r="AK966" s="21"/>
      <c r="AL966" s="21">
        <v>1</v>
      </c>
      <c r="AM966" s="21"/>
      <c r="AN966" s="21"/>
      <c r="AO966" s="21"/>
      <c r="AP966" s="21"/>
      <c r="AQ966" s="21"/>
      <c r="AR966" s="21"/>
      <c r="AS966" s="21"/>
      <c r="AT966" s="12" t="str">
        <f>HYPERLINK("http://www.openstreetmap.org/?mlat=30.5084&amp;mlon=47.796&amp;zoom=12#map=12/30.5084/47.796","Maplink1")</f>
        <v>Maplink1</v>
      </c>
      <c r="AU966" s="12" t="str">
        <f>HYPERLINK("https://www.google.iq/maps/search/+30.5084,47.796/@30.5084,47.796,14z?hl=en","Maplink2")</f>
        <v>Maplink2</v>
      </c>
      <c r="AV966" s="12" t="str">
        <f>HYPERLINK("http://www.bing.com/maps/?lvl=14&amp;sty=h&amp;cp=30.5084~47.796&amp;sp=point.30.5084_47.796","Maplink3")</f>
        <v>Maplink3</v>
      </c>
    </row>
    <row r="967" spans="1:48" ht="15" customHeight="1" x14ac:dyDescent="0.25">
      <c r="A967" s="19">
        <v>23975</v>
      </c>
      <c r="B967" s="20" t="s">
        <v>12</v>
      </c>
      <c r="C967" s="20" t="s">
        <v>12</v>
      </c>
      <c r="D967" s="20" t="s">
        <v>1904</v>
      </c>
      <c r="E967" s="20" t="s">
        <v>1905</v>
      </c>
      <c r="F967" s="20">
        <v>30.47859717</v>
      </c>
      <c r="G967" s="20">
        <v>47.836358500000003</v>
      </c>
      <c r="H967" s="22">
        <v>8</v>
      </c>
      <c r="I967" s="22">
        <v>48</v>
      </c>
      <c r="J967" s="21">
        <v>1</v>
      </c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>
        <v>5</v>
      </c>
      <c r="W967" s="21"/>
      <c r="X967" s="21">
        <v>2</v>
      </c>
      <c r="Y967" s="21"/>
      <c r="Z967" s="21"/>
      <c r="AA967" s="21"/>
      <c r="AB967" s="21"/>
      <c r="AC967" s="21">
        <v>4</v>
      </c>
      <c r="AD967" s="21"/>
      <c r="AE967" s="21"/>
      <c r="AF967" s="21"/>
      <c r="AG967" s="21"/>
      <c r="AH967" s="21">
        <v>4</v>
      </c>
      <c r="AI967" s="21"/>
      <c r="AJ967" s="21"/>
      <c r="AK967" s="21"/>
      <c r="AL967" s="21"/>
      <c r="AM967" s="21"/>
      <c r="AN967" s="21"/>
      <c r="AO967" s="21">
        <v>6</v>
      </c>
      <c r="AP967" s="21">
        <v>2</v>
      </c>
      <c r="AQ967" s="21"/>
      <c r="AR967" s="21"/>
      <c r="AS967" s="21"/>
      <c r="AT967" s="12" t="str">
        <f>HYPERLINK("http://www.openstreetmap.org/?mlat=30.4786&amp;mlon=47.8364&amp;zoom=12#map=12/30.4786/47.8364","Maplink1")</f>
        <v>Maplink1</v>
      </c>
      <c r="AU967" s="12" t="str">
        <f>HYPERLINK("https://www.google.iq/maps/search/+30.4786,47.8364/@30.4786,47.8364,14z?hl=en","Maplink2")</f>
        <v>Maplink2</v>
      </c>
      <c r="AV967" s="12" t="str">
        <f>HYPERLINK("http://www.bing.com/maps/?lvl=14&amp;sty=h&amp;cp=30.4786~47.8364&amp;sp=point.30.4786_47.8364","Maplink3")</f>
        <v>Maplink3</v>
      </c>
    </row>
    <row r="968" spans="1:48" ht="15" customHeight="1" x14ac:dyDescent="0.25">
      <c r="A968" s="19">
        <v>29678</v>
      </c>
      <c r="B968" s="20" t="s">
        <v>12</v>
      </c>
      <c r="C968" s="20" t="s">
        <v>12</v>
      </c>
      <c r="D968" s="20" t="s">
        <v>1906</v>
      </c>
      <c r="E968" s="20" t="s">
        <v>1907</v>
      </c>
      <c r="F968" s="20">
        <v>30.528886830400001</v>
      </c>
      <c r="G968" s="20">
        <v>47.767152981800002</v>
      </c>
      <c r="H968" s="22">
        <v>1</v>
      </c>
      <c r="I968" s="22">
        <v>6</v>
      </c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>
        <v>1</v>
      </c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>
        <v>1</v>
      </c>
      <c r="AI968" s="21"/>
      <c r="AJ968" s="21"/>
      <c r="AK968" s="21"/>
      <c r="AL968" s="21"/>
      <c r="AM968" s="21"/>
      <c r="AN968" s="21"/>
      <c r="AO968" s="21"/>
      <c r="AP968" s="21">
        <v>1</v>
      </c>
      <c r="AQ968" s="21"/>
      <c r="AR968" s="21"/>
      <c r="AS968" s="21"/>
      <c r="AT968" s="12" t="str">
        <f>HYPERLINK("http://www.openstreetmap.org/?mlat=30.5289&amp;mlon=47.7672&amp;zoom=12#map=12/30.5289/47.7672","Maplink1")</f>
        <v>Maplink1</v>
      </c>
      <c r="AU968" s="12" t="str">
        <f>HYPERLINK("https://www.google.iq/maps/search/+30.5289,47.7672/@30.5289,47.7672,14z?hl=en","Maplink2")</f>
        <v>Maplink2</v>
      </c>
      <c r="AV968" s="12" t="str">
        <f>HYPERLINK("http://www.bing.com/maps/?lvl=14&amp;sty=h&amp;cp=30.5289~47.7672&amp;sp=point.30.5289_47.7672","Maplink3")</f>
        <v>Maplink3</v>
      </c>
    </row>
    <row r="969" spans="1:48" ht="15" customHeight="1" x14ac:dyDescent="0.25">
      <c r="A969" s="19">
        <v>25338</v>
      </c>
      <c r="B969" s="20" t="s">
        <v>12</v>
      </c>
      <c r="C969" s="20" t="s">
        <v>1908</v>
      </c>
      <c r="D969" s="20" t="s">
        <v>1909</v>
      </c>
      <c r="E969" s="20" t="s">
        <v>117</v>
      </c>
      <c r="F969" s="20">
        <v>29.983751610900001</v>
      </c>
      <c r="G969" s="20">
        <v>48.463568016899998</v>
      </c>
      <c r="H969" s="22">
        <v>1</v>
      </c>
      <c r="I969" s="22">
        <v>6</v>
      </c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>
        <v>1</v>
      </c>
      <c r="Y969" s="21"/>
      <c r="Z969" s="21"/>
      <c r="AA969" s="21"/>
      <c r="AB969" s="21"/>
      <c r="AC969" s="21"/>
      <c r="AD969" s="21"/>
      <c r="AE969" s="21"/>
      <c r="AF969" s="21"/>
      <c r="AG969" s="21"/>
      <c r="AH969" s="21">
        <v>1</v>
      </c>
      <c r="AI969" s="21"/>
      <c r="AJ969" s="21"/>
      <c r="AK969" s="21"/>
      <c r="AL969" s="21"/>
      <c r="AM969" s="21"/>
      <c r="AN969" s="21"/>
      <c r="AO969" s="21">
        <v>1</v>
      </c>
      <c r="AP969" s="21"/>
      <c r="AQ969" s="21"/>
      <c r="AR969" s="21"/>
      <c r="AS969" s="21"/>
      <c r="AT969" s="12" t="str">
        <f>HYPERLINK("http://www.openstreetmap.org/?mlat=29.9838&amp;mlon=48.4636&amp;zoom=12#map=12/29.9838/48.4636","Maplink1")</f>
        <v>Maplink1</v>
      </c>
      <c r="AU969" s="12" t="str">
        <f>HYPERLINK("https://www.google.iq/maps/search/+29.9838,48.4636/@29.9838,48.4636,14z?hl=en","Maplink2")</f>
        <v>Maplink2</v>
      </c>
      <c r="AV969" s="12" t="str">
        <f>HYPERLINK("http://www.bing.com/maps/?lvl=14&amp;sty=h&amp;cp=29.9838~48.4636&amp;sp=point.29.9838_48.4636","Maplink3")</f>
        <v>Maplink3</v>
      </c>
    </row>
    <row r="970" spans="1:48" ht="15" customHeight="1" x14ac:dyDescent="0.25">
      <c r="A970" s="19">
        <v>25340</v>
      </c>
      <c r="B970" s="20" t="s">
        <v>12</v>
      </c>
      <c r="C970" s="20" t="s">
        <v>1908</v>
      </c>
      <c r="D970" s="20" t="s">
        <v>1910</v>
      </c>
      <c r="E970" s="20" t="s">
        <v>1911</v>
      </c>
      <c r="F970" s="20">
        <v>29.980477220000001</v>
      </c>
      <c r="G970" s="20">
        <v>48.469491169999998</v>
      </c>
      <c r="H970" s="22">
        <v>4</v>
      </c>
      <c r="I970" s="22">
        <v>24</v>
      </c>
      <c r="J970" s="21">
        <v>4</v>
      </c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>
        <v>4</v>
      </c>
      <c r="AI970" s="21"/>
      <c r="AJ970" s="21"/>
      <c r="AK970" s="21"/>
      <c r="AL970" s="21">
        <v>4</v>
      </c>
      <c r="AM970" s="21"/>
      <c r="AN970" s="21"/>
      <c r="AO970" s="21"/>
      <c r="AP970" s="21"/>
      <c r="AQ970" s="21"/>
      <c r="AR970" s="21"/>
      <c r="AS970" s="21"/>
      <c r="AT970" s="12" t="str">
        <f>HYPERLINK("http://www.openstreetmap.org/?mlat=29.9805&amp;mlon=48.4695&amp;zoom=12#map=12/29.9805/48.4695","Maplink1")</f>
        <v>Maplink1</v>
      </c>
      <c r="AU970" s="12" t="str">
        <f>HYPERLINK("https://www.google.iq/maps/search/+29.9805,48.4695/@29.9805,48.4695,14z?hl=en","Maplink2")</f>
        <v>Maplink2</v>
      </c>
      <c r="AV970" s="12" t="str">
        <f>HYPERLINK("http://www.bing.com/maps/?lvl=14&amp;sty=h&amp;cp=29.9805~48.4695&amp;sp=point.29.9805_48.4695","Maplink3")</f>
        <v>Maplink3</v>
      </c>
    </row>
    <row r="971" spans="1:48" ht="15" customHeight="1" x14ac:dyDescent="0.25">
      <c r="A971" s="19">
        <v>25335</v>
      </c>
      <c r="B971" s="20" t="s">
        <v>12</v>
      </c>
      <c r="C971" s="20" t="s">
        <v>1908</v>
      </c>
      <c r="D971" s="20" t="s">
        <v>1912</v>
      </c>
      <c r="E971" s="20" t="s">
        <v>318</v>
      </c>
      <c r="F971" s="20">
        <v>29.970003070000001</v>
      </c>
      <c r="G971" s="20">
        <v>48.47019349</v>
      </c>
      <c r="H971" s="22">
        <v>1</v>
      </c>
      <c r="I971" s="22">
        <v>6</v>
      </c>
      <c r="J971" s="21"/>
      <c r="K971" s="21"/>
      <c r="L971" s="21"/>
      <c r="M971" s="21"/>
      <c r="N971" s="21"/>
      <c r="O971" s="21"/>
      <c r="P971" s="21"/>
      <c r="Q971" s="21"/>
      <c r="R971" s="21">
        <v>1</v>
      </c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>
        <v>1</v>
      </c>
      <c r="AI971" s="21"/>
      <c r="AJ971" s="21"/>
      <c r="AK971" s="21"/>
      <c r="AL971" s="21"/>
      <c r="AM971" s="21"/>
      <c r="AN971" s="21">
        <v>1</v>
      </c>
      <c r="AO971" s="21"/>
      <c r="AP971" s="21"/>
      <c r="AQ971" s="21"/>
      <c r="AR971" s="21"/>
      <c r="AS971" s="21"/>
      <c r="AT971" s="12" t="str">
        <f>HYPERLINK("http://www.openstreetmap.org/?mlat=29.97&amp;mlon=48.4702&amp;zoom=12#map=12/29.97/48.4702","Maplink1")</f>
        <v>Maplink1</v>
      </c>
      <c r="AU971" s="12" t="str">
        <f>HYPERLINK("https://www.google.iq/maps/search/+29.97,48.4702/@29.97,48.4702,14z?hl=en","Maplink2")</f>
        <v>Maplink2</v>
      </c>
      <c r="AV971" s="12" t="str">
        <f>HYPERLINK("http://www.bing.com/maps/?lvl=14&amp;sty=h&amp;cp=29.97~48.4702&amp;sp=point.29.97_48.4702","Maplink3")</f>
        <v>Maplink3</v>
      </c>
    </row>
    <row r="972" spans="1:48" ht="15" customHeight="1" x14ac:dyDescent="0.25">
      <c r="A972" s="19">
        <v>25334</v>
      </c>
      <c r="B972" s="20" t="s">
        <v>12</v>
      </c>
      <c r="C972" s="20" t="s">
        <v>1908</v>
      </c>
      <c r="D972" s="20" t="s">
        <v>1913</v>
      </c>
      <c r="E972" s="20" t="s">
        <v>1914</v>
      </c>
      <c r="F972" s="20">
        <v>29.960279474</v>
      </c>
      <c r="G972" s="20">
        <v>48.478438015999998</v>
      </c>
      <c r="H972" s="22">
        <v>1</v>
      </c>
      <c r="I972" s="22">
        <v>6</v>
      </c>
      <c r="J972" s="21">
        <v>1</v>
      </c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>
        <v>1</v>
      </c>
      <c r="AI972" s="21"/>
      <c r="AJ972" s="21"/>
      <c r="AK972" s="21"/>
      <c r="AL972" s="21">
        <v>1</v>
      </c>
      <c r="AM972" s="21"/>
      <c r="AN972" s="21"/>
      <c r="AO972" s="21"/>
      <c r="AP972" s="21"/>
      <c r="AQ972" s="21"/>
      <c r="AR972" s="21"/>
      <c r="AS972" s="21"/>
      <c r="AT972" s="12" t="str">
        <f>HYPERLINK("http://www.openstreetmap.org/?mlat=29.9603&amp;mlon=48.4784&amp;zoom=12#map=12/29.9603/48.4784","Maplink1")</f>
        <v>Maplink1</v>
      </c>
      <c r="AU972" s="12" t="str">
        <f>HYPERLINK("https://www.google.iq/maps/search/+29.9603,48.4784/@29.9603,48.4784,14z?hl=en","Maplink2")</f>
        <v>Maplink2</v>
      </c>
      <c r="AV972" s="12" t="str">
        <f>HYPERLINK("http://www.bing.com/maps/?lvl=14&amp;sty=h&amp;cp=29.9603~48.4784&amp;sp=point.29.9603_48.4784","Maplink3")</f>
        <v>Maplink3</v>
      </c>
    </row>
    <row r="973" spans="1:48" ht="15" customHeight="1" x14ac:dyDescent="0.25">
      <c r="A973" s="19">
        <v>25337</v>
      </c>
      <c r="B973" s="20" t="s">
        <v>12</v>
      </c>
      <c r="C973" s="20" t="s">
        <v>1908</v>
      </c>
      <c r="D973" s="20" t="s">
        <v>1915</v>
      </c>
      <c r="E973" s="20" t="s">
        <v>1416</v>
      </c>
      <c r="F973" s="20">
        <v>29.9701920804</v>
      </c>
      <c r="G973" s="20">
        <v>48.473085919399999</v>
      </c>
      <c r="H973" s="22">
        <v>1</v>
      </c>
      <c r="I973" s="22">
        <v>6</v>
      </c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>
        <v>1</v>
      </c>
      <c r="Y973" s="21"/>
      <c r="Z973" s="21"/>
      <c r="AA973" s="21"/>
      <c r="AB973" s="21"/>
      <c r="AC973" s="21">
        <v>1</v>
      </c>
      <c r="AD973" s="21"/>
      <c r="AE973" s="21"/>
      <c r="AF973" s="21"/>
      <c r="AG973" s="21"/>
      <c r="AH973" s="21"/>
      <c r="AI973" s="21"/>
      <c r="AJ973" s="21"/>
      <c r="AK973" s="21"/>
      <c r="AL973" s="21"/>
      <c r="AM973" s="21">
        <v>1</v>
      </c>
      <c r="AN973" s="21"/>
      <c r="AO973" s="21"/>
      <c r="AP973" s="21"/>
      <c r="AQ973" s="21"/>
      <c r="AR973" s="21"/>
      <c r="AS973" s="21"/>
      <c r="AT973" s="12" t="str">
        <f>HYPERLINK("http://www.openstreetmap.org/?mlat=29.9702&amp;mlon=48.4731&amp;zoom=12#map=12/29.9702/48.4731","Maplink1")</f>
        <v>Maplink1</v>
      </c>
      <c r="AU973" s="12" t="str">
        <f>HYPERLINK("https://www.google.iq/maps/search/+29.9702,48.4731/@29.9702,48.4731,14z?hl=en","Maplink2")</f>
        <v>Maplink2</v>
      </c>
      <c r="AV973" s="12" t="str">
        <f>HYPERLINK("http://www.bing.com/maps/?lvl=14&amp;sty=h&amp;cp=29.9702~48.4731&amp;sp=point.29.9702_48.4731","Maplink3")</f>
        <v>Maplink3</v>
      </c>
    </row>
    <row r="974" spans="1:48" ht="15" customHeight="1" x14ac:dyDescent="0.25">
      <c r="A974" s="19">
        <v>29596</v>
      </c>
      <c r="B974" s="20" t="s">
        <v>12</v>
      </c>
      <c r="C974" s="20" t="s">
        <v>1908</v>
      </c>
      <c r="D974" s="20" t="s">
        <v>1916</v>
      </c>
      <c r="E974" s="20" t="s">
        <v>1917</v>
      </c>
      <c r="F974" s="20">
        <v>30.148531612900001</v>
      </c>
      <c r="G974" s="20">
        <v>48.373541347699998</v>
      </c>
      <c r="H974" s="22">
        <v>2</v>
      </c>
      <c r="I974" s="22">
        <v>12</v>
      </c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>
        <v>2</v>
      </c>
      <c r="Y974" s="21"/>
      <c r="Z974" s="21"/>
      <c r="AA974" s="21"/>
      <c r="AB974" s="21"/>
      <c r="AC974" s="21"/>
      <c r="AD974" s="21"/>
      <c r="AE974" s="21"/>
      <c r="AF974" s="21"/>
      <c r="AG974" s="21"/>
      <c r="AH974" s="21">
        <v>2</v>
      </c>
      <c r="AI974" s="21"/>
      <c r="AJ974" s="21"/>
      <c r="AK974" s="21"/>
      <c r="AL974" s="21"/>
      <c r="AM974" s="21"/>
      <c r="AN974" s="21">
        <v>1</v>
      </c>
      <c r="AO974" s="21">
        <v>1</v>
      </c>
      <c r="AP974" s="21"/>
      <c r="AQ974" s="21"/>
      <c r="AR974" s="21"/>
      <c r="AS974" s="21"/>
      <c r="AT974" s="12" t="str">
        <f>HYPERLINK("http://www.openstreetmap.org/?mlat=30.1485&amp;mlon=48.3735&amp;zoom=12#map=12/30.1485/48.3735","Maplink1")</f>
        <v>Maplink1</v>
      </c>
      <c r="AU974" s="12" t="str">
        <f>HYPERLINK("https://www.google.iq/maps/search/+30.1485,48.3735/@30.1485,48.3735,14z?hl=en","Maplink2")</f>
        <v>Maplink2</v>
      </c>
      <c r="AV974" s="12" t="str">
        <f>HYPERLINK("http://www.bing.com/maps/?lvl=14&amp;sty=h&amp;cp=30.1485~48.3735&amp;sp=point.30.1485_48.3735","Maplink3")</f>
        <v>Maplink3</v>
      </c>
    </row>
    <row r="975" spans="1:48" ht="15" customHeight="1" x14ac:dyDescent="0.25">
      <c r="A975" s="19">
        <v>23517</v>
      </c>
      <c r="B975" s="20" t="s">
        <v>12</v>
      </c>
      <c r="C975" s="20" t="s">
        <v>1918</v>
      </c>
      <c r="D975" s="20" t="s">
        <v>1919</v>
      </c>
      <c r="E975" s="20" t="s">
        <v>1920</v>
      </c>
      <c r="F975" s="20">
        <v>30.643126554799998</v>
      </c>
      <c r="G975" s="20">
        <v>47.773007992700002</v>
      </c>
      <c r="H975" s="22">
        <v>26</v>
      </c>
      <c r="I975" s="22">
        <v>156</v>
      </c>
      <c r="J975" s="21">
        <v>10</v>
      </c>
      <c r="K975" s="21"/>
      <c r="L975" s="21"/>
      <c r="M975" s="21"/>
      <c r="N975" s="21"/>
      <c r="O975" s="21"/>
      <c r="P975" s="21"/>
      <c r="Q975" s="21"/>
      <c r="R975" s="21">
        <v>2</v>
      </c>
      <c r="S975" s="21"/>
      <c r="T975" s="21"/>
      <c r="U975" s="21"/>
      <c r="V975" s="21">
        <v>13</v>
      </c>
      <c r="W975" s="21"/>
      <c r="X975" s="21">
        <v>1</v>
      </c>
      <c r="Y975" s="21"/>
      <c r="Z975" s="21"/>
      <c r="AA975" s="21"/>
      <c r="AB975" s="21"/>
      <c r="AC975" s="21">
        <v>10</v>
      </c>
      <c r="AD975" s="21"/>
      <c r="AE975" s="21">
        <v>3</v>
      </c>
      <c r="AF975" s="21"/>
      <c r="AG975" s="21"/>
      <c r="AH975" s="21">
        <v>13</v>
      </c>
      <c r="AI975" s="21"/>
      <c r="AJ975" s="21"/>
      <c r="AK975" s="21"/>
      <c r="AL975" s="21"/>
      <c r="AM975" s="21">
        <v>9</v>
      </c>
      <c r="AN975" s="21">
        <v>3</v>
      </c>
      <c r="AO975" s="21">
        <v>7</v>
      </c>
      <c r="AP975" s="21">
        <v>6</v>
      </c>
      <c r="AQ975" s="21"/>
      <c r="AR975" s="21">
        <v>1</v>
      </c>
      <c r="AS975" s="21"/>
      <c r="AT975" s="12" t="str">
        <f>HYPERLINK("http://www.openstreetmap.org/?mlat=30.6431&amp;mlon=47.773&amp;zoom=12#map=12/30.6431/47.773","Maplink1")</f>
        <v>Maplink1</v>
      </c>
      <c r="AU975" s="12" t="str">
        <f>HYPERLINK("https://www.google.iq/maps/search/+30.6431,47.773/@30.6431,47.773,14z?hl=en","Maplink2")</f>
        <v>Maplink2</v>
      </c>
      <c r="AV975" s="12" t="str">
        <f>HYPERLINK("http://www.bing.com/maps/?lvl=14&amp;sty=h&amp;cp=30.6431~47.773&amp;sp=point.30.6431_47.773","Maplink3")</f>
        <v>Maplink3</v>
      </c>
    </row>
    <row r="976" spans="1:48" ht="15" customHeight="1" x14ac:dyDescent="0.25">
      <c r="A976" s="19">
        <v>21640</v>
      </c>
      <c r="B976" s="20" t="s">
        <v>12</v>
      </c>
      <c r="C976" s="20" t="s">
        <v>1918</v>
      </c>
      <c r="D976" s="20" t="s">
        <v>1921</v>
      </c>
      <c r="E976" s="20" t="s">
        <v>1922</v>
      </c>
      <c r="F976" s="20">
        <v>30.59542502</v>
      </c>
      <c r="G976" s="20">
        <v>47.793108799999999</v>
      </c>
      <c r="H976" s="22">
        <v>2</v>
      </c>
      <c r="I976" s="22">
        <v>12</v>
      </c>
      <c r="J976" s="21">
        <v>1</v>
      </c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>
        <v>1</v>
      </c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>
        <v>2</v>
      </c>
      <c r="AI976" s="21"/>
      <c r="AJ976" s="21"/>
      <c r="AK976" s="21"/>
      <c r="AL976" s="21"/>
      <c r="AM976" s="21"/>
      <c r="AN976" s="21"/>
      <c r="AO976" s="21">
        <v>1</v>
      </c>
      <c r="AP976" s="21">
        <v>1</v>
      </c>
      <c r="AQ976" s="21"/>
      <c r="AR976" s="21"/>
      <c r="AS976" s="21"/>
      <c r="AT976" s="12" t="str">
        <f>HYPERLINK("http://www.openstreetmap.org/?mlat=30.5954&amp;mlon=47.7931&amp;zoom=12#map=12/30.5954/47.7931","Maplink1")</f>
        <v>Maplink1</v>
      </c>
      <c r="AU976" s="12" t="str">
        <f>HYPERLINK("https://www.google.iq/maps/search/+30.5954,47.7931/@30.5954,47.7931,14z?hl=en","Maplink2")</f>
        <v>Maplink2</v>
      </c>
      <c r="AV976" s="12" t="str">
        <f>HYPERLINK("http://www.bing.com/maps/?lvl=14&amp;sty=h&amp;cp=30.5954~47.7931&amp;sp=point.30.5954_47.7931","Maplink3")</f>
        <v>Maplink3</v>
      </c>
    </row>
    <row r="977" spans="1:48" ht="15" customHeight="1" x14ac:dyDescent="0.25">
      <c r="A977" s="19">
        <v>1032</v>
      </c>
      <c r="B977" s="20" t="s">
        <v>12</v>
      </c>
      <c r="C977" s="20" t="s">
        <v>1918</v>
      </c>
      <c r="D977" s="20" t="s">
        <v>1923</v>
      </c>
      <c r="E977" s="20" t="s">
        <v>1924</v>
      </c>
      <c r="F977" s="20">
        <v>30.593565492890001</v>
      </c>
      <c r="G977" s="20">
        <v>47.794856345280003</v>
      </c>
      <c r="H977" s="22">
        <v>6</v>
      </c>
      <c r="I977" s="22">
        <v>36</v>
      </c>
      <c r="J977" s="21"/>
      <c r="K977" s="21"/>
      <c r="L977" s="21"/>
      <c r="M977" s="21"/>
      <c r="N977" s="21"/>
      <c r="O977" s="21"/>
      <c r="P977" s="21"/>
      <c r="Q977" s="21"/>
      <c r="R977" s="21">
        <v>1</v>
      </c>
      <c r="S977" s="21"/>
      <c r="T977" s="21"/>
      <c r="U977" s="21"/>
      <c r="V977" s="21">
        <v>4</v>
      </c>
      <c r="W977" s="21"/>
      <c r="X977" s="21">
        <v>1</v>
      </c>
      <c r="Y977" s="21"/>
      <c r="Z977" s="21"/>
      <c r="AA977" s="21"/>
      <c r="AB977" s="21"/>
      <c r="AC977" s="21"/>
      <c r="AD977" s="21"/>
      <c r="AE977" s="21"/>
      <c r="AF977" s="21"/>
      <c r="AG977" s="21"/>
      <c r="AH977" s="21">
        <v>6</v>
      </c>
      <c r="AI977" s="21"/>
      <c r="AJ977" s="21"/>
      <c r="AK977" s="21"/>
      <c r="AL977" s="21"/>
      <c r="AM977" s="21"/>
      <c r="AN977" s="21">
        <v>2</v>
      </c>
      <c r="AO977" s="21">
        <v>4</v>
      </c>
      <c r="AP977" s="21"/>
      <c r="AQ977" s="21"/>
      <c r="AR977" s="21"/>
      <c r="AS977" s="21"/>
      <c r="AT977" s="12" t="str">
        <f>HYPERLINK("http://www.openstreetmap.org/?mlat=30.5936&amp;mlon=47.7949&amp;zoom=12#map=12/30.5936/47.7949","Maplink1")</f>
        <v>Maplink1</v>
      </c>
      <c r="AU977" s="12" t="str">
        <f>HYPERLINK("https://www.google.iq/maps/search/+30.5936,47.7949/@30.5936,47.7949,14z?hl=en","Maplink2")</f>
        <v>Maplink2</v>
      </c>
      <c r="AV977" s="12" t="str">
        <f>HYPERLINK("http://www.bing.com/maps/?lvl=14&amp;sty=h&amp;cp=30.5936~47.7949&amp;sp=point.30.5936_47.7949","Maplink3")</f>
        <v>Maplink3</v>
      </c>
    </row>
    <row r="978" spans="1:48" ht="15" customHeight="1" x14ac:dyDescent="0.25">
      <c r="A978" s="19">
        <v>25021</v>
      </c>
      <c r="B978" s="20" t="s">
        <v>12</v>
      </c>
      <c r="C978" s="20" t="s">
        <v>1918</v>
      </c>
      <c r="D978" s="20" t="s">
        <v>1925</v>
      </c>
      <c r="E978" s="20" t="s">
        <v>1926</v>
      </c>
      <c r="F978" s="20">
        <v>30.89501469</v>
      </c>
      <c r="G978" s="20">
        <v>47.521869909999999</v>
      </c>
      <c r="H978" s="22">
        <v>4</v>
      </c>
      <c r="I978" s="22">
        <v>24</v>
      </c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>
        <v>4</v>
      </c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>
        <v>4</v>
      </c>
      <c r="AI978" s="21"/>
      <c r="AJ978" s="21"/>
      <c r="AK978" s="21"/>
      <c r="AL978" s="21"/>
      <c r="AM978" s="21"/>
      <c r="AN978" s="21"/>
      <c r="AO978" s="21">
        <v>4</v>
      </c>
      <c r="AP978" s="21"/>
      <c r="AQ978" s="21"/>
      <c r="AR978" s="21"/>
      <c r="AS978" s="21"/>
      <c r="AT978" s="12" t="str">
        <f>HYPERLINK("http://www.openstreetmap.org/?mlat=30.895&amp;mlon=47.5219&amp;zoom=12#map=12/30.895/47.5219","Maplink1")</f>
        <v>Maplink1</v>
      </c>
      <c r="AU978" s="12" t="str">
        <f>HYPERLINK("https://www.google.iq/maps/search/+30.895,47.5219/@30.895,47.5219,14z?hl=en","Maplink2")</f>
        <v>Maplink2</v>
      </c>
      <c r="AV978" s="12" t="str">
        <f>HYPERLINK("http://www.bing.com/maps/?lvl=14&amp;sty=h&amp;cp=30.895~47.5219&amp;sp=point.30.895_47.5219","Maplink3")</f>
        <v>Maplink3</v>
      </c>
    </row>
    <row r="979" spans="1:48" ht="15" customHeight="1" x14ac:dyDescent="0.25">
      <c r="A979" s="19">
        <v>23261</v>
      </c>
      <c r="B979" s="20" t="s">
        <v>12</v>
      </c>
      <c r="C979" s="20" t="s">
        <v>1918</v>
      </c>
      <c r="D979" s="20" t="s">
        <v>1927</v>
      </c>
      <c r="E979" s="20" t="s">
        <v>1928</v>
      </c>
      <c r="F979" s="20">
        <v>30.511463452099999</v>
      </c>
      <c r="G979" s="20">
        <v>47.8598297574</v>
      </c>
      <c r="H979" s="22">
        <v>2</v>
      </c>
      <c r="I979" s="22">
        <v>12</v>
      </c>
      <c r="J979" s="21"/>
      <c r="K979" s="21"/>
      <c r="L979" s="21"/>
      <c r="M979" s="21"/>
      <c r="N979" s="21"/>
      <c r="O979" s="21">
        <v>1</v>
      </c>
      <c r="P979" s="21"/>
      <c r="Q979" s="21"/>
      <c r="R979" s="21"/>
      <c r="S979" s="21"/>
      <c r="T979" s="21"/>
      <c r="U979" s="21"/>
      <c r="V979" s="21"/>
      <c r="W979" s="21"/>
      <c r="X979" s="21">
        <v>1</v>
      </c>
      <c r="Y979" s="21"/>
      <c r="Z979" s="21"/>
      <c r="AA979" s="21"/>
      <c r="AB979" s="21"/>
      <c r="AC979" s="21"/>
      <c r="AD979" s="21"/>
      <c r="AE979" s="21"/>
      <c r="AF979" s="21"/>
      <c r="AG979" s="21"/>
      <c r="AH979" s="21">
        <v>2</v>
      </c>
      <c r="AI979" s="21"/>
      <c r="AJ979" s="21"/>
      <c r="AK979" s="21"/>
      <c r="AL979" s="21"/>
      <c r="AM979" s="21"/>
      <c r="AN979" s="21">
        <v>2</v>
      </c>
      <c r="AO979" s="21"/>
      <c r="AP979" s="21"/>
      <c r="AQ979" s="21"/>
      <c r="AR979" s="21"/>
      <c r="AS979" s="21"/>
      <c r="AT979" s="12" t="str">
        <f>HYPERLINK("http://www.openstreetmap.org/?mlat=30.5115&amp;mlon=47.8598&amp;zoom=12#map=12/30.5115/47.8598","Maplink1")</f>
        <v>Maplink1</v>
      </c>
      <c r="AU979" s="12" t="str">
        <f>HYPERLINK("https://www.google.iq/maps/search/+30.5115,47.8598/@30.5115,47.8598,14z?hl=en","Maplink2")</f>
        <v>Maplink2</v>
      </c>
      <c r="AV979" s="12" t="str">
        <f>HYPERLINK("http://www.bing.com/maps/?lvl=14&amp;sty=h&amp;cp=30.5115~47.8598&amp;sp=point.30.5115_47.8598","Maplink3")</f>
        <v>Maplink3</v>
      </c>
    </row>
    <row r="980" spans="1:48" ht="15" customHeight="1" x14ac:dyDescent="0.25">
      <c r="A980" s="19">
        <v>1013</v>
      </c>
      <c r="B980" s="20" t="s">
        <v>12</v>
      </c>
      <c r="C980" s="20" t="s">
        <v>1918</v>
      </c>
      <c r="D980" s="20" t="s">
        <v>1929</v>
      </c>
      <c r="E980" s="20" t="s">
        <v>1930</v>
      </c>
      <c r="F980" s="20">
        <v>30.582665624099999</v>
      </c>
      <c r="G980" s="20">
        <v>47.810402847799999</v>
      </c>
      <c r="H980" s="22">
        <v>4</v>
      </c>
      <c r="I980" s="22">
        <v>24</v>
      </c>
      <c r="J980" s="21"/>
      <c r="K980" s="21"/>
      <c r="L980" s="21"/>
      <c r="M980" s="21"/>
      <c r="N980" s="21"/>
      <c r="O980" s="21"/>
      <c r="P980" s="21"/>
      <c r="Q980" s="21"/>
      <c r="R980" s="21">
        <v>2</v>
      </c>
      <c r="S980" s="21"/>
      <c r="T980" s="21"/>
      <c r="U980" s="21"/>
      <c r="V980" s="21"/>
      <c r="W980" s="21"/>
      <c r="X980" s="21">
        <v>2</v>
      </c>
      <c r="Y980" s="21"/>
      <c r="Z980" s="21"/>
      <c r="AA980" s="21"/>
      <c r="AB980" s="21"/>
      <c r="AC980" s="21">
        <v>2</v>
      </c>
      <c r="AD980" s="21"/>
      <c r="AE980" s="21"/>
      <c r="AF980" s="21"/>
      <c r="AG980" s="21"/>
      <c r="AH980" s="21">
        <v>2</v>
      </c>
      <c r="AI980" s="21"/>
      <c r="AJ980" s="21"/>
      <c r="AK980" s="21"/>
      <c r="AL980" s="21"/>
      <c r="AM980" s="21"/>
      <c r="AN980" s="21">
        <v>2</v>
      </c>
      <c r="AO980" s="21">
        <v>2</v>
      </c>
      <c r="AP980" s="21"/>
      <c r="AQ980" s="21"/>
      <c r="AR980" s="21"/>
      <c r="AS980" s="21"/>
      <c r="AT980" s="12" t="str">
        <f>HYPERLINK("http://www.openstreetmap.org/?mlat=30.5827&amp;mlon=47.8104&amp;zoom=12#map=12/30.5827/47.8104","Maplink1")</f>
        <v>Maplink1</v>
      </c>
      <c r="AU980" s="12" t="str">
        <f>HYPERLINK("https://www.google.iq/maps/search/+30.5827,47.8104/@30.5827,47.8104,14z?hl=en","Maplink2")</f>
        <v>Maplink2</v>
      </c>
      <c r="AV980" s="12" t="str">
        <f>HYPERLINK("http://www.bing.com/maps/?lvl=14&amp;sty=h&amp;cp=30.5827~47.8104&amp;sp=point.30.5827_47.8104","Maplink3")</f>
        <v>Maplink3</v>
      </c>
    </row>
    <row r="981" spans="1:48" ht="15" customHeight="1" x14ac:dyDescent="0.25">
      <c r="A981" s="19">
        <v>30701</v>
      </c>
      <c r="B981" s="20" t="s">
        <v>12</v>
      </c>
      <c r="C981" s="20" t="s">
        <v>1918</v>
      </c>
      <c r="D981" s="20" t="s">
        <v>1931</v>
      </c>
      <c r="E981" s="20" t="s">
        <v>1932</v>
      </c>
      <c r="F981" s="20">
        <v>30.760117513099999</v>
      </c>
      <c r="G981" s="20">
        <v>47.700800159899998</v>
      </c>
      <c r="H981" s="22">
        <v>1</v>
      </c>
      <c r="I981" s="22">
        <v>6</v>
      </c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>
        <v>1</v>
      </c>
      <c r="W981" s="21"/>
      <c r="X981" s="21"/>
      <c r="Y981" s="21"/>
      <c r="Z981" s="21"/>
      <c r="AA981" s="21"/>
      <c r="AB981" s="21"/>
      <c r="AC981" s="21">
        <v>1</v>
      </c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>
        <v>1</v>
      </c>
      <c r="AS981" s="21"/>
      <c r="AT981" s="12" t="str">
        <f>HYPERLINK("http://www.openstreetmap.org/?mlat=30.7601&amp;mlon=47.7008&amp;zoom=12#map=12/30.7601/47.7008","Maplink1")</f>
        <v>Maplink1</v>
      </c>
      <c r="AU981" s="12" t="str">
        <f>HYPERLINK("https://www.google.iq/maps/search/+30.7601,47.7008/@30.7601,47.7008,14z?hl=en","Maplink2")</f>
        <v>Maplink2</v>
      </c>
      <c r="AV981" s="12" t="str">
        <f>HYPERLINK("http://www.bing.com/maps/?lvl=14&amp;sty=h&amp;cp=30.7601~47.7008&amp;sp=point.30.7601_47.7008","Maplink3")</f>
        <v>Maplink3</v>
      </c>
    </row>
    <row r="982" spans="1:48" ht="15" customHeight="1" x14ac:dyDescent="0.25">
      <c r="A982" s="19">
        <v>645</v>
      </c>
      <c r="B982" s="20" t="s">
        <v>12</v>
      </c>
      <c r="C982" s="20" t="s">
        <v>1918</v>
      </c>
      <c r="D982" s="20" t="s">
        <v>1933</v>
      </c>
      <c r="E982" s="20" t="s">
        <v>1934</v>
      </c>
      <c r="F982" s="20">
        <v>30.510517805799999</v>
      </c>
      <c r="G982" s="20">
        <v>47.8789808135</v>
      </c>
      <c r="H982" s="22">
        <v>21</v>
      </c>
      <c r="I982" s="22">
        <v>126</v>
      </c>
      <c r="J982" s="21">
        <v>1</v>
      </c>
      <c r="K982" s="21"/>
      <c r="L982" s="21">
        <v>17</v>
      </c>
      <c r="M982" s="21"/>
      <c r="N982" s="21"/>
      <c r="O982" s="21">
        <v>1</v>
      </c>
      <c r="P982" s="21"/>
      <c r="Q982" s="21"/>
      <c r="R982" s="21">
        <v>2</v>
      </c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>
        <v>2</v>
      </c>
      <c r="AD982" s="21"/>
      <c r="AE982" s="21">
        <v>17</v>
      </c>
      <c r="AF982" s="21"/>
      <c r="AG982" s="21"/>
      <c r="AH982" s="21">
        <v>2</v>
      </c>
      <c r="AI982" s="21"/>
      <c r="AJ982" s="21"/>
      <c r="AK982" s="21"/>
      <c r="AL982" s="21"/>
      <c r="AM982" s="21">
        <v>1</v>
      </c>
      <c r="AN982" s="21">
        <v>4</v>
      </c>
      <c r="AO982" s="21">
        <v>16</v>
      </c>
      <c r="AP982" s="21"/>
      <c r="AQ982" s="21"/>
      <c r="AR982" s="21"/>
      <c r="AS982" s="21"/>
      <c r="AT982" s="12" t="str">
        <f>HYPERLINK("http://www.openstreetmap.org/?mlat=30.5105&amp;mlon=47.879&amp;zoom=12#map=12/30.5105/47.879","Maplink1")</f>
        <v>Maplink1</v>
      </c>
      <c r="AU982" s="12" t="str">
        <f>HYPERLINK("https://www.google.iq/maps/search/+30.5105,47.879/@30.5105,47.879,14z?hl=en","Maplink2")</f>
        <v>Maplink2</v>
      </c>
      <c r="AV982" s="12" t="str">
        <f>HYPERLINK("http://www.bing.com/maps/?lvl=14&amp;sty=h&amp;cp=30.5105~47.879&amp;sp=point.30.5105_47.879","Maplink3")</f>
        <v>Maplink3</v>
      </c>
    </row>
    <row r="983" spans="1:48" ht="15" customHeight="1" x14ac:dyDescent="0.25">
      <c r="A983" s="19">
        <v>936</v>
      </c>
      <c r="B983" s="20" t="s">
        <v>12</v>
      </c>
      <c r="C983" s="20" t="s">
        <v>1918</v>
      </c>
      <c r="D983" s="20" t="s">
        <v>1935</v>
      </c>
      <c r="E983" s="20" t="s">
        <v>1936</v>
      </c>
      <c r="F983" s="20">
        <v>30.53249185</v>
      </c>
      <c r="G983" s="20">
        <v>47.842673089999998</v>
      </c>
      <c r="H983" s="22">
        <v>4</v>
      </c>
      <c r="I983" s="22">
        <v>24</v>
      </c>
      <c r="J983" s="21"/>
      <c r="K983" s="21"/>
      <c r="L983" s="21"/>
      <c r="M983" s="21"/>
      <c r="N983" s="21"/>
      <c r="O983" s="21">
        <v>2</v>
      </c>
      <c r="P983" s="21"/>
      <c r="Q983" s="21"/>
      <c r="R983" s="21">
        <v>2</v>
      </c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>
        <v>4</v>
      </c>
      <c r="AI983" s="21"/>
      <c r="AJ983" s="21"/>
      <c r="AK983" s="21"/>
      <c r="AL983" s="21">
        <v>1</v>
      </c>
      <c r="AM983" s="21">
        <v>1</v>
      </c>
      <c r="AN983" s="21">
        <v>2</v>
      </c>
      <c r="AO983" s="21"/>
      <c r="AP983" s="21"/>
      <c r="AQ983" s="21"/>
      <c r="AR983" s="21"/>
      <c r="AS983" s="21"/>
      <c r="AT983" s="12" t="str">
        <f>HYPERLINK("http://www.openstreetmap.org/?mlat=30.5325&amp;mlon=47.8427&amp;zoom=12#map=12/30.5325/47.8427","Maplink1")</f>
        <v>Maplink1</v>
      </c>
      <c r="AU983" s="12" t="str">
        <f>HYPERLINK("https://www.google.iq/maps/search/+30.5325,47.8427/@30.5325,47.8427,14z?hl=en","Maplink2")</f>
        <v>Maplink2</v>
      </c>
      <c r="AV983" s="12" t="str">
        <f>HYPERLINK("http://www.bing.com/maps/?lvl=14&amp;sty=h&amp;cp=30.5325~47.8427&amp;sp=point.30.5325_47.8427","Maplink3")</f>
        <v>Maplink3</v>
      </c>
    </row>
    <row r="984" spans="1:48" ht="15" customHeight="1" x14ac:dyDescent="0.25">
      <c r="A984" s="19">
        <v>21637</v>
      </c>
      <c r="B984" s="20" t="s">
        <v>12</v>
      </c>
      <c r="C984" s="20" t="s">
        <v>1918</v>
      </c>
      <c r="D984" s="20" t="s">
        <v>3343</v>
      </c>
      <c r="E984" s="20" t="s">
        <v>5950</v>
      </c>
      <c r="F984" s="20">
        <v>30.47</v>
      </c>
      <c r="G984" s="20">
        <v>47.98</v>
      </c>
      <c r="H984" s="22">
        <v>1</v>
      </c>
      <c r="I984" s="22">
        <v>6</v>
      </c>
      <c r="J984" s="21"/>
      <c r="K984" s="21"/>
      <c r="L984" s="21"/>
      <c r="M984" s="21"/>
      <c r="N984" s="21"/>
      <c r="O984" s="21">
        <v>1</v>
      </c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>
        <v>1</v>
      </c>
      <c r="AI984" s="21"/>
      <c r="AJ984" s="21"/>
      <c r="AK984" s="21"/>
      <c r="AL984" s="21"/>
      <c r="AM984" s="21">
        <v>1</v>
      </c>
      <c r="AN984" s="21"/>
      <c r="AO984" s="21"/>
      <c r="AP984" s="21"/>
      <c r="AQ984" s="21"/>
      <c r="AR984" s="21"/>
      <c r="AS984" s="21"/>
      <c r="AT984" s="12" t="str">
        <f>HYPERLINK("http://www.openstreetmap.org/?mlat=30.47&amp;mlon=47.98&amp;zoom=12#map=12/30.47/47.98","Maplink1")</f>
        <v>Maplink1</v>
      </c>
      <c r="AU984" s="12" t="str">
        <f>HYPERLINK("https://www.google.iq/maps/search/+30.47,47.98/@30.47,47.98,14z?hl=en","Maplink2")</f>
        <v>Maplink2</v>
      </c>
      <c r="AV984" s="12" t="str">
        <f>HYPERLINK("http://www.bing.com/maps/?lvl=14&amp;sty=h&amp;cp=30.47~47.98&amp;sp=point.30.47_47.98","Maplink3")</f>
        <v>Maplink3</v>
      </c>
    </row>
    <row r="985" spans="1:48" ht="15" customHeight="1" x14ac:dyDescent="0.25">
      <c r="A985" s="19">
        <v>960</v>
      </c>
      <c r="B985" s="20" t="s">
        <v>12</v>
      </c>
      <c r="C985" s="20" t="s">
        <v>1918</v>
      </c>
      <c r="D985" s="20" t="s">
        <v>1937</v>
      </c>
      <c r="E985" s="20" t="s">
        <v>1938</v>
      </c>
      <c r="F985" s="20">
        <v>30.5399819557</v>
      </c>
      <c r="G985" s="20">
        <v>47.8528562654</v>
      </c>
      <c r="H985" s="22">
        <v>5</v>
      </c>
      <c r="I985" s="22">
        <v>30</v>
      </c>
      <c r="J985" s="21"/>
      <c r="K985" s="21"/>
      <c r="L985" s="21"/>
      <c r="M985" s="21"/>
      <c r="N985" s="21"/>
      <c r="O985" s="21"/>
      <c r="P985" s="21"/>
      <c r="Q985" s="21"/>
      <c r="R985" s="21">
        <v>1</v>
      </c>
      <c r="S985" s="21"/>
      <c r="T985" s="21"/>
      <c r="U985" s="21"/>
      <c r="V985" s="21">
        <v>1</v>
      </c>
      <c r="W985" s="21"/>
      <c r="X985" s="21">
        <v>3</v>
      </c>
      <c r="Y985" s="21"/>
      <c r="Z985" s="21"/>
      <c r="AA985" s="21"/>
      <c r="AB985" s="21"/>
      <c r="AC985" s="21"/>
      <c r="AD985" s="21"/>
      <c r="AE985" s="21">
        <v>2</v>
      </c>
      <c r="AF985" s="21"/>
      <c r="AG985" s="21"/>
      <c r="AH985" s="21">
        <v>3</v>
      </c>
      <c r="AI985" s="21"/>
      <c r="AJ985" s="21"/>
      <c r="AK985" s="21"/>
      <c r="AL985" s="21"/>
      <c r="AM985" s="21">
        <v>1</v>
      </c>
      <c r="AN985" s="21"/>
      <c r="AO985" s="21">
        <v>4</v>
      </c>
      <c r="AP985" s="21"/>
      <c r="AQ985" s="21"/>
      <c r="AR985" s="21"/>
      <c r="AS985" s="21"/>
      <c r="AT985" s="12" t="str">
        <f>HYPERLINK("http://www.openstreetmap.org/?mlat=30.54&amp;mlon=47.8529&amp;zoom=12#map=12/30.54/47.8529","Maplink1")</f>
        <v>Maplink1</v>
      </c>
      <c r="AU985" s="12" t="str">
        <f>HYPERLINK("https://www.google.iq/maps/search/+30.54,47.8529/@30.54,47.8529,14z?hl=en","Maplink2")</f>
        <v>Maplink2</v>
      </c>
      <c r="AV985" s="12" t="str">
        <f>HYPERLINK("http://www.bing.com/maps/?lvl=14&amp;sty=h&amp;cp=30.54~47.8529&amp;sp=point.30.54_47.8529","Maplink3")</f>
        <v>Maplink3</v>
      </c>
    </row>
    <row r="986" spans="1:48" ht="15" customHeight="1" x14ac:dyDescent="0.25">
      <c r="A986" s="19">
        <v>25723</v>
      </c>
      <c r="B986" s="20" t="s">
        <v>12</v>
      </c>
      <c r="C986" s="20" t="s">
        <v>1918</v>
      </c>
      <c r="D986" s="20" t="s">
        <v>1939</v>
      </c>
      <c r="E986" s="20" t="s">
        <v>1940</v>
      </c>
      <c r="F986" s="20">
        <v>30.6130881608</v>
      </c>
      <c r="G986" s="20">
        <v>47.777632959199998</v>
      </c>
      <c r="H986" s="22">
        <v>1</v>
      </c>
      <c r="I986" s="22">
        <v>6</v>
      </c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>
        <v>1</v>
      </c>
      <c r="W986" s="21"/>
      <c r="X986" s="21"/>
      <c r="Y986" s="21"/>
      <c r="Z986" s="21"/>
      <c r="AA986" s="21"/>
      <c r="AB986" s="21"/>
      <c r="AC986" s="21">
        <v>1</v>
      </c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>
        <v>1</v>
      </c>
      <c r="AS986" s="21"/>
      <c r="AT986" s="12" t="str">
        <f>HYPERLINK("http://www.openstreetmap.org/?mlat=30.6131&amp;mlon=47.7776&amp;zoom=12#map=12/30.6131/47.7776","Maplink1")</f>
        <v>Maplink1</v>
      </c>
      <c r="AU986" s="12" t="str">
        <f>HYPERLINK("https://www.google.iq/maps/search/+30.6131,47.7776/@30.6131,47.7776,14z?hl=en","Maplink2")</f>
        <v>Maplink2</v>
      </c>
      <c r="AV986" s="12" t="str">
        <f>HYPERLINK("http://www.bing.com/maps/?lvl=14&amp;sty=h&amp;cp=30.6131~47.7776&amp;sp=point.30.6131_47.7776","Maplink3")</f>
        <v>Maplink3</v>
      </c>
    </row>
    <row r="987" spans="1:48" ht="15" customHeight="1" x14ac:dyDescent="0.25">
      <c r="A987" s="19">
        <v>25461</v>
      </c>
      <c r="B987" s="20" t="s">
        <v>12</v>
      </c>
      <c r="C987" s="20" t="s">
        <v>1918</v>
      </c>
      <c r="D987" s="20" t="s">
        <v>1941</v>
      </c>
      <c r="E987" s="20" t="s">
        <v>1942</v>
      </c>
      <c r="F987" s="20">
        <v>30.529763370000001</v>
      </c>
      <c r="G987" s="20">
        <v>47.857824389999998</v>
      </c>
      <c r="H987" s="22">
        <v>4</v>
      </c>
      <c r="I987" s="22">
        <v>24</v>
      </c>
      <c r="J987" s="21"/>
      <c r="K987" s="21">
        <v>4</v>
      </c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>
        <v>4</v>
      </c>
      <c r="AI987" s="21"/>
      <c r="AJ987" s="21"/>
      <c r="AK987" s="21"/>
      <c r="AL987" s="21"/>
      <c r="AM987" s="21">
        <v>4</v>
      </c>
      <c r="AN987" s="21"/>
      <c r="AO987" s="21"/>
      <c r="AP987" s="21"/>
      <c r="AQ987" s="21"/>
      <c r="AR987" s="21"/>
      <c r="AS987" s="21"/>
      <c r="AT987" s="12" t="str">
        <f>HYPERLINK("http://www.openstreetmap.org/?mlat=30.5298&amp;mlon=47.8578&amp;zoom=12#map=12/30.5298/47.8578","Maplink1")</f>
        <v>Maplink1</v>
      </c>
      <c r="AU987" s="12" t="str">
        <f>HYPERLINK("https://www.google.iq/maps/search/+30.5298,47.8578/@30.5298,47.8578,14z?hl=en","Maplink2")</f>
        <v>Maplink2</v>
      </c>
      <c r="AV987" s="12" t="str">
        <f>HYPERLINK("http://www.bing.com/maps/?lvl=14&amp;sty=h&amp;cp=30.5298~47.8578&amp;sp=point.30.5298_47.8578","Maplink3")</f>
        <v>Maplink3</v>
      </c>
    </row>
    <row r="988" spans="1:48" ht="15" customHeight="1" x14ac:dyDescent="0.25">
      <c r="A988" s="19">
        <v>24531</v>
      </c>
      <c r="B988" s="20" t="s">
        <v>12</v>
      </c>
      <c r="C988" s="20" t="s">
        <v>1918</v>
      </c>
      <c r="D988" s="20" t="s">
        <v>1943</v>
      </c>
      <c r="E988" s="20" t="s">
        <v>1944</v>
      </c>
      <c r="F988" s="20">
        <v>30.532456759999999</v>
      </c>
      <c r="G988" s="20">
        <v>47.85178251</v>
      </c>
      <c r="H988" s="22">
        <v>2</v>
      </c>
      <c r="I988" s="22">
        <v>12</v>
      </c>
      <c r="J988" s="21"/>
      <c r="K988" s="21"/>
      <c r="L988" s="21"/>
      <c r="M988" s="21"/>
      <c r="N988" s="21"/>
      <c r="O988" s="21"/>
      <c r="P988" s="21"/>
      <c r="Q988" s="21"/>
      <c r="R988" s="21">
        <v>2</v>
      </c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>
        <v>2</v>
      </c>
      <c r="AI988" s="21"/>
      <c r="AJ988" s="21"/>
      <c r="AK988" s="21"/>
      <c r="AL988" s="21"/>
      <c r="AM988" s="21">
        <v>2</v>
      </c>
      <c r="AN988" s="21"/>
      <c r="AO988" s="21"/>
      <c r="AP988" s="21"/>
      <c r="AQ988" s="21"/>
      <c r="AR988" s="21"/>
      <c r="AS988" s="21"/>
      <c r="AT988" s="12" t="str">
        <f>HYPERLINK("http://www.openstreetmap.org/?mlat=30.5325&amp;mlon=47.8518&amp;zoom=12#map=12/30.5325/47.8518","Maplink1")</f>
        <v>Maplink1</v>
      </c>
      <c r="AU988" s="12" t="str">
        <f>HYPERLINK("https://www.google.iq/maps/search/+30.5325,47.8518/@30.5325,47.8518,14z?hl=en","Maplink2")</f>
        <v>Maplink2</v>
      </c>
      <c r="AV988" s="12" t="str">
        <f>HYPERLINK("http://www.bing.com/maps/?lvl=14&amp;sty=h&amp;cp=30.5325~47.8518&amp;sp=point.30.5325_47.8518","Maplink3")</f>
        <v>Maplink3</v>
      </c>
    </row>
    <row r="989" spans="1:48" ht="15" customHeight="1" x14ac:dyDescent="0.25">
      <c r="A989" s="19">
        <v>24775</v>
      </c>
      <c r="B989" s="20" t="s">
        <v>12</v>
      </c>
      <c r="C989" s="20" t="s">
        <v>1918</v>
      </c>
      <c r="D989" s="20" t="s">
        <v>1945</v>
      </c>
      <c r="E989" s="20" t="s">
        <v>1946</v>
      </c>
      <c r="F989" s="20">
        <v>30.529582529999999</v>
      </c>
      <c r="G989" s="20">
        <v>47.849499399999999</v>
      </c>
      <c r="H989" s="22">
        <v>1</v>
      </c>
      <c r="I989" s="22">
        <v>6</v>
      </c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>
        <v>1</v>
      </c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>
        <v>1</v>
      </c>
      <c r="AI989" s="21"/>
      <c r="AJ989" s="21"/>
      <c r="AK989" s="21"/>
      <c r="AL989" s="21"/>
      <c r="AM989" s="21">
        <v>1</v>
      </c>
      <c r="AN989" s="21"/>
      <c r="AO989" s="21"/>
      <c r="AP989" s="21"/>
      <c r="AQ989" s="21"/>
      <c r="AR989" s="21"/>
      <c r="AS989" s="21"/>
      <c r="AT989" s="12" t="str">
        <f>HYPERLINK("http://www.openstreetmap.org/?mlat=30.5296&amp;mlon=47.8495&amp;zoom=12#map=12/30.5296/47.8495","Maplink1")</f>
        <v>Maplink1</v>
      </c>
      <c r="AU989" s="12" t="str">
        <f>HYPERLINK("https://www.google.iq/maps/search/+30.5296,47.8495/@30.5296,47.8495,14z?hl=en","Maplink2")</f>
        <v>Maplink2</v>
      </c>
      <c r="AV989" s="12" t="str">
        <f>HYPERLINK("http://www.bing.com/maps/?lvl=14&amp;sty=h&amp;cp=30.5296~47.8495&amp;sp=point.30.5296_47.8495","Maplink3")</f>
        <v>Maplink3</v>
      </c>
    </row>
    <row r="990" spans="1:48" ht="15" customHeight="1" x14ac:dyDescent="0.25">
      <c r="A990" s="19">
        <v>7861</v>
      </c>
      <c r="B990" s="20" t="s">
        <v>13</v>
      </c>
      <c r="C990" s="20" t="s">
        <v>1947</v>
      </c>
      <c r="D990" s="20" t="s">
        <v>1947</v>
      </c>
      <c r="E990" s="20" t="s">
        <v>1948</v>
      </c>
      <c r="F990" s="20">
        <v>37.091003479999998</v>
      </c>
      <c r="G990" s="20">
        <v>43.489128469999997</v>
      </c>
      <c r="H990" s="22">
        <v>14</v>
      </c>
      <c r="I990" s="22">
        <v>84</v>
      </c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>
        <v>14</v>
      </c>
      <c r="W990" s="21"/>
      <c r="X990" s="21"/>
      <c r="Y990" s="21"/>
      <c r="Z990" s="21"/>
      <c r="AA990" s="21"/>
      <c r="AB990" s="21"/>
      <c r="AC990" s="21">
        <v>1</v>
      </c>
      <c r="AD990" s="21"/>
      <c r="AE990" s="21"/>
      <c r="AF990" s="21"/>
      <c r="AG990" s="21"/>
      <c r="AH990" s="21">
        <v>13</v>
      </c>
      <c r="AI990" s="21"/>
      <c r="AJ990" s="21"/>
      <c r="AK990" s="21"/>
      <c r="AL990" s="21"/>
      <c r="AM990" s="21">
        <v>3</v>
      </c>
      <c r="AN990" s="21">
        <v>11</v>
      </c>
      <c r="AO990" s="21"/>
      <c r="AP990" s="21"/>
      <c r="AQ990" s="21"/>
      <c r="AR990" s="21"/>
      <c r="AS990" s="21"/>
      <c r="AT990" s="12" t="str">
        <f>HYPERLINK("http://www.openstreetmap.org/?mlat=37.091&amp;mlon=43.4891&amp;zoom=12#map=12/37.091/43.4891","Maplink1")</f>
        <v>Maplink1</v>
      </c>
      <c r="AU990" s="12" t="str">
        <f>HYPERLINK("https://www.google.iq/maps/search/+37.091,43.4891/@37.091,43.4891,14z?hl=en","Maplink2")</f>
        <v>Maplink2</v>
      </c>
      <c r="AV990" s="12" t="str">
        <f>HYPERLINK("http://www.bing.com/maps/?lvl=14&amp;sty=h&amp;cp=37.091~43.4891&amp;sp=point.37.091_43.4891","Maplink3")</f>
        <v>Maplink3</v>
      </c>
    </row>
    <row r="991" spans="1:48" ht="15" customHeight="1" x14ac:dyDescent="0.25">
      <c r="A991" s="19">
        <v>8171</v>
      </c>
      <c r="B991" s="20" t="s">
        <v>13</v>
      </c>
      <c r="C991" s="20" t="s">
        <v>1947</v>
      </c>
      <c r="D991" s="20" t="s">
        <v>1949</v>
      </c>
      <c r="E991" s="20" t="s">
        <v>1950</v>
      </c>
      <c r="F991" s="20">
        <v>37.108807749999997</v>
      </c>
      <c r="G991" s="20">
        <v>43.318699000000002</v>
      </c>
      <c r="H991" s="22">
        <v>7</v>
      </c>
      <c r="I991" s="22">
        <v>42</v>
      </c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>
        <v>7</v>
      </c>
      <c r="W991" s="21"/>
      <c r="X991" s="21"/>
      <c r="Y991" s="21"/>
      <c r="Z991" s="21"/>
      <c r="AA991" s="21"/>
      <c r="AB991" s="21"/>
      <c r="AC991" s="21">
        <v>6</v>
      </c>
      <c r="AD991" s="21"/>
      <c r="AE991" s="21"/>
      <c r="AF991" s="21"/>
      <c r="AG991" s="21"/>
      <c r="AH991" s="21">
        <v>1</v>
      </c>
      <c r="AI991" s="21"/>
      <c r="AJ991" s="21"/>
      <c r="AK991" s="21"/>
      <c r="AL991" s="21"/>
      <c r="AM991" s="21"/>
      <c r="AN991" s="21">
        <v>7</v>
      </c>
      <c r="AO991" s="21"/>
      <c r="AP991" s="21"/>
      <c r="AQ991" s="21"/>
      <c r="AR991" s="21"/>
      <c r="AS991" s="21"/>
      <c r="AT991" s="12" t="str">
        <f>HYPERLINK("http://www.openstreetmap.org/?mlat=37.1088&amp;mlon=43.3187&amp;zoom=12#map=12/37.1088/43.3187","Maplink1")</f>
        <v>Maplink1</v>
      </c>
      <c r="AU991" s="12" t="str">
        <f>HYPERLINK("https://www.google.iq/maps/search/+37.1088,43.3187/@37.1088,43.3187,14z?hl=en","Maplink2")</f>
        <v>Maplink2</v>
      </c>
      <c r="AV991" s="12" t="str">
        <f>HYPERLINK("http://www.bing.com/maps/?lvl=14&amp;sty=h&amp;cp=37.1088~43.3187&amp;sp=point.37.1088_43.3187","Maplink3")</f>
        <v>Maplink3</v>
      </c>
    </row>
    <row r="992" spans="1:48" ht="15" customHeight="1" x14ac:dyDescent="0.25">
      <c r="A992" s="19">
        <v>22613</v>
      </c>
      <c r="B992" s="20" t="s">
        <v>13</v>
      </c>
      <c r="C992" s="20" t="s">
        <v>1947</v>
      </c>
      <c r="D992" s="20" t="s">
        <v>1951</v>
      </c>
      <c r="E992" s="20" t="s">
        <v>1952</v>
      </c>
      <c r="F992" s="20">
        <v>37.046297080000002</v>
      </c>
      <c r="G992" s="20">
        <v>43.36303719</v>
      </c>
      <c r="H992" s="22">
        <v>9</v>
      </c>
      <c r="I992" s="22">
        <v>54</v>
      </c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>
        <v>9</v>
      </c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>
        <v>9</v>
      </c>
      <c r="AI992" s="21"/>
      <c r="AJ992" s="21"/>
      <c r="AK992" s="21"/>
      <c r="AL992" s="21"/>
      <c r="AM992" s="21">
        <v>8</v>
      </c>
      <c r="AN992" s="21">
        <v>1</v>
      </c>
      <c r="AO992" s="21"/>
      <c r="AP992" s="21"/>
      <c r="AQ992" s="21"/>
      <c r="AR992" s="21"/>
      <c r="AS992" s="21"/>
      <c r="AT992" s="12" t="str">
        <f>HYPERLINK("http://www.openstreetmap.org/?mlat=37.0463&amp;mlon=43.363&amp;zoom=12#map=12/37.0463/43.363","Maplink1")</f>
        <v>Maplink1</v>
      </c>
      <c r="AU992" s="12" t="str">
        <f>HYPERLINK("https://www.google.iq/maps/search/+37.0463,43.363/@37.0463,43.363,14z?hl=en","Maplink2")</f>
        <v>Maplink2</v>
      </c>
      <c r="AV992" s="12" t="str">
        <f>HYPERLINK("http://www.bing.com/maps/?lvl=14&amp;sty=h&amp;cp=37.0463~43.363&amp;sp=point.37.0463_43.363","Maplink3")</f>
        <v>Maplink3</v>
      </c>
    </row>
    <row r="993" spans="1:48" ht="15" customHeight="1" x14ac:dyDescent="0.25">
      <c r="A993" s="19">
        <v>8189</v>
      </c>
      <c r="B993" s="20" t="s">
        <v>13</v>
      </c>
      <c r="C993" s="20" t="s">
        <v>1947</v>
      </c>
      <c r="D993" s="20" t="s">
        <v>1953</v>
      </c>
      <c r="E993" s="20" t="s">
        <v>1954</v>
      </c>
      <c r="F993" s="20">
        <v>37.119051730000002</v>
      </c>
      <c r="G993" s="20">
        <v>43.266970870000002</v>
      </c>
      <c r="H993" s="22">
        <v>16</v>
      </c>
      <c r="I993" s="22">
        <v>96</v>
      </c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>
        <v>16</v>
      </c>
      <c r="W993" s="21"/>
      <c r="X993" s="21"/>
      <c r="Y993" s="21"/>
      <c r="Z993" s="21"/>
      <c r="AA993" s="21"/>
      <c r="AB993" s="21"/>
      <c r="AC993" s="21">
        <v>4</v>
      </c>
      <c r="AD993" s="21"/>
      <c r="AE993" s="21">
        <v>2</v>
      </c>
      <c r="AF993" s="21"/>
      <c r="AG993" s="21"/>
      <c r="AH993" s="21">
        <v>8</v>
      </c>
      <c r="AI993" s="21"/>
      <c r="AJ993" s="21">
        <v>2</v>
      </c>
      <c r="AK993" s="21"/>
      <c r="AL993" s="21"/>
      <c r="AM993" s="21"/>
      <c r="AN993" s="21">
        <v>16</v>
      </c>
      <c r="AO993" s="21"/>
      <c r="AP993" s="21"/>
      <c r="AQ993" s="21"/>
      <c r="AR993" s="21"/>
      <c r="AS993" s="21"/>
      <c r="AT993" s="12" t="str">
        <f>HYPERLINK("http://www.openstreetmap.org/?mlat=37.1191&amp;mlon=43.267&amp;zoom=12#map=12/37.1191/43.267","Maplink1")</f>
        <v>Maplink1</v>
      </c>
      <c r="AU993" s="12" t="str">
        <f>HYPERLINK("https://www.google.iq/maps/search/+37.1191,43.267/@37.1191,43.267,14z?hl=en","Maplink2")</f>
        <v>Maplink2</v>
      </c>
      <c r="AV993" s="12" t="str">
        <f>HYPERLINK("http://www.bing.com/maps/?lvl=14&amp;sty=h&amp;cp=37.1191~43.267&amp;sp=point.37.1191_43.267","Maplink3")</f>
        <v>Maplink3</v>
      </c>
    </row>
    <row r="994" spans="1:48" ht="15" customHeight="1" x14ac:dyDescent="0.25">
      <c r="A994" s="19">
        <v>8666</v>
      </c>
      <c r="B994" s="20" t="s">
        <v>13</v>
      </c>
      <c r="C994" s="20" t="s">
        <v>1947</v>
      </c>
      <c r="D994" s="20" t="s">
        <v>6070</v>
      </c>
      <c r="E994" s="20" t="s">
        <v>6071</v>
      </c>
      <c r="F994" s="20">
        <v>37.074412000000002</v>
      </c>
      <c r="G994" s="20">
        <v>43.579920999999999</v>
      </c>
      <c r="H994" s="22">
        <v>6</v>
      </c>
      <c r="I994" s="22">
        <v>36</v>
      </c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>
        <v>6</v>
      </c>
      <c r="W994" s="21"/>
      <c r="X994" s="21"/>
      <c r="Y994" s="21"/>
      <c r="Z994" s="21"/>
      <c r="AA994" s="21"/>
      <c r="AB994" s="21"/>
      <c r="AC994" s="21">
        <v>6</v>
      </c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>
        <v>6</v>
      </c>
      <c r="AO994" s="21"/>
      <c r="AP994" s="21"/>
      <c r="AQ994" s="21"/>
      <c r="AR994" s="21"/>
      <c r="AS994" s="21"/>
      <c r="AT994" s="12" t="str">
        <f>HYPERLINK("http://www.openstreetmap.org/?mlat=37.0744&amp;mlon=43.5799&amp;zoom=12#map=12/37.0744/43.5799","Maplink1")</f>
        <v>Maplink1</v>
      </c>
      <c r="AU994" s="12" t="str">
        <f>HYPERLINK("https://www.google.iq/maps/search/+37.0744,43.5799/@37.0744,43.5799,14z?hl=en","Maplink2")</f>
        <v>Maplink2</v>
      </c>
      <c r="AV994" s="12" t="str">
        <f>HYPERLINK("http://www.bing.com/maps/?lvl=14&amp;sty=h&amp;cp=37.0744~43.5799&amp;sp=point.37.0744_43.5799","Maplink3")</f>
        <v>Maplink3</v>
      </c>
    </row>
    <row r="995" spans="1:48" ht="15" customHeight="1" x14ac:dyDescent="0.25">
      <c r="A995" s="19">
        <v>8204</v>
      </c>
      <c r="B995" s="20" t="s">
        <v>13</v>
      </c>
      <c r="C995" s="20" t="s">
        <v>1947</v>
      </c>
      <c r="D995" s="20" t="s">
        <v>6072</v>
      </c>
      <c r="E995" s="20" t="s">
        <v>6073</v>
      </c>
      <c r="F995" s="20">
        <v>37.099414000000003</v>
      </c>
      <c r="G995" s="20">
        <v>43.453004</v>
      </c>
      <c r="H995" s="22">
        <v>7</v>
      </c>
      <c r="I995" s="22">
        <v>42</v>
      </c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>
        <v>7</v>
      </c>
      <c r="W995" s="21"/>
      <c r="X995" s="21"/>
      <c r="Y995" s="21"/>
      <c r="Z995" s="21"/>
      <c r="AA995" s="21"/>
      <c r="AB995" s="21"/>
      <c r="AC995" s="21">
        <v>7</v>
      </c>
      <c r="AD995" s="21"/>
      <c r="AE995" s="21"/>
      <c r="AF995" s="21"/>
      <c r="AG995" s="21"/>
      <c r="AH995" s="21"/>
      <c r="AI995" s="21"/>
      <c r="AJ995" s="21"/>
      <c r="AK995" s="21"/>
      <c r="AL995" s="21"/>
      <c r="AM995" s="21">
        <v>2</v>
      </c>
      <c r="AN995" s="21">
        <v>5</v>
      </c>
      <c r="AO995" s="21"/>
      <c r="AP995" s="21"/>
      <c r="AQ995" s="21"/>
      <c r="AR995" s="21"/>
      <c r="AS995" s="21"/>
      <c r="AT995" s="12" t="str">
        <f>HYPERLINK("http://www.openstreetmap.org/?mlat=37.0994&amp;mlon=43.453&amp;zoom=12#map=12/37.0994/43.453","Maplink1")</f>
        <v>Maplink1</v>
      </c>
      <c r="AU995" s="12" t="str">
        <f>HYPERLINK("https://www.google.iq/maps/search/+37.0994,43.453/@37.0994,43.453,14z?hl=en","Maplink2")</f>
        <v>Maplink2</v>
      </c>
      <c r="AV995" s="12" t="str">
        <f>HYPERLINK("http://www.bing.com/maps/?lvl=14&amp;sty=h&amp;cp=37.0994~43.453&amp;sp=point.37.0994_43.453","Maplink3")</f>
        <v>Maplink3</v>
      </c>
    </row>
    <row r="996" spans="1:48" ht="15" customHeight="1" x14ac:dyDescent="0.25">
      <c r="A996" s="19">
        <v>7896</v>
      </c>
      <c r="B996" s="20" t="s">
        <v>13</v>
      </c>
      <c r="C996" s="20" t="s">
        <v>1947</v>
      </c>
      <c r="D996" s="20" t="s">
        <v>6074</v>
      </c>
      <c r="E996" s="20" t="s">
        <v>6075</v>
      </c>
      <c r="F996" s="20">
        <v>37.086277000000003</v>
      </c>
      <c r="G996" s="20">
        <v>43.375942999999999</v>
      </c>
      <c r="H996" s="22">
        <v>5</v>
      </c>
      <c r="I996" s="22">
        <v>30</v>
      </c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>
        <v>5</v>
      </c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>
        <v>3</v>
      </c>
      <c r="AI996" s="21"/>
      <c r="AJ996" s="21">
        <v>2</v>
      </c>
      <c r="AK996" s="21"/>
      <c r="AL996" s="21"/>
      <c r="AM996" s="21"/>
      <c r="AN996" s="21">
        <v>5</v>
      </c>
      <c r="AO996" s="21"/>
      <c r="AP996" s="21"/>
      <c r="AQ996" s="21"/>
      <c r="AR996" s="21"/>
      <c r="AS996" s="21"/>
      <c r="AT996" s="12" t="str">
        <f>HYPERLINK("http://www.openstreetmap.org/?mlat=37.0863&amp;mlon=43.3759&amp;zoom=12#map=12/37.0863/43.3759","Maplink1")</f>
        <v>Maplink1</v>
      </c>
      <c r="AU996" s="12" t="str">
        <f>HYPERLINK("https://www.google.iq/maps/search/+37.0863,43.3759/@37.0863,43.3759,14z?hl=en","Maplink2")</f>
        <v>Maplink2</v>
      </c>
      <c r="AV996" s="12" t="str">
        <f>HYPERLINK("http://www.bing.com/maps/?lvl=14&amp;sty=h&amp;cp=37.0863~43.3759&amp;sp=point.37.0863_43.3759","Maplink3")</f>
        <v>Maplink3</v>
      </c>
    </row>
    <row r="997" spans="1:48" ht="15" customHeight="1" x14ac:dyDescent="0.25">
      <c r="A997" s="19">
        <v>8418</v>
      </c>
      <c r="B997" s="20" t="s">
        <v>13</v>
      </c>
      <c r="C997" s="20" t="s">
        <v>1947</v>
      </c>
      <c r="D997" s="20" t="s">
        <v>6076</v>
      </c>
      <c r="E997" s="20" t="s">
        <v>6077</v>
      </c>
      <c r="F997" s="20">
        <v>37.086387000000002</v>
      </c>
      <c r="G997" s="20">
        <v>43.434071000000003</v>
      </c>
      <c r="H997" s="22">
        <v>10</v>
      </c>
      <c r="I997" s="22">
        <v>60</v>
      </c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>
        <v>10</v>
      </c>
      <c r="W997" s="21"/>
      <c r="X997" s="21"/>
      <c r="Y997" s="21"/>
      <c r="Z997" s="21"/>
      <c r="AA997" s="21"/>
      <c r="AB997" s="21"/>
      <c r="AC997" s="21">
        <v>10</v>
      </c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>
        <v>10</v>
      </c>
      <c r="AO997" s="21"/>
      <c r="AP997" s="21"/>
      <c r="AQ997" s="21"/>
      <c r="AR997" s="21"/>
      <c r="AS997" s="21"/>
      <c r="AT997" s="12" t="str">
        <f>HYPERLINK("http://www.openstreetmap.org/?mlat=37.0864&amp;mlon=43.4341&amp;zoom=12#map=12/37.0864/43.4341","Maplink1")</f>
        <v>Maplink1</v>
      </c>
      <c r="AU997" s="12" t="str">
        <f>HYPERLINK("https://www.google.iq/maps/search/+37.0864,43.4341/@37.0864,43.4341,14z?hl=en","Maplink2")</f>
        <v>Maplink2</v>
      </c>
      <c r="AV997" s="12" t="str">
        <f>HYPERLINK("http://www.bing.com/maps/?lvl=14&amp;sty=h&amp;cp=37.0864~43.4341&amp;sp=point.37.0864_43.4341","Maplink3")</f>
        <v>Maplink3</v>
      </c>
    </row>
    <row r="998" spans="1:48" ht="15" customHeight="1" x14ac:dyDescent="0.25">
      <c r="A998" s="19">
        <v>8214</v>
      </c>
      <c r="B998" s="20" t="s">
        <v>13</v>
      </c>
      <c r="C998" s="20" t="s">
        <v>1947</v>
      </c>
      <c r="D998" s="20" t="s">
        <v>6078</v>
      </c>
      <c r="E998" s="20" t="s">
        <v>6079</v>
      </c>
      <c r="F998" s="20">
        <v>37.256788</v>
      </c>
      <c r="G998" s="20">
        <v>43.160867000000003</v>
      </c>
      <c r="H998" s="22">
        <v>5</v>
      </c>
      <c r="I998" s="22">
        <v>30</v>
      </c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>
        <v>5</v>
      </c>
      <c r="W998" s="21"/>
      <c r="X998" s="21"/>
      <c r="Y998" s="21"/>
      <c r="Z998" s="21"/>
      <c r="AA998" s="21"/>
      <c r="AB998" s="21"/>
      <c r="AC998" s="21">
        <v>5</v>
      </c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>
        <v>5</v>
      </c>
      <c r="AO998" s="21"/>
      <c r="AP998" s="21"/>
      <c r="AQ998" s="21"/>
      <c r="AR998" s="21"/>
      <c r="AS998" s="21"/>
      <c r="AT998" s="12" t="str">
        <f>HYPERLINK("http://www.openstreetmap.org/?mlat=37.2568&amp;mlon=43.1609&amp;zoom=12#map=12/37.2568/43.1609","Maplink1")</f>
        <v>Maplink1</v>
      </c>
      <c r="AU998" s="12" t="str">
        <f>HYPERLINK("https://www.google.iq/maps/search/+37.2568,43.1609/@37.2568,43.1609,14z?hl=en","Maplink2")</f>
        <v>Maplink2</v>
      </c>
      <c r="AV998" s="12" t="str">
        <f>HYPERLINK("http://www.bing.com/maps/?lvl=14&amp;sty=h&amp;cp=37.2568~43.1609&amp;sp=point.37.2568_43.1609","Maplink3")</f>
        <v>Maplink3</v>
      </c>
    </row>
    <row r="999" spans="1:48" ht="15" customHeight="1" x14ac:dyDescent="0.25">
      <c r="A999" s="19">
        <v>7770</v>
      </c>
      <c r="B999" s="20" t="s">
        <v>13</v>
      </c>
      <c r="C999" s="20" t="s">
        <v>1947</v>
      </c>
      <c r="D999" s="20" t="s">
        <v>1955</v>
      </c>
      <c r="E999" s="20" t="s">
        <v>1956</v>
      </c>
      <c r="F999" s="20">
        <v>36.939068769999999</v>
      </c>
      <c r="G999" s="20">
        <v>43.409089059999999</v>
      </c>
      <c r="H999" s="22">
        <v>99</v>
      </c>
      <c r="I999" s="22">
        <v>594</v>
      </c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>
        <v>99</v>
      </c>
      <c r="W999" s="21"/>
      <c r="X999" s="21"/>
      <c r="Y999" s="21"/>
      <c r="Z999" s="21"/>
      <c r="AA999" s="21"/>
      <c r="AB999" s="21"/>
      <c r="AC999" s="21">
        <v>16</v>
      </c>
      <c r="AD999" s="21"/>
      <c r="AE999" s="21"/>
      <c r="AF999" s="21"/>
      <c r="AG999" s="21"/>
      <c r="AH999" s="21">
        <v>63</v>
      </c>
      <c r="AI999" s="21"/>
      <c r="AJ999" s="21">
        <v>20</v>
      </c>
      <c r="AK999" s="21"/>
      <c r="AL999" s="21"/>
      <c r="AM999" s="21">
        <v>23</v>
      </c>
      <c r="AN999" s="21">
        <v>76</v>
      </c>
      <c r="AO999" s="21"/>
      <c r="AP999" s="21"/>
      <c r="AQ999" s="21"/>
      <c r="AR999" s="21"/>
      <c r="AS999" s="21"/>
      <c r="AT999" s="12" t="str">
        <f>HYPERLINK("http://www.openstreetmap.org/?mlat=36.9391&amp;mlon=43.4091&amp;zoom=12#map=12/36.9391/43.4091","Maplink1")</f>
        <v>Maplink1</v>
      </c>
      <c r="AU999" s="12" t="str">
        <f>HYPERLINK("https://www.google.iq/maps/search/+36.9391,43.4091/@36.9391,43.4091,14z?hl=en","Maplink2")</f>
        <v>Maplink2</v>
      </c>
      <c r="AV999" s="12" t="str">
        <f>HYPERLINK("http://www.bing.com/maps/?lvl=14&amp;sty=h&amp;cp=36.9391~43.4091&amp;sp=point.36.9391_43.4091","Maplink3")</f>
        <v>Maplink3</v>
      </c>
    </row>
    <row r="1000" spans="1:48" ht="15" customHeight="1" x14ac:dyDescent="0.25">
      <c r="A1000" s="19">
        <v>24920</v>
      </c>
      <c r="B1000" s="20" t="s">
        <v>13</v>
      </c>
      <c r="C1000" s="20" t="s">
        <v>1947</v>
      </c>
      <c r="D1000" s="20" t="s">
        <v>6080</v>
      </c>
      <c r="E1000" s="20" t="s">
        <v>1957</v>
      </c>
      <c r="F1000" s="20">
        <v>37.093653770000003</v>
      </c>
      <c r="G1000" s="20">
        <v>43.226869960000002</v>
      </c>
      <c r="H1000" s="22">
        <v>638</v>
      </c>
      <c r="I1000" s="22">
        <v>3828</v>
      </c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>
        <v>638</v>
      </c>
      <c r="W1000" s="21"/>
      <c r="X1000" s="21"/>
      <c r="Y1000" s="21"/>
      <c r="Z1000" s="21"/>
      <c r="AA1000" s="21"/>
      <c r="AB1000" s="21">
        <v>638</v>
      </c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>
        <v>4</v>
      </c>
      <c r="AN1000" s="21">
        <v>634</v>
      </c>
      <c r="AO1000" s="21"/>
      <c r="AP1000" s="21"/>
      <c r="AQ1000" s="21"/>
      <c r="AR1000" s="21"/>
      <c r="AS1000" s="21"/>
      <c r="AT1000" s="12" t="str">
        <f>HYPERLINK("http://www.openstreetmap.org/?mlat=37.0937&amp;mlon=43.2269&amp;zoom=12#map=12/37.0937/43.2269","Maplink1")</f>
        <v>Maplink1</v>
      </c>
      <c r="AU1000" s="12" t="str">
        <f>HYPERLINK("https://www.google.iq/maps/search/+37.0937,43.2269/@37.0937,43.2269,14z?hl=en","Maplink2")</f>
        <v>Maplink2</v>
      </c>
      <c r="AV1000" s="12" t="str">
        <f>HYPERLINK("http://www.bing.com/maps/?lvl=14&amp;sty=h&amp;cp=37.0937~43.2269&amp;sp=point.37.0937_43.2269","Maplink3")</f>
        <v>Maplink3</v>
      </c>
    </row>
    <row r="1001" spans="1:48" ht="15" customHeight="1" x14ac:dyDescent="0.25">
      <c r="A1001" s="19">
        <v>8224</v>
      </c>
      <c r="B1001" s="20" t="s">
        <v>13</v>
      </c>
      <c r="C1001" s="20" t="s">
        <v>1947</v>
      </c>
      <c r="D1001" s="20" t="s">
        <v>6081</v>
      </c>
      <c r="E1001" s="20" t="s">
        <v>6082</v>
      </c>
      <c r="F1001" s="20">
        <v>37.090319999999998</v>
      </c>
      <c r="G1001" s="20">
        <v>43.221145999999997</v>
      </c>
      <c r="H1001" s="22">
        <v>6</v>
      </c>
      <c r="I1001" s="22">
        <v>36</v>
      </c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>
        <v>6</v>
      </c>
      <c r="W1001" s="21"/>
      <c r="X1001" s="21"/>
      <c r="Y1001" s="21"/>
      <c r="Z1001" s="21"/>
      <c r="AA1001" s="21"/>
      <c r="AB1001" s="21"/>
      <c r="AC1001" s="21">
        <v>6</v>
      </c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>
        <v>6</v>
      </c>
      <c r="AO1001" s="21"/>
      <c r="AP1001" s="21"/>
      <c r="AQ1001" s="21"/>
      <c r="AR1001" s="21"/>
      <c r="AS1001" s="21"/>
      <c r="AT1001" s="12" t="str">
        <f>HYPERLINK("http://www.openstreetmap.org/?mlat=37.0903&amp;mlon=43.2211&amp;zoom=12#map=12/37.0903/43.2211","Maplink1")</f>
        <v>Maplink1</v>
      </c>
      <c r="AU1001" s="12" t="str">
        <f>HYPERLINK("https://www.google.iq/maps/search/+37.0903,43.2211/@37.0903,43.2211,14z?hl=en","Maplink2")</f>
        <v>Maplink2</v>
      </c>
      <c r="AV1001" s="12" t="str">
        <f>HYPERLINK("http://www.bing.com/maps/?lvl=14&amp;sty=h&amp;cp=37.0903~43.2211&amp;sp=point.37.0903_43.2211","Maplink3")</f>
        <v>Maplink3</v>
      </c>
    </row>
    <row r="1002" spans="1:48" ht="15" customHeight="1" x14ac:dyDescent="0.25">
      <c r="A1002" s="19">
        <v>8229</v>
      </c>
      <c r="B1002" s="20" t="s">
        <v>13</v>
      </c>
      <c r="C1002" s="20" t="s">
        <v>1947</v>
      </c>
      <c r="D1002" s="20" t="s">
        <v>1958</v>
      </c>
      <c r="E1002" s="20" t="s">
        <v>1959</v>
      </c>
      <c r="F1002" s="20">
        <v>37.055278989999998</v>
      </c>
      <c r="G1002" s="20">
        <v>43.652199670000002</v>
      </c>
      <c r="H1002" s="22">
        <v>23</v>
      </c>
      <c r="I1002" s="22">
        <v>138</v>
      </c>
      <c r="J1002" s="21">
        <v>1</v>
      </c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>
        <v>22</v>
      </c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>
        <v>23</v>
      </c>
      <c r="AI1002" s="21"/>
      <c r="AJ1002" s="21"/>
      <c r="AK1002" s="21"/>
      <c r="AL1002" s="21">
        <v>1</v>
      </c>
      <c r="AM1002" s="21">
        <v>10</v>
      </c>
      <c r="AN1002" s="21">
        <v>12</v>
      </c>
      <c r="AO1002" s="21"/>
      <c r="AP1002" s="21"/>
      <c r="AQ1002" s="21"/>
      <c r="AR1002" s="21"/>
      <c r="AS1002" s="21"/>
      <c r="AT1002" s="12" t="str">
        <f>HYPERLINK("http://www.openstreetmap.org/?mlat=37.0553&amp;mlon=43.6522&amp;zoom=12#map=12/37.0553/43.6522","Maplink1")</f>
        <v>Maplink1</v>
      </c>
      <c r="AU1002" s="12" t="str">
        <f>HYPERLINK("https://www.google.iq/maps/search/+37.0553,43.6522/@37.0553,43.6522,14z?hl=en","Maplink2")</f>
        <v>Maplink2</v>
      </c>
      <c r="AV1002" s="12" t="str">
        <f>HYPERLINK("http://www.bing.com/maps/?lvl=14&amp;sty=h&amp;cp=37.0553~43.6522&amp;sp=point.37.0553_43.6522","Maplink3")</f>
        <v>Maplink3</v>
      </c>
    </row>
    <row r="1003" spans="1:48" ht="15" customHeight="1" x14ac:dyDescent="0.25">
      <c r="A1003" s="19">
        <v>33583</v>
      </c>
      <c r="B1003" s="20" t="s">
        <v>13</v>
      </c>
      <c r="C1003" s="20" t="s">
        <v>1947</v>
      </c>
      <c r="D1003" s="20" t="s">
        <v>6083</v>
      </c>
      <c r="E1003" s="20" t="s">
        <v>6084</v>
      </c>
      <c r="F1003" s="20">
        <v>37.134521999999997</v>
      </c>
      <c r="G1003" s="20">
        <v>43.179439000000002</v>
      </c>
      <c r="H1003" s="22">
        <v>3</v>
      </c>
      <c r="I1003" s="22">
        <v>18</v>
      </c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>
        <v>3</v>
      </c>
      <c r="W1003" s="21"/>
      <c r="X1003" s="21"/>
      <c r="Y1003" s="21"/>
      <c r="Z1003" s="21"/>
      <c r="AA1003" s="21"/>
      <c r="AB1003" s="21"/>
      <c r="AC1003" s="21">
        <v>3</v>
      </c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>
        <v>3</v>
      </c>
      <c r="AO1003" s="21"/>
      <c r="AP1003" s="21"/>
      <c r="AQ1003" s="21"/>
      <c r="AR1003" s="21"/>
      <c r="AS1003" s="21"/>
      <c r="AT1003" s="12" t="str">
        <f>HYPERLINK("http://www.openstreetmap.org/?mlat=37.1345&amp;mlon=43.1794&amp;zoom=12#map=12/37.1345/43.1794","Maplink1")</f>
        <v>Maplink1</v>
      </c>
      <c r="AU1003" s="12" t="str">
        <f>HYPERLINK("https://www.google.iq/maps/search/+37.1345,43.1794/@37.1345,43.1794,14z?hl=en","Maplink2")</f>
        <v>Maplink2</v>
      </c>
      <c r="AV1003" s="12" t="str">
        <f>HYPERLINK("http://www.bing.com/maps/?lvl=14&amp;sty=h&amp;cp=37.1345~43.1794&amp;sp=point.37.1345_43.1794","Maplink3")</f>
        <v>Maplink3</v>
      </c>
    </row>
    <row r="1004" spans="1:48" ht="15" customHeight="1" x14ac:dyDescent="0.25">
      <c r="A1004" s="19">
        <v>7785</v>
      </c>
      <c r="B1004" s="20" t="s">
        <v>13</v>
      </c>
      <c r="C1004" s="20" t="s">
        <v>1947</v>
      </c>
      <c r="D1004" s="20" t="s">
        <v>6085</v>
      </c>
      <c r="E1004" s="20" t="s">
        <v>6086</v>
      </c>
      <c r="F1004" s="20">
        <v>37.102119999999999</v>
      </c>
      <c r="G1004" s="20">
        <v>43.203234999999999</v>
      </c>
      <c r="H1004" s="22">
        <v>4</v>
      </c>
      <c r="I1004" s="22">
        <v>24</v>
      </c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>
        <v>4</v>
      </c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>
        <v>4</v>
      </c>
      <c r="AK1004" s="21"/>
      <c r="AL1004" s="21"/>
      <c r="AM1004" s="21"/>
      <c r="AN1004" s="21">
        <v>4</v>
      </c>
      <c r="AO1004" s="21"/>
      <c r="AP1004" s="21"/>
      <c r="AQ1004" s="21"/>
      <c r="AR1004" s="21"/>
      <c r="AS1004" s="21"/>
      <c r="AT1004" s="12" t="str">
        <f>HYPERLINK("http://www.openstreetmap.org/?mlat=37.1021&amp;mlon=43.2032&amp;zoom=12#map=12/37.1021/43.2032","Maplink1")</f>
        <v>Maplink1</v>
      </c>
      <c r="AU1004" s="12" t="str">
        <f>HYPERLINK("https://www.google.iq/maps/search/+37.1021,43.2032/@37.1021,43.2032,14z?hl=en","Maplink2")</f>
        <v>Maplink2</v>
      </c>
      <c r="AV1004" s="12" t="str">
        <f>HYPERLINK("http://www.bing.com/maps/?lvl=14&amp;sty=h&amp;cp=37.1021~43.2032&amp;sp=point.37.1021_43.2032","Maplink3")</f>
        <v>Maplink3</v>
      </c>
    </row>
    <row r="1005" spans="1:48" ht="15" customHeight="1" x14ac:dyDescent="0.25">
      <c r="A1005" s="19">
        <v>33584</v>
      </c>
      <c r="B1005" s="20" t="s">
        <v>13</v>
      </c>
      <c r="C1005" s="20" t="s">
        <v>1947</v>
      </c>
      <c r="D1005" s="20" t="s">
        <v>6087</v>
      </c>
      <c r="E1005" s="20" t="s">
        <v>6088</v>
      </c>
      <c r="F1005" s="20">
        <v>37.072530999999998</v>
      </c>
      <c r="G1005" s="20">
        <v>43.604751</v>
      </c>
      <c r="H1005" s="22">
        <v>3</v>
      </c>
      <c r="I1005" s="22">
        <v>18</v>
      </c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>
        <v>3</v>
      </c>
      <c r="W1005" s="21"/>
      <c r="X1005" s="21"/>
      <c r="Y1005" s="21"/>
      <c r="Z1005" s="21"/>
      <c r="AA1005" s="21"/>
      <c r="AB1005" s="21"/>
      <c r="AC1005" s="21">
        <v>3</v>
      </c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>
        <v>2</v>
      </c>
      <c r="AN1005" s="21">
        <v>1</v>
      </c>
      <c r="AO1005" s="21"/>
      <c r="AP1005" s="21"/>
      <c r="AQ1005" s="21"/>
      <c r="AR1005" s="21"/>
      <c r="AS1005" s="21"/>
      <c r="AT1005" s="12" t="str">
        <f>HYPERLINK("http://www.openstreetmap.org/?mlat=37.0725&amp;mlon=43.6048&amp;zoom=12#map=12/37.0725/43.6048","Maplink1")</f>
        <v>Maplink1</v>
      </c>
      <c r="AU1005" s="12" t="str">
        <f>HYPERLINK("https://www.google.iq/maps/search/+37.0725,43.6048/@37.0725,43.6048,14z?hl=en","Maplink2")</f>
        <v>Maplink2</v>
      </c>
      <c r="AV1005" s="12" t="str">
        <f>HYPERLINK("http://www.bing.com/maps/?lvl=14&amp;sty=h&amp;cp=37.0725~43.6048&amp;sp=point.37.0725_43.6048","Maplink3")</f>
        <v>Maplink3</v>
      </c>
    </row>
    <row r="1006" spans="1:48" ht="15" customHeight="1" x14ac:dyDescent="0.25">
      <c r="A1006" s="19">
        <v>7788</v>
      </c>
      <c r="B1006" s="20" t="s">
        <v>13</v>
      </c>
      <c r="C1006" s="20" t="s">
        <v>1947</v>
      </c>
      <c r="D1006" s="20" t="s">
        <v>4222</v>
      </c>
      <c r="E1006" s="20" t="s">
        <v>6089</v>
      </c>
      <c r="F1006" s="20">
        <v>37.118372999999998</v>
      </c>
      <c r="G1006" s="20">
        <v>43.165868000000003</v>
      </c>
      <c r="H1006" s="22">
        <v>7</v>
      </c>
      <c r="I1006" s="22">
        <v>42</v>
      </c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>
        <v>7</v>
      </c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>
        <v>7</v>
      </c>
      <c r="AK1006" s="21"/>
      <c r="AL1006" s="21"/>
      <c r="AM1006" s="21"/>
      <c r="AN1006" s="21">
        <v>7</v>
      </c>
      <c r="AO1006" s="21"/>
      <c r="AP1006" s="21"/>
      <c r="AQ1006" s="21"/>
      <c r="AR1006" s="21"/>
      <c r="AS1006" s="21"/>
      <c r="AT1006" s="12" t="str">
        <f>HYPERLINK("http://www.openstreetmap.org/?mlat=37.1184&amp;mlon=43.1659&amp;zoom=12#map=12/37.1184/43.1659","Maplink1")</f>
        <v>Maplink1</v>
      </c>
      <c r="AU1006" s="12" t="str">
        <f>HYPERLINK("https://www.google.iq/maps/search/+37.1184,43.1659/@37.1184,43.1659,14z?hl=en","Maplink2")</f>
        <v>Maplink2</v>
      </c>
      <c r="AV1006" s="12" t="str">
        <f>HYPERLINK("http://www.bing.com/maps/?lvl=14&amp;sty=h&amp;cp=37.1184~43.1659&amp;sp=point.37.1184_43.1659","Maplink3")</f>
        <v>Maplink3</v>
      </c>
    </row>
    <row r="1007" spans="1:48" ht="15" customHeight="1" x14ac:dyDescent="0.25">
      <c r="A1007" s="19">
        <v>7863</v>
      </c>
      <c r="B1007" s="20" t="s">
        <v>13</v>
      </c>
      <c r="C1007" s="20" t="s">
        <v>1947</v>
      </c>
      <c r="D1007" s="20" t="s">
        <v>6090</v>
      </c>
      <c r="E1007" s="20" t="s">
        <v>6091</v>
      </c>
      <c r="F1007" s="20">
        <v>37.09281</v>
      </c>
      <c r="G1007" s="20">
        <v>43.426133999999998</v>
      </c>
      <c r="H1007" s="22">
        <v>4</v>
      </c>
      <c r="I1007" s="22">
        <v>24</v>
      </c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>
        <v>4</v>
      </c>
      <c r="W1007" s="21"/>
      <c r="X1007" s="21"/>
      <c r="Y1007" s="21"/>
      <c r="Z1007" s="21"/>
      <c r="AA1007" s="21"/>
      <c r="AB1007" s="21"/>
      <c r="AC1007" s="21">
        <v>2</v>
      </c>
      <c r="AD1007" s="21"/>
      <c r="AE1007" s="21"/>
      <c r="AF1007" s="21"/>
      <c r="AG1007" s="21"/>
      <c r="AH1007" s="21"/>
      <c r="AI1007" s="21"/>
      <c r="AJ1007" s="21">
        <v>2</v>
      </c>
      <c r="AK1007" s="21"/>
      <c r="AL1007" s="21"/>
      <c r="AM1007" s="21"/>
      <c r="AN1007" s="21">
        <v>4</v>
      </c>
      <c r="AO1007" s="21"/>
      <c r="AP1007" s="21"/>
      <c r="AQ1007" s="21"/>
      <c r="AR1007" s="21"/>
      <c r="AS1007" s="21"/>
      <c r="AT1007" s="12" t="str">
        <f>HYPERLINK("http://www.openstreetmap.org/?mlat=37.0928&amp;mlon=43.4261&amp;zoom=12#map=12/37.0928/43.4261","Maplink1")</f>
        <v>Maplink1</v>
      </c>
      <c r="AU1007" s="12" t="str">
        <f>HYPERLINK("https://www.google.iq/maps/search/+37.0928,43.4261/@37.0928,43.4261,14z?hl=en","Maplink2")</f>
        <v>Maplink2</v>
      </c>
      <c r="AV1007" s="12" t="str">
        <f>HYPERLINK("http://www.bing.com/maps/?lvl=14&amp;sty=h&amp;cp=37.0928~43.4261&amp;sp=point.37.0928_43.4261","Maplink3")</f>
        <v>Maplink3</v>
      </c>
    </row>
    <row r="1008" spans="1:48" ht="15" customHeight="1" x14ac:dyDescent="0.25">
      <c r="A1008" s="19">
        <v>7860</v>
      </c>
      <c r="B1008" s="20" t="s">
        <v>13</v>
      </c>
      <c r="C1008" s="20" t="s">
        <v>1947</v>
      </c>
      <c r="D1008" s="20" t="s">
        <v>1960</v>
      </c>
      <c r="E1008" s="20" t="s">
        <v>1961</v>
      </c>
      <c r="F1008" s="20">
        <v>37.10708176</v>
      </c>
      <c r="G1008" s="20">
        <v>43.360736279999998</v>
      </c>
      <c r="H1008" s="22">
        <v>27</v>
      </c>
      <c r="I1008" s="22">
        <v>162</v>
      </c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>
        <v>27</v>
      </c>
      <c r="W1008" s="21"/>
      <c r="X1008" s="21"/>
      <c r="Y1008" s="21"/>
      <c r="Z1008" s="21"/>
      <c r="AA1008" s="21"/>
      <c r="AB1008" s="21"/>
      <c r="AC1008" s="21">
        <v>11</v>
      </c>
      <c r="AD1008" s="21"/>
      <c r="AE1008" s="21"/>
      <c r="AF1008" s="21"/>
      <c r="AG1008" s="21"/>
      <c r="AH1008" s="21"/>
      <c r="AI1008" s="21"/>
      <c r="AJ1008" s="21">
        <v>16</v>
      </c>
      <c r="AK1008" s="21"/>
      <c r="AL1008" s="21"/>
      <c r="AM1008" s="21"/>
      <c r="AN1008" s="21">
        <v>27</v>
      </c>
      <c r="AO1008" s="21"/>
      <c r="AP1008" s="21"/>
      <c r="AQ1008" s="21"/>
      <c r="AR1008" s="21"/>
      <c r="AS1008" s="21"/>
      <c r="AT1008" s="12" t="str">
        <f>HYPERLINK("http://www.openstreetmap.org/?mlat=37.1071&amp;mlon=43.3607&amp;zoom=12#map=12/37.1071/43.3607","Maplink1")</f>
        <v>Maplink1</v>
      </c>
      <c r="AU1008" s="12" t="str">
        <f>HYPERLINK("https://www.google.iq/maps/search/+37.1071,43.3607/@37.1071,43.3607,14z?hl=en","Maplink2")</f>
        <v>Maplink2</v>
      </c>
      <c r="AV1008" s="12" t="str">
        <f>HYPERLINK("http://www.bing.com/maps/?lvl=14&amp;sty=h&amp;cp=37.1071~43.3607&amp;sp=point.37.1071_43.3607","Maplink3")</f>
        <v>Maplink3</v>
      </c>
    </row>
    <row r="1009" spans="1:48" ht="15" customHeight="1" x14ac:dyDescent="0.25">
      <c r="A1009" s="19">
        <v>29567</v>
      </c>
      <c r="B1009" s="20" t="s">
        <v>13</v>
      </c>
      <c r="C1009" s="20" t="s">
        <v>1947</v>
      </c>
      <c r="D1009" s="20" t="s">
        <v>1962</v>
      </c>
      <c r="E1009" s="20" t="s">
        <v>1963</v>
      </c>
      <c r="F1009" s="20">
        <v>37.085628470000003</v>
      </c>
      <c r="G1009" s="20">
        <v>43.523754369999999</v>
      </c>
      <c r="H1009" s="22">
        <v>6</v>
      </c>
      <c r="I1009" s="22">
        <v>36</v>
      </c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>
        <v>6</v>
      </c>
      <c r="W1009" s="21"/>
      <c r="X1009" s="21"/>
      <c r="Y1009" s="21"/>
      <c r="Z1009" s="21"/>
      <c r="AA1009" s="21"/>
      <c r="AB1009" s="21"/>
      <c r="AC1009" s="21">
        <v>6</v>
      </c>
      <c r="AD1009" s="21"/>
      <c r="AE1009" s="21"/>
      <c r="AF1009" s="21"/>
      <c r="AG1009" s="21"/>
      <c r="AH1009" s="21"/>
      <c r="AI1009" s="21"/>
      <c r="AJ1009" s="21"/>
      <c r="AK1009" s="21"/>
      <c r="AL1009" s="21"/>
      <c r="AM1009" s="21">
        <v>1</v>
      </c>
      <c r="AN1009" s="21">
        <v>5</v>
      </c>
      <c r="AO1009" s="21"/>
      <c r="AP1009" s="21"/>
      <c r="AQ1009" s="21"/>
      <c r="AR1009" s="21"/>
      <c r="AS1009" s="21"/>
      <c r="AT1009" s="12" t="str">
        <f>HYPERLINK("http://www.openstreetmap.org/?mlat=37.0856&amp;mlon=43.5238&amp;zoom=12#map=12/37.0856/43.5238","Maplink1")</f>
        <v>Maplink1</v>
      </c>
      <c r="AU1009" s="12" t="str">
        <f>HYPERLINK("https://www.google.iq/maps/search/+37.0856,43.5238/@37.0856,43.5238,14z?hl=en","Maplink2")</f>
        <v>Maplink2</v>
      </c>
      <c r="AV1009" s="12" t="str">
        <f>HYPERLINK("http://www.bing.com/maps/?lvl=14&amp;sty=h&amp;cp=37.0856~43.5238&amp;sp=point.37.0856_43.5238","Maplink3")</f>
        <v>Maplink3</v>
      </c>
    </row>
    <row r="1010" spans="1:48" ht="15" customHeight="1" x14ac:dyDescent="0.25">
      <c r="A1010" s="19">
        <v>8443</v>
      </c>
      <c r="B1010" s="20" t="s">
        <v>13</v>
      </c>
      <c r="C1010" s="20" t="s">
        <v>1947</v>
      </c>
      <c r="D1010" s="20" t="s">
        <v>1964</v>
      </c>
      <c r="E1010" s="20" t="s">
        <v>1965</v>
      </c>
      <c r="F1010" s="20">
        <v>37.228343430000002</v>
      </c>
      <c r="G1010" s="20">
        <v>43.438155029999997</v>
      </c>
      <c r="H1010" s="22">
        <v>12</v>
      </c>
      <c r="I1010" s="22">
        <v>72</v>
      </c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>
        <v>12</v>
      </c>
      <c r="W1010" s="21"/>
      <c r="X1010" s="21"/>
      <c r="Y1010" s="21"/>
      <c r="Z1010" s="21"/>
      <c r="AA1010" s="21"/>
      <c r="AB1010" s="21"/>
      <c r="AC1010" s="21">
        <v>12</v>
      </c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  <c r="AN1010" s="21">
        <v>12</v>
      </c>
      <c r="AO1010" s="21"/>
      <c r="AP1010" s="21"/>
      <c r="AQ1010" s="21"/>
      <c r="AR1010" s="21"/>
      <c r="AS1010" s="21"/>
      <c r="AT1010" s="12" t="str">
        <f>HYPERLINK("http://www.openstreetmap.org/?mlat=37.2283&amp;mlon=43.4382&amp;zoom=12#map=12/37.2283/43.4382","Maplink1")</f>
        <v>Maplink1</v>
      </c>
      <c r="AU1010" s="12" t="str">
        <f>HYPERLINK("https://www.google.iq/maps/search/+37.2283,43.4382/@37.2283,43.4382,14z?hl=en","Maplink2")</f>
        <v>Maplink2</v>
      </c>
      <c r="AV1010" s="12" t="str">
        <f>HYPERLINK("http://www.bing.com/maps/?lvl=14&amp;sty=h&amp;cp=37.2283~43.4382&amp;sp=point.37.2283_43.4382","Maplink3")</f>
        <v>Maplink3</v>
      </c>
    </row>
    <row r="1011" spans="1:48" ht="15" customHeight="1" x14ac:dyDescent="0.25">
      <c r="A1011" s="19">
        <v>22546</v>
      </c>
      <c r="B1011" s="20" t="s">
        <v>13</v>
      </c>
      <c r="C1011" s="20" t="s">
        <v>1947</v>
      </c>
      <c r="D1011" s="20" t="s">
        <v>6092</v>
      </c>
      <c r="E1011" s="20" t="s">
        <v>6093</v>
      </c>
      <c r="F1011" s="20">
        <v>37.066522999999997</v>
      </c>
      <c r="G1011" s="20">
        <v>43.264235999999997</v>
      </c>
      <c r="H1011" s="22">
        <v>8</v>
      </c>
      <c r="I1011" s="22">
        <v>48</v>
      </c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>
        <v>8</v>
      </c>
      <c r="W1011" s="21"/>
      <c r="X1011" s="21"/>
      <c r="Y1011" s="21"/>
      <c r="Z1011" s="21"/>
      <c r="AA1011" s="21"/>
      <c r="AB1011" s="21"/>
      <c r="AC1011" s="21">
        <v>5</v>
      </c>
      <c r="AD1011" s="21"/>
      <c r="AE1011" s="21"/>
      <c r="AF1011" s="21"/>
      <c r="AG1011" s="21"/>
      <c r="AH1011" s="21"/>
      <c r="AI1011" s="21"/>
      <c r="AJ1011" s="21">
        <v>3</v>
      </c>
      <c r="AK1011" s="21"/>
      <c r="AL1011" s="21"/>
      <c r="AM1011" s="21"/>
      <c r="AN1011" s="21">
        <v>8</v>
      </c>
      <c r="AO1011" s="21"/>
      <c r="AP1011" s="21"/>
      <c r="AQ1011" s="21"/>
      <c r="AR1011" s="21"/>
      <c r="AS1011" s="21"/>
      <c r="AT1011" s="12" t="str">
        <f>HYPERLINK("http://www.openstreetmap.org/?mlat=37.0665&amp;mlon=43.2642&amp;zoom=12#map=12/37.0665/43.2642","Maplink1")</f>
        <v>Maplink1</v>
      </c>
      <c r="AU1011" s="12" t="str">
        <f>HYPERLINK("https://www.google.iq/maps/search/+37.0665,43.2642/@37.0665,43.2642,14z?hl=en","Maplink2")</f>
        <v>Maplink2</v>
      </c>
      <c r="AV1011" s="12" t="str">
        <f>HYPERLINK("http://www.bing.com/maps/?lvl=14&amp;sty=h&amp;cp=37.0665~43.2642&amp;sp=point.37.0665_43.2642","Maplink3")</f>
        <v>Maplink3</v>
      </c>
    </row>
    <row r="1012" spans="1:48" ht="15" customHeight="1" x14ac:dyDescent="0.25">
      <c r="A1012" s="19">
        <v>23903</v>
      </c>
      <c r="B1012" s="20" t="s">
        <v>13</v>
      </c>
      <c r="C1012" s="20" t="s">
        <v>1947</v>
      </c>
      <c r="D1012" s="20" t="s">
        <v>1966</v>
      </c>
      <c r="E1012" s="20" t="s">
        <v>1967</v>
      </c>
      <c r="F1012" s="20">
        <v>37.102664789999999</v>
      </c>
      <c r="G1012" s="20">
        <v>43.485345870000003</v>
      </c>
      <c r="H1012" s="22">
        <v>24</v>
      </c>
      <c r="I1012" s="22">
        <v>144</v>
      </c>
      <c r="J1012" s="21">
        <v>2</v>
      </c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>
        <v>21</v>
      </c>
      <c r="W1012" s="21"/>
      <c r="X1012" s="21">
        <v>1</v>
      </c>
      <c r="Y1012" s="21"/>
      <c r="Z1012" s="21"/>
      <c r="AA1012" s="21"/>
      <c r="AB1012" s="21"/>
      <c r="AC1012" s="21">
        <v>4</v>
      </c>
      <c r="AD1012" s="21"/>
      <c r="AE1012" s="21"/>
      <c r="AF1012" s="21"/>
      <c r="AG1012" s="21"/>
      <c r="AH1012" s="21">
        <v>20</v>
      </c>
      <c r="AI1012" s="21"/>
      <c r="AJ1012" s="21"/>
      <c r="AK1012" s="21"/>
      <c r="AL1012" s="21">
        <v>2</v>
      </c>
      <c r="AM1012" s="21">
        <v>7</v>
      </c>
      <c r="AN1012" s="21">
        <v>15</v>
      </c>
      <c r="AO1012" s="21"/>
      <c r="AP1012" s="21"/>
      <c r="AQ1012" s="21"/>
      <c r="AR1012" s="21"/>
      <c r="AS1012" s="21"/>
      <c r="AT1012" s="12" t="str">
        <f>HYPERLINK("http://www.openstreetmap.org/?mlat=37.1027&amp;mlon=43.4853&amp;zoom=12#map=12/37.1027/43.4853","Maplink1")</f>
        <v>Maplink1</v>
      </c>
      <c r="AU1012" s="12" t="str">
        <f>HYPERLINK("https://www.google.iq/maps/search/+37.1027,43.4853/@37.1027,43.4853,14z?hl=en","Maplink2")</f>
        <v>Maplink2</v>
      </c>
      <c r="AV1012" s="12" t="str">
        <f>HYPERLINK("http://www.bing.com/maps/?lvl=14&amp;sty=h&amp;cp=37.1027~43.4853&amp;sp=point.37.1027_43.4853","Maplink3")</f>
        <v>Maplink3</v>
      </c>
    </row>
    <row r="1013" spans="1:48" ht="15" customHeight="1" x14ac:dyDescent="0.25">
      <c r="A1013" s="19">
        <v>8525</v>
      </c>
      <c r="B1013" s="20" t="s">
        <v>13</v>
      </c>
      <c r="C1013" s="20" t="s">
        <v>1947</v>
      </c>
      <c r="D1013" s="20" t="s">
        <v>6094</v>
      </c>
      <c r="E1013" s="20" t="s">
        <v>6095</v>
      </c>
      <c r="F1013" s="20">
        <v>37.088991999999998</v>
      </c>
      <c r="G1013" s="20">
        <v>43.513432000000002</v>
      </c>
      <c r="H1013" s="22">
        <v>10</v>
      </c>
      <c r="I1013" s="22">
        <v>60</v>
      </c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>
        <v>10</v>
      </c>
      <c r="W1013" s="21"/>
      <c r="X1013" s="21"/>
      <c r="Y1013" s="21"/>
      <c r="Z1013" s="21"/>
      <c r="AA1013" s="21"/>
      <c r="AB1013" s="21"/>
      <c r="AC1013" s="21">
        <v>1</v>
      </c>
      <c r="AD1013" s="21"/>
      <c r="AE1013" s="21"/>
      <c r="AF1013" s="21"/>
      <c r="AG1013" s="21"/>
      <c r="AH1013" s="21">
        <v>9</v>
      </c>
      <c r="AI1013" s="21"/>
      <c r="AJ1013" s="21"/>
      <c r="AK1013" s="21"/>
      <c r="AL1013" s="21"/>
      <c r="AM1013" s="21">
        <v>3</v>
      </c>
      <c r="AN1013" s="21">
        <v>7</v>
      </c>
      <c r="AO1013" s="21"/>
      <c r="AP1013" s="21"/>
      <c r="AQ1013" s="21"/>
      <c r="AR1013" s="21"/>
      <c r="AS1013" s="21"/>
      <c r="AT1013" s="12" t="str">
        <f>HYPERLINK("http://www.openstreetmap.org/?mlat=37.089&amp;mlon=43.5134&amp;zoom=12#map=12/37.089/43.5134","Maplink1")</f>
        <v>Maplink1</v>
      </c>
      <c r="AU1013" s="12" t="str">
        <f>HYPERLINK("https://www.google.iq/maps/search/+37.089,43.5134/@37.089,43.5134,14z?hl=en","Maplink2")</f>
        <v>Maplink2</v>
      </c>
      <c r="AV1013" s="12" t="str">
        <f>HYPERLINK("http://www.bing.com/maps/?lvl=14&amp;sty=h&amp;cp=37.089~43.5134&amp;sp=point.37.089_43.5134","Maplink3")</f>
        <v>Maplink3</v>
      </c>
    </row>
    <row r="1014" spans="1:48" ht="15" customHeight="1" x14ac:dyDescent="0.25">
      <c r="A1014" s="19">
        <v>7768</v>
      </c>
      <c r="B1014" s="20" t="s">
        <v>13</v>
      </c>
      <c r="C1014" s="20" t="s">
        <v>1947</v>
      </c>
      <c r="D1014" s="20" t="s">
        <v>1968</v>
      </c>
      <c r="E1014" s="20" t="s">
        <v>1969</v>
      </c>
      <c r="F1014" s="20">
        <v>36.945036770000002</v>
      </c>
      <c r="G1014" s="20">
        <v>43.391865160000002</v>
      </c>
      <c r="H1014" s="22">
        <v>61</v>
      </c>
      <c r="I1014" s="22">
        <v>366</v>
      </c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>
        <v>61</v>
      </c>
      <c r="W1014" s="21"/>
      <c r="X1014" s="21"/>
      <c r="Y1014" s="21"/>
      <c r="Z1014" s="21"/>
      <c r="AA1014" s="21"/>
      <c r="AB1014" s="21"/>
      <c r="AC1014" s="21">
        <v>61</v>
      </c>
      <c r="AD1014" s="21"/>
      <c r="AE1014" s="21"/>
      <c r="AF1014" s="21"/>
      <c r="AG1014" s="21"/>
      <c r="AH1014" s="21"/>
      <c r="AI1014" s="21"/>
      <c r="AJ1014" s="21"/>
      <c r="AK1014" s="21"/>
      <c r="AL1014" s="21"/>
      <c r="AM1014" s="21"/>
      <c r="AN1014" s="21">
        <v>61</v>
      </c>
      <c r="AO1014" s="21"/>
      <c r="AP1014" s="21"/>
      <c r="AQ1014" s="21"/>
      <c r="AR1014" s="21"/>
      <c r="AS1014" s="21"/>
      <c r="AT1014" s="12" t="str">
        <f>HYPERLINK("http://www.openstreetmap.org/?mlat=36.945&amp;mlon=43.3919&amp;zoom=12#map=12/36.945/43.3919","Maplink1")</f>
        <v>Maplink1</v>
      </c>
      <c r="AU1014" s="12" t="str">
        <f>HYPERLINK("https://www.google.iq/maps/search/+36.945,43.3919/@36.945,43.3919,14z?hl=en","Maplink2")</f>
        <v>Maplink2</v>
      </c>
      <c r="AV1014" s="12" t="str">
        <f>HYPERLINK("http://www.bing.com/maps/?lvl=14&amp;sty=h&amp;cp=36.945~43.3919&amp;sp=point.36.945_43.3919","Maplink3")</f>
        <v>Maplink3</v>
      </c>
    </row>
    <row r="1015" spans="1:48" ht="15" customHeight="1" x14ac:dyDescent="0.25">
      <c r="A1015" s="19">
        <v>27120</v>
      </c>
      <c r="B1015" s="20" t="s">
        <v>13</v>
      </c>
      <c r="C1015" s="20" t="s">
        <v>1947</v>
      </c>
      <c r="D1015" s="20" t="s">
        <v>6096</v>
      </c>
      <c r="E1015" s="20" t="s">
        <v>6097</v>
      </c>
      <c r="F1015" s="20">
        <v>36.863709720000003</v>
      </c>
      <c r="G1015" s="20">
        <v>43.693177210000002</v>
      </c>
      <c r="H1015" s="22">
        <v>34</v>
      </c>
      <c r="I1015" s="22">
        <v>204</v>
      </c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>
        <v>34</v>
      </c>
      <c r="W1015" s="21"/>
      <c r="X1015" s="21"/>
      <c r="Y1015" s="21"/>
      <c r="Z1015" s="21"/>
      <c r="AA1015" s="21"/>
      <c r="AB1015" s="21"/>
      <c r="AC1015" s="21">
        <v>34</v>
      </c>
      <c r="AD1015" s="21"/>
      <c r="AE1015" s="21"/>
      <c r="AF1015" s="21"/>
      <c r="AG1015" s="21"/>
      <c r="AH1015" s="21"/>
      <c r="AI1015" s="21"/>
      <c r="AJ1015" s="21"/>
      <c r="AK1015" s="21"/>
      <c r="AL1015" s="21"/>
      <c r="AM1015" s="21">
        <v>4</v>
      </c>
      <c r="AN1015" s="21">
        <v>30</v>
      </c>
      <c r="AO1015" s="21"/>
      <c r="AP1015" s="21"/>
      <c r="AQ1015" s="21"/>
      <c r="AR1015" s="21"/>
      <c r="AS1015" s="21"/>
      <c r="AT1015" s="12" t="str">
        <f>HYPERLINK("http://www.openstreetmap.org/?mlat=36.8637&amp;mlon=43.6932&amp;zoom=12#map=12/36.8637/43.6932","Maplink1")</f>
        <v>Maplink1</v>
      </c>
      <c r="AU1015" s="12" t="str">
        <f>HYPERLINK("https://www.google.iq/maps/search/+36.8637,43.6932/@36.8637,43.6932,14z?hl=en","Maplink2")</f>
        <v>Maplink2</v>
      </c>
      <c r="AV1015" s="12" t="str">
        <f>HYPERLINK("http://www.bing.com/maps/?lvl=14&amp;sty=h&amp;cp=36.8637~43.6932&amp;sp=point.36.8637_43.6932","Maplink3")</f>
        <v>Maplink3</v>
      </c>
    </row>
    <row r="1016" spans="1:48" ht="15" customHeight="1" x14ac:dyDescent="0.25">
      <c r="A1016" s="19">
        <v>7862</v>
      </c>
      <c r="B1016" s="20" t="s">
        <v>13</v>
      </c>
      <c r="C1016" s="20" t="s">
        <v>1947</v>
      </c>
      <c r="D1016" s="20" t="s">
        <v>1970</v>
      </c>
      <c r="E1016" s="20" t="s">
        <v>1971</v>
      </c>
      <c r="F1016" s="20">
        <v>37.09905534</v>
      </c>
      <c r="G1016" s="20">
        <v>43.381612160000003</v>
      </c>
      <c r="H1016" s="22">
        <v>16</v>
      </c>
      <c r="I1016" s="22">
        <v>96</v>
      </c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>
        <v>16</v>
      </c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>
        <v>13</v>
      </c>
      <c r="AI1016" s="21"/>
      <c r="AJ1016" s="21">
        <v>3</v>
      </c>
      <c r="AK1016" s="21"/>
      <c r="AL1016" s="21"/>
      <c r="AM1016" s="21">
        <v>5</v>
      </c>
      <c r="AN1016" s="21">
        <v>11</v>
      </c>
      <c r="AO1016" s="21"/>
      <c r="AP1016" s="21"/>
      <c r="AQ1016" s="21"/>
      <c r="AR1016" s="21"/>
      <c r="AS1016" s="21"/>
      <c r="AT1016" s="12" t="str">
        <f>HYPERLINK("http://www.openstreetmap.org/?mlat=37.0991&amp;mlon=43.3816&amp;zoom=12#map=12/37.0991/43.3816","Maplink1")</f>
        <v>Maplink1</v>
      </c>
      <c r="AU1016" s="12" t="str">
        <f>HYPERLINK("https://www.google.iq/maps/search/+37.0991,43.3816/@37.0991,43.3816,14z?hl=en","Maplink2")</f>
        <v>Maplink2</v>
      </c>
      <c r="AV1016" s="12" t="str">
        <f>HYPERLINK("http://www.bing.com/maps/?lvl=14&amp;sty=h&amp;cp=37.0991~43.3816&amp;sp=point.37.0991_43.3816","Maplink3")</f>
        <v>Maplink3</v>
      </c>
    </row>
    <row r="1017" spans="1:48" ht="15" customHeight="1" x14ac:dyDescent="0.25">
      <c r="A1017" s="19">
        <v>7835</v>
      </c>
      <c r="B1017" s="20" t="s">
        <v>13</v>
      </c>
      <c r="C1017" s="20" t="s">
        <v>1947</v>
      </c>
      <c r="D1017" s="20" t="s">
        <v>1972</v>
      </c>
      <c r="E1017" s="20" t="s">
        <v>1973</v>
      </c>
      <c r="F1017" s="20">
        <v>37.039000799999997</v>
      </c>
      <c r="G1017" s="20">
        <v>43.346153610000002</v>
      </c>
      <c r="H1017" s="22">
        <v>71</v>
      </c>
      <c r="I1017" s="22">
        <v>426</v>
      </c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>
        <v>59</v>
      </c>
      <c r="W1017" s="21"/>
      <c r="X1017" s="21">
        <v>12</v>
      </c>
      <c r="Y1017" s="21"/>
      <c r="Z1017" s="21"/>
      <c r="AA1017" s="21"/>
      <c r="AB1017" s="21"/>
      <c r="AC1017" s="21">
        <v>14</v>
      </c>
      <c r="AD1017" s="21"/>
      <c r="AE1017" s="21"/>
      <c r="AF1017" s="21"/>
      <c r="AG1017" s="21"/>
      <c r="AH1017" s="21">
        <v>52</v>
      </c>
      <c r="AI1017" s="21"/>
      <c r="AJ1017" s="21">
        <v>5</v>
      </c>
      <c r="AK1017" s="21"/>
      <c r="AL1017" s="21"/>
      <c r="AM1017" s="21">
        <v>31</v>
      </c>
      <c r="AN1017" s="21">
        <v>40</v>
      </c>
      <c r="AO1017" s="21"/>
      <c r="AP1017" s="21"/>
      <c r="AQ1017" s="21"/>
      <c r="AR1017" s="21"/>
      <c r="AS1017" s="21"/>
      <c r="AT1017" s="12" t="str">
        <f>HYPERLINK("http://www.openstreetmap.org/?mlat=37.039&amp;mlon=43.3462&amp;zoom=12#map=12/37.039/43.3462","Maplink1")</f>
        <v>Maplink1</v>
      </c>
      <c r="AU1017" s="12" t="str">
        <f>HYPERLINK("https://www.google.iq/maps/search/+37.039,43.3462/@37.039,43.3462,14z?hl=en","Maplink2")</f>
        <v>Maplink2</v>
      </c>
      <c r="AV1017" s="12" t="str">
        <f>HYPERLINK("http://www.bing.com/maps/?lvl=14&amp;sty=h&amp;cp=37.039~43.3462&amp;sp=point.37.039_43.3462","Maplink3")</f>
        <v>Maplink3</v>
      </c>
    </row>
    <row r="1018" spans="1:48" ht="15" customHeight="1" x14ac:dyDescent="0.25">
      <c r="A1018" s="19">
        <v>8615</v>
      </c>
      <c r="B1018" s="20" t="s">
        <v>13</v>
      </c>
      <c r="C1018" s="20" t="s">
        <v>1947</v>
      </c>
      <c r="D1018" s="20" t="s">
        <v>6098</v>
      </c>
      <c r="E1018" s="20" t="s">
        <v>6099</v>
      </c>
      <c r="F1018" s="20">
        <v>37.039982999999999</v>
      </c>
      <c r="G1018" s="20">
        <v>43.249583000000001</v>
      </c>
      <c r="H1018" s="22">
        <v>16</v>
      </c>
      <c r="I1018" s="22">
        <v>96</v>
      </c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>
        <v>16</v>
      </c>
      <c r="W1018" s="21"/>
      <c r="X1018" s="21"/>
      <c r="Y1018" s="21"/>
      <c r="Z1018" s="21"/>
      <c r="AA1018" s="21"/>
      <c r="AB1018" s="21"/>
      <c r="AC1018" s="21">
        <v>16</v>
      </c>
      <c r="AD1018" s="21"/>
      <c r="AE1018" s="21"/>
      <c r="AF1018" s="21"/>
      <c r="AG1018" s="21"/>
      <c r="AH1018" s="21"/>
      <c r="AI1018" s="21"/>
      <c r="AJ1018" s="21"/>
      <c r="AK1018" s="21"/>
      <c r="AL1018" s="21"/>
      <c r="AM1018" s="21">
        <v>16</v>
      </c>
      <c r="AN1018" s="21"/>
      <c r="AO1018" s="21"/>
      <c r="AP1018" s="21"/>
      <c r="AQ1018" s="21"/>
      <c r="AR1018" s="21"/>
      <c r="AS1018" s="21"/>
      <c r="AT1018" s="12" t="str">
        <f>HYPERLINK("http://www.openstreetmap.org/?mlat=37.04&amp;mlon=43.2496&amp;zoom=12#map=12/37.04/43.2496","Maplink1")</f>
        <v>Maplink1</v>
      </c>
      <c r="AU1018" s="12" t="str">
        <f>HYPERLINK("https://www.google.iq/maps/search/+37.04,43.2496/@37.04,43.2496,14z?hl=en","Maplink2")</f>
        <v>Maplink2</v>
      </c>
      <c r="AV1018" s="12" t="str">
        <f>HYPERLINK("http://www.bing.com/maps/?lvl=14&amp;sty=h&amp;cp=37.04~43.2496&amp;sp=point.37.04_43.2496","Maplink3")</f>
        <v>Maplink3</v>
      </c>
    </row>
    <row r="1019" spans="1:48" ht="15" customHeight="1" x14ac:dyDescent="0.25">
      <c r="A1019" s="19">
        <v>8419</v>
      </c>
      <c r="B1019" s="20" t="s">
        <v>13</v>
      </c>
      <c r="C1019" s="20" t="s">
        <v>1947</v>
      </c>
      <c r="D1019" s="20" t="s">
        <v>6100</v>
      </c>
      <c r="E1019" s="20" t="s">
        <v>6101</v>
      </c>
      <c r="F1019" s="20">
        <v>37.811190000000003</v>
      </c>
      <c r="G1019" s="20">
        <v>43.260567000000002</v>
      </c>
      <c r="H1019" s="22">
        <v>3</v>
      </c>
      <c r="I1019" s="22">
        <v>18</v>
      </c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>
        <v>3</v>
      </c>
      <c r="W1019" s="21"/>
      <c r="X1019" s="21"/>
      <c r="Y1019" s="21"/>
      <c r="Z1019" s="21"/>
      <c r="AA1019" s="21"/>
      <c r="AB1019" s="21"/>
      <c r="AC1019" s="21">
        <v>1</v>
      </c>
      <c r="AD1019" s="21"/>
      <c r="AE1019" s="21">
        <v>2</v>
      </c>
      <c r="AF1019" s="21"/>
      <c r="AG1019" s="21"/>
      <c r="AH1019" s="21"/>
      <c r="AI1019" s="21"/>
      <c r="AJ1019" s="21"/>
      <c r="AK1019" s="21"/>
      <c r="AL1019" s="21"/>
      <c r="AM1019" s="21"/>
      <c r="AN1019" s="21">
        <v>3</v>
      </c>
      <c r="AO1019" s="21"/>
      <c r="AP1019" s="21"/>
      <c r="AQ1019" s="21"/>
      <c r="AR1019" s="21"/>
      <c r="AS1019" s="21"/>
      <c r="AT1019" s="12" t="str">
        <f>HYPERLINK("http://www.openstreetmap.org/?mlat=37.8112&amp;mlon=43.2606&amp;zoom=12#map=12/37.8112/43.2606","Maplink1")</f>
        <v>Maplink1</v>
      </c>
      <c r="AU1019" s="12" t="str">
        <f>HYPERLINK("https://www.google.iq/maps/search/+37.8112,43.2606/@37.8112,43.2606,14z?hl=en","Maplink2")</f>
        <v>Maplink2</v>
      </c>
      <c r="AV1019" s="12" t="str">
        <f>HYPERLINK("http://www.bing.com/maps/?lvl=14&amp;sty=h&amp;cp=37.8112~43.2606&amp;sp=point.37.8112_43.2606","Maplink3")</f>
        <v>Maplink3</v>
      </c>
    </row>
    <row r="1020" spans="1:48" ht="15" customHeight="1" x14ac:dyDescent="0.25">
      <c r="A1020" s="19">
        <v>7833</v>
      </c>
      <c r="B1020" s="20" t="s">
        <v>13</v>
      </c>
      <c r="C1020" s="20" t="s">
        <v>1947</v>
      </c>
      <c r="D1020" s="20" t="s">
        <v>1974</v>
      </c>
      <c r="E1020" s="20" t="s">
        <v>1975</v>
      </c>
      <c r="F1020" s="20">
        <v>37.032459940000003</v>
      </c>
      <c r="G1020" s="20">
        <v>43.77236224</v>
      </c>
      <c r="H1020" s="22">
        <v>21</v>
      </c>
      <c r="I1020" s="22">
        <v>126</v>
      </c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>
        <v>21</v>
      </c>
      <c r="W1020" s="21"/>
      <c r="X1020" s="21"/>
      <c r="Y1020" s="21"/>
      <c r="Z1020" s="21"/>
      <c r="AA1020" s="21"/>
      <c r="AB1020" s="21"/>
      <c r="AC1020" s="21">
        <v>13</v>
      </c>
      <c r="AD1020" s="21"/>
      <c r="AE1020" s="21"/>
      <c r="AF1020" s="21"/>
      <c r="AG1020" s="21"/>
      <c r="AH1020" s="21">
        <v>8</v>
      </c>
      <c r="AI1020" s="21"/>
      <c r="AJ1020" s="21"/>
      <c r="AK1020" s="21"/>
      <c r="AL1020" s="21"/>
      <c r="AM1020" s="21">
        <v>17</v>
      </c>
      <c r="AN1020" s="21">
        <v>4</v>
      </c>
      <c r="AO1020" s="21"/>
      <c r="AP1020" s="21"/>
      <c r="AQ1020" s="21"/>
      <c r="AR1020" s="21"/>
      <c r="AS1020" s="21"/>
      <c r="AT1020" s="12" t="str">
        <f>HYPERLINK("http://www.openstreetmap.org/?mlat=37.0325&amp;mlon=43.7724&amp;zoom=12#map=12/37.0325/43.7724","Maplink1")</f>
        <v>Maplink1</v>
      </c>
      <c r="AU1020" s="12" t="str">
        <f>HYPERLINK("https://www.google.iq/maps/search/+37.0325,43.7724/@37.0325,43.7724,14z?hl=en","Maplink2")</f>
        <v>Maplink2</v>
      </c>
      <c r="AV1020" s="12" t="str">
        <f>HYPERLINK("http://www.bing.com/maps/?lvl=14&amp;sty=h&amp;cp=37.0325~43.7724&amp;sp=point.37.0325_43.7724","Maplink3")</f>
        <v>Maplink3</v>
      </c>
    </row>
    <row r="1021" spans="1:48" ht="15" customHeight="1" x14ac:dyDescent="0.25">
      <c r="A1021" s="19">
        <v>7867</v>
      </c>
      <c r="B1021" s="20" t="s">
        <v>13</v>
      </c>
      <c r="C1021" s="20" t="s">
        <v>1947</v>
      </c>
      <c r="D1021" s="20" t="s">
        <v>1976</v>
      </c>
      <c r="E1021" s="20" t="s">
        <v>1977</v>
      </c>
      <c r="F1021" s="20">
        <v>37.03915817</v>
      </c>
      <c r="G1021" s="20">
        <v>43.279477159999999</v>
      </c>
      <c r="H1021" s="22">
        <v>7</v>
      </c>
      <c r="I1021" s="22">
        <v>42</v>
      </c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>
        <v>7</v>
      </c>
      <c r="W1021" s="21"/>
      <c r="X1021" s="21"/>
      <c r="Y1021" s="21"/>
      <c r="Z1021" s="21"/>
      <c r="AA1021" s="21"/>
      <c r="AB1021" s="21"/>
      <c r="AC1021" s="21">
        <v>3</v>
      </c>
      <c r="AD1021" s="21"/>
      <c r="AE1021" s="21"/>
      <c r="AF1021" s="21"/>
      <c r="AG1021" s="21"/>
      <c r="AH1021" s="21">
        <v>3</v>
      </c>
      <c r="AI1021" s="21"/>
      <c r="AJ1021" s="21">
        <v>1</v>
      </c>
      <c r="AK1021" s="21"/>
      <c r="AL1021" s="21"/>
      <c r="AM1021" s="21">
        <v>2</v>
      </c>
      <c r="AN1021" s="21">
        <v>5</v>
      </c>
      <c r="AO1021" s="21"/>
      <c r="AP1021" s="21"/>
      <c r="AQ1021" s="21"/>
      <c r="AR1021" s="21"/>
      <c r="AS1021" s="21"/>
      <c r="AT1021" s="12" t="str">
        <f>HYPERLINK("http://www.openstreetmap.org/?mlat=37.0392&amp;mlon=43.2795&amp;zoom=12#map=12/37.0392/43.2795","Maplink1")</f>
        <v>Maplink1</v>
      </c>
      <c r="AU1021" s="12" t="str">
        <f>HYPERLINK("https://www.google.iq/maps/search/+37.0392,43.2795/@37.0392,43.2795,14z?hl=en","Maplink2")</f>
        <v>Maplink2</v>
      </c>
      <c r="AV1021" s="12" t="str">
        <f>HYPERLINK("http://www.bing.com/maps/?lvl=14&amp;sty=h&amp;cp=37.0392~43.2795&amp;sp=point.37.0392_43.2795","Maplink3")</f>
        <v>Maplink3</v>
      </c>
    </row>
    <row r="1022" spans="1:48" ht="15" customHeight="1" x14ac:dyDescent="0.25">
      <c r="A1022" s="19">
        <v>8317</v>
      </c>
      <c r="B1022" s="20" t="s">
        <v>13</v>
      </c>
      <c r="C1022" s="20" t="s">
        <v>1947</v>
      </c>
      <c r="D1022" s="20" t="s">
        <v>6102</v>
      </c>
      <c r="E1022" s="20" t="s">
        <v>6103</v>
      </c>
      <c r="F1022" s="20">
        <v>37.098785999999997</v>
      </c>
      <c r="G1022" s="20">
        <v>43.476711999999999</v>
      </c>
      <c r="H1022" s="22">
        <v>5</v>
      </c>
      <c r="I1022" s="22">
        <v>30</v>
      </c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>
        <v>5</v>
      </c>
      <c r="W1022" s="21"/>
      <c r="X1022" s="21"/>
      <c r="Y1022" s="21"/>
      <c r="Z1022" s="21"/>
      <c r="AA1022" s="21"/>
      <c r="AB1022" s="21"/>
      <c r="AC1022" s="21">
        <v>3</v>
      </c>
      <c r="AD1022" s="21"/>
      <c r="AE1022" s="21"/>
      <c r="AF1022" s="21"/>
      <c r="AG1022" s="21"/>
      <c r="AH1022" s="21">
        <v>2</v>
      </c>
      <c r="AI1022" s="21"/>
      <c r="AJ1022" s="21"/>
      <c r="AK1022" s="21"/>
      <c r="AL1022" s="21"/>
      <c r="AM1022" s="21">
        <v>2</v>
      </c>
      <c r="AN1022" s="21">
        <v>3</v>
      </c>
      <c r="AO1022" s="21"/>
      <c r="AP1022" s="21"/>
      <c r="AQ1022" s="21"/>
      <c r="AR1022" s="21"/>
      <c r="AS1022" s="21"/>
      <c r="AT1022" s="12" t="str">
        <f>HYPERLINK("http://www.openstreetmap.org/?mlat=37.0988&amp;mlon=43.4767&amp;zoom=12#map=12/37.0988/43.4767","Maplink1")</f>
        <v>Maplink1</v>
      </c>
      <c r="AU1022" s="12" t="str">
        <f>HYPERLINK("https://www.google.iq/maps/search/+37.0988,43.4767/@37.0988,43.4767,14z?hl=en","Maplink2")</f>
        <v>Maplink2</v>
      </c>
      <c r="AV1022" s="12" t="str">
        <f>HYPERLINK("http://www.bing.com/maps/?lvl=14&amp;sty=h&amp;cp=37.0988~43.4767&amp;sp=point.37.0988_43.4767","Maplink3")</f>
        <v>Maplink3</v>
      </c>
    </row>
    <row r="1023" spans="1:48" ht="15" customHeight="1" x14ac:dyDescent="0.25">
      <c r="A1023" s="19">
        <v>26044</v>
      </c>
      <c r="B1023" s="20" t="s">
        <v>13</v>
      </c>
      <c r="C1023" s="20" t="s">
        <v>1947</v>
      </c>
      <c r="D1023" s="20" t="s">
        <v>1978</v>
      </c>
      <c r="E1023" s="20" t="s">
        <v>1979</v>
      </c>
      <c r="F1023" s="20">
        <v>37.009707849999998</v>
      </c>
      <c r="G1023" s="20">
        <v>43.223151530000003</v>
      </c>
      <c r="H1023" s="22">
        <v>1</v>
      </c>
      <c r="I1023" s="22">
        <v>6</v>
      </c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>
        <v>1</v>
      </c>
      <c r="W1023" s="21"/>
      <c r="X1023" s="21"/>
      <c r="Y1023" s="21"/>
      <c r="Z1023" s="21"/>
      <c r="AA1023" s="21"/>
      <c r="AB1023" s="21"/>
      <c r="AC1023" s="21">
        <v>1</v>
      </c>
      <c r="AD1023" s="21"/>
      <c r="AE1023" s="21"/>
      <c r="AF1023" s="21"/>
      <c r="AG1023" s="21"/>
      <c r="AH1023" s="21"/>
      <c r="AI1023" s="21"/>
      <c r="AJ1023" s="21"/>
      <c r="AK1023" s="21"/>
      <c r="AL1023" s="21"/>
      <c r="AM1023" s="21"/>
      <c r="AN1023" s="21">
        <v>1</v>
      </c>
      <c r="AO1023" s="21"/>
      <c r="AP1023" s="21"/>
      <c r="AQ1023" s="21"/>
      <c r="AR1023" s="21"/>
      <c r="AS1023" s="21"/>
      <c r="AT1023" s="12" t="str">
        <f>HYPERLINK("http://www.openstreetmap.org/?mlat=37.0097&amp;mlon=43.2232&amp;zoom=12#map=12/37.0097/43.2232","Maplink1")</f>
        <v>Maplink1</v>
      </c>
      <c r="AU1023" s="12" t="str">
        <f>HYPERLINK("https://www.google.iq/maps/search/+37.0097,43.2232/@37.0097,43.2232,14z?hl=en","Maplink2")</f>
        <v>Maplink2</v>
      </c>
      <c r="AV1023" s="12" t="str">
        <f>HYPERLINK("http://www.bing.com/maps/?lvl=14&amp;sty=h&amp;cp=37.0097~43.2232&amp;sp=point.37.0097_43.2232","Maplink3")</f>
        <v>Maplink3</v>
      </c>
    </row>
    <row r="1024" spans="1:48" ht="15" customHeight="1" x14ac:dyDescent="0.25">
      <c r="A1024" s="19">
        <v>8335</v>
      </c>
      <c r="B1024" s="20" t="s">
        <v>13</v>
      </c>
      <c r="C1024" s="20" t="s">
        <v>1947</v>
      </c>
      <c r="D1024" s="20" t="s">
        <v>6104</v>
      </c>
      <c r="E1024" s="20" t="s">
        <v>6105</v>
      </c>
      <c r="F1024" s="20">
        <v>36.971111000000001</v>
      </c>
      <c r="G1024" s="20">
        <v>43.316110999999999</v>
      </c>
      <c r="H1024" s="22">
        <v>14</v>
      </c>
      <c r="I1024" s="22">
        <v>84</v>
      </c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>
        <v>14</v>
      </c>
      <c r="W1024" s="21"/>
      <c r="X1024" s="21"/>
      <c r="Y1024" s="21"/>
      <c r="Z1024" s="21"/>
      <c r="AA1024" s="21"/>
      <c r="AB1024" s="21"/>
      <c r="AC1024" s="21">
        <v>14</v>
      </c>
      <c r="AD1024" s="21"/>
      <c r="AE1024" s="21"/>
      <c r="AF1024" s="21"/>
      <c r="AG1024" s="21"/>
      <c r="AH1024" s="21"/>
      <c r="AI1024" s="21"/>
      <c r="AJ1024" s="21"/>
      <c r="AK1024" s="21"/>
      <c r="AL1024" s="21"/>
      <c r="AM1024" s="21"/>
      <c r="AN1024" s="21">
        <v>14</v>
      </c>
      <c r="AO1024" s="21"/>
      <c r="AP1024" s="21"/>
      <c r="AQ1024" s="21"/>
      <c r="AR1024" s="21"/>
      <c r="AS1024" s="21"/>
      <c r="AT1024" s="12" t="str">
        <f>HYPERLINK("http://www.openstreetmap.org/?mlat=36.9711&amp;mlon=43.3161&amp;zoom=12#map=12/36.9711/43.3161","Maplink1")</f>
        <v>Maplink1</v>
      </c>
      <c r="AU1024" s="12" t="str">
        <f>HYPERLINK("https://www.google.iq/maps/search/+36.9711,43.3161/@36.9711,43.3161,14z?hl=en","Maplink2")</f>
        <v>Maplink2</v>
      </c>
      <c r="AV1024" s="12" t="str">
        <f>HYPERLINK("http://www.bing.com/maps/?lvl=14&amp;sty=h&amp;cp=36.9711~43.3161&amp;sp=point.36.9711_43.3161","Maplink3")</f>
        <v>Maplink3</v>
      </c>
    </row>
    <row r="1025" spans="1:48" ht="15" customHeight="1" x14ac:dyDescent="0.25">
      <c r="A1025" s="19">
        <v>23580</v>
      </c>
      <c r="B1025" s="20" t="s">
        <v>13</v>
      </c>
      <c r="C1025" s="20" t="s">
        <v>13</v>
      </c>
      <c r="D1025" s="20" t="s">
        <v>1981</v>
      </c>
      <c r="E1025" s="20" t="s">
        <v>1982</v>
      </c>
      <c r="F1025" s="20">
        <v>36.853412679999998</v>
      </c>
      <c r="G1025" s="20">
        <v>43.03836501</v>
      </c>
      <c r="H1025" s="22">
        <v>207</v>
      </c>
      <c r="I1025" s="22">
        <v>1242</v>
      </c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>
        <v>207</v>
      </c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>
        <v>207</v>
      </c>
      <c r="AI1025" s="21"/>
      <c r="AJ1025" s="21"/>
      <c r="AK1025" s="21"/>
      <c r="AL1025" s="21"/>
      <c r="AM1025" s="21">
        <v>130</v>
      </c>
      <c r="AN1025" s="21">
        <v>77</v>
      </c>
      <c r="AO1025" s="21"/>
      <c r="AP1025" s="21"/>
      <c r="AQ1025" s="21"/>
      <c r="AR1025" s="21"/>
      <c r="AS1025" s="21"/>
      <c r="AT1025" s="12" t="str">
        <f>HYPERLINK("http://www.openstreetmap.org/?mlat=36.8534&amp;mlon=43.0384&amp;zoom=12#map=12/36.8534/43.0384","Maplink1")</f>
        <v>Maplink1</v>
      </c>
      <c r="AU1025" s="12" t="str">
        <f>HYPERLINK("https://www.google.iq/maps/search/+36.8534,43.0384/@36.8534,43.0384,14z?hl=en","Maplink2")</f>
        <v>Maplink2</v>
      </c>
      <c r="AV1025" s="12" t="str">
        <f>HYPERLINK("http://www.bing.com/maps/?lvl=14&amp;sty=h&amp;cp=36.8534~43.0384&amp;sp=point.36.8534_43.0384","Maplink3")</f>
        <v>Maplink3</v>
      </c>
    </row>
    <row r="1026" spans="1:48" ht="15" customHeight="1" x14ac:dyDescent="0.25">
      <c r="A1026" s="19">
        <v>26054</v>
      </c>
      <c r="B1026" s="20" t="s">
        <v>13</v>
      </c>
      <c r="C1026" s="20" t="s">
        <v>13</v>
      </c>
      <c r="D1026" s="20" t="s">
        <v>1983</v>
      </c>
      <c r="E1026" s="20" t="s">
        <v>1984</v>
      </c>
      <c r="F1026" s="20">
        <v>36.870493850000003</v>
      </c>
      <c r="G1026" s="20">
        <v>42.981919769999998</v>
      </c>
      <c r="H1026" s="22">
        <v>33</v>
      </c>
      <c r="I1026" s="22">
        <v>198</v>
      </c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>
        <v>33</v>
      </c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>
        <v>33</v>
      </c>
      <c r="AI1026" s="21"/>
      <c r="AJ1026" s="21"/>
      <c r="AK1026" s="21"/>
      <c r="AL1026" s="21"/>
      <c r="AM1026" s="21">
        <v>6</v>
      </c>
      <c r="AN1026" s="21">
        <v>27</v>
      </c>
      <c r="AO1026" s="21"/>
      <c r="AP1026" s="21"/>
      <c r="AQ1026" s="21"/>
      <c r="AR1026" s="21"/>
      <c r="AS1026" s="21"/>
      <c r="AT1026" s="12" t="str">
        <f>HYPERLINK("http://www.openstreetmap.org/?mlat=36.8705&amp;mlon=42.9819&amp;zoom=12#map=12/36.8705/42.9819","Maplink1")</f>
        <v>Maplink1</v>
      </c>
      <c r="AU1026" s="12" t="str">
        <f>HYPERLINK("https://www.google.iq/maps/search/+36.8705,42.9819/@36.8705,42.9819,14z?hl=en","Maplink2")</f>
        <v>Maplink2</v>
      </c>
      <c r="AV1026" s="12" t="str">
        <f>HYPERLINK("http://www.bing.com/maps/?lvl=14&amp;sty=h&amp;cp=36.8705~42.9819&amp;sp=point.36.8705_42.9819","Maplink3")</f>
        <v>Maplink3</v>
      </c>
    </row>
    <row r="1027" spans="1:48" ht="15" customHeight="1" x14ac:dyDescent="0.25">
      <c r="A1027" s="19">
        <v>25898</v>
      </c>
      <c r="B1027" s="20" t="s">
        <v>13</v>
      </c>
      <c r="C1027" s="20" t="s">
        <v>13</v>
      </c>
      <c r="D1027" s="20" t="s">
        <v>1985</v>
      </c>
      <c r="E1027" s="20" t="s">
        <v>1986</v>
      </c>
      <c r="F1027" s="20">
        <v>36.829738300000002</v>
      </c>
      <c r="G1027" s="20">
        <v>43.119689209999997</v>
      </c>
      <c r="H1027" s="22">
        <v>195</v>
      </c>
      <c r="I1027" s="22">
        <v>1170</v>
      </c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>
        <v>195</v>
      </c>
      <c r="W1027" s="21"/>
      <c r="X1027" s="21"/>
      <c r="Y1027" s="21"/>
      <c r="Z1027" s="21"/>
      <c r="AA1027" s="21"/>
      <c r="AB1027" s="21"/>
      <c r="AC1027" s="21">
        <v>45</v>
      </c>
      <c r="AD1027" s="21"/>
      <c r="AE1027" s="21"/>
      <c r="AF1027" s="21"/>
      <c r="AG1027" s="21"/>
      <c r="AH1027" s="21">
        <v>101</v>
      </c>
      <c r="AI1027" s="21"/>
      <c r="AJ1027" s="21">
        <v>49</v>
      </c>
      <c r="AK1027" s="21"/>
      <c r="AL1027" s="21"/>
      <c r="AM1027" s="21">
        <v>108</v>
      </c>
      <c r="AN1027" s="21">
        <v>87</v>
      </c>
      <c r="AO1027" s="21"/>
      <c r="AP1027" s="21"/>
      <c r="AQ1027" s="21"/>
      <c r="AR1027" s="21"/>
      <c r="AS1027" s="21"/>
      <c r="AT1027" s="12" t="str">
        <f>HYPERLINK("http://www.openstreetmap.org/?mlat=36.8297&amp;mlon=43.1197&amp;zoom=12#map=12/36.8297/43.1197","Maplink1")</f>
        <v>Maplink1</v>
      </c>
      <c r="AU1027" s="12" t="str">
        <f>HYPERLINK("https://www.google.iq/maps/search/+36.8297,43.1197/@36.8297,43.1197,14z?hl=en","Maplink2")</f>
        <v>Maplink2</v>
      </c>
      <c r="AV1027" s="12" t="str">
        <f>HYPERLINK("http://www.bing.com/maps/?lvl=14&amp;sty=h&amp;cp=36.8297~43.1197&amp;sp=point.36.8297_43.1197","Maplink3")</f>
        <v>Maplink3</v>
      </c>
    </row>
    <row r="1028" spans="1:48" ht="15" customHeight="1" x14ac:dyDescent="0.25">
      <c r="A1028" s="19">
        <v>8687</v>
      </c>
      <c r="B1028" s="20" t="s">
        <v>13</v>
      </c>
      <c r="C1028" s="20" t="s">
        <v>13</v>
      </c>
      <c r="D1028" s="20" t="s">
        <v>1987</v>
      </c>
      <c r="E1028" s="20" t="s">
        <v>1988</v>
      </c>
      <c r="F1028" s="20">
        <v>36.876804066200002</v>
      </c>
      <c r="G1028" s="20">
        <v>43.124068164599997</v>
      </c>
      <c r="H1028" s="22">
        <v>63</v>
      </c>
      <c r="I1028" s="22">
        <v>378</v>
      </c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>
        <v>57</v>
      </c>
      <c r="W1028" s="21"/>
      <c r="X1028" s="21">
        <v>6</v>
      </c>
      <c r="Y1028" s="21"/>
      <c r="Z1028" s="21"/>
      <c r="AA1028" s="21"/>
      <c r="AB1028" s="21"/>
      <c r="AC1028" s="21">
        <v>16</v>
      </c>
      <c r="AD1028" s="21"/>
      <c r="AE1028" s="21">
        <v>27</v>
      </c>
      <c r="AF1028" s="21"/>
      <c r="AG1028" s="21"/>
      <c r="AH1028" s="21">
        <v>17</v>
      </c>
      <c r="AI1028" s="21"/>
      <c r="AJ1028" s="21">
        <v>3</v>
      </c>
      <c r="AK1028" s="21"/>
      <c r="AL1028" s="21"/>
      <c r="AM1028" s="21">
        <v>23</v>
      </c>
      <c r="AN1028" s="21">
        <v>40</v>
      </c>
      <c r="AO1028" s="21"/>
      <c r="AP1028" s="21"/>
      <c r="AQ1028" s="21"/>
      <c r="AR1028" s="21"/>
      <c r="AS1028" s="21"/>
      <c r="AT1028" s="12" t="str">
        <f>HYPERLINK("http://www.openstreetmap.org/?mlat=36.8768&amp;mlon=43.1241&amp;zoom=12#map=12/36.8768/43.1241","Maplink1")</f>
        <v>Maplink1</v>
      </c>
      <c r="AU1028" s="12" t="str">
        <f>HYPERLINK("https://www.google.iq/maps/search/+36.8768,43.1241/@36.8768,43.1241,14z?hl=en","Maplink2")</f>
        <v>Maplink2</v>
      </c>
      <c r="AV1028" s="12" t="str">
        <f>HYPERLINK("http://www.bing.com/maps/?lvl=14&amp;sty=h&amp;cp=36.8768~43.1241&amp;sp=point.36.8768_43.1241","Maplink3")</f>
        <v>Maplink3</v>
      </c>
    </row>
    <row r="1029" spans="1:48" ht="15" customHeight="1" x14ac:dyDescent="0.25">
      <c r="A1029" s="19">
        <v>24801</v>
      </c>
      <c r="B1029" s="20" t="s">
        <v>13</v>
      </c>
      <c r="C1029" s="20" t="s">
        <v>13</v>
      </c>
      <c r="D1029" s="20" t="s">
        <v>1989</v>
      </c>
      <c r="E1029" s="20" t="s">
        <v>1990</v>
      </c>
      <c r="F1029" s="20">
        <v>36.965839870000003</v>
      </c>
      <c r="G1029" s="20">
        <v>43.169759380000002</v>
      </c>
      <c r="H1029" s="22">
        <v>96</v>
      </c>
      <c r="I1029" s="22">
        <v>576</v>
      </c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>
        <v>94</v>
      </c>
      <c r="W1029" s="21"/>
      <c r="X1029" s="21">
        <v>2</v>
      </c>
      <c r="Y1029" s="21"/>
      <c r="Z1029" s="21"/>
      <c r="AA1029" s="21"/>
      <c r="AB1029" s="21"/>
      <c r="AC1029" s="21">
        <v>31</v>
      </c>
      <c r="AD1029" s="21"/>
      <c r="AE1029" s="21"/>
      <c r="AF1029" s="21"/>
      <c r="AG1029" s="21"/>
      <c r="AH1029" s="21">
        <v>59</v>
      </c>
      <c r="AI1029" s="21"/>
      <c r="AJ1029" s="21">
        <v>6</v>
      </c>
      <c r="AK1029" s="21"/>
      <c r="AL1029" s="21"/>
      <c r="AM1029" s="21">
        <v>22</v>
      </c>
      <c r="AN1029" s="21">
        <v>74</v>
      </c>
      <c r="AO1029" s="21"/>
      <c r="AP1029" s="21"/>
      <c r="AQ1029" s="21"/>
      <c r="AR1029" s="21"/>
      <c r="AS1029" s="21"/>
      <c r="AT1029" s="12" t="str">
        <f>HYPERLINK("http://www.openstreetmap.org/?mlat=36.9658&amp;mlon=43.1698&amp;zoom=12#map=12/36.9658/43.1698","Maplink1")</f>
        <v>Maplink1</v>
      </c>
      <c r="AU1029" s="12" t="str">
        <f>HYPERLINK("https://www.google.iq/maps/search/+36.9658,43.1698/@36.9658,43.1698,14z?hl=en","Maplink2")</f>
        <v>Maplink2</v>
      </c>
      <c r="AV1029" s="12" t="str">
        <f>HYPERLINK("http://www.bing.com/maps/?lvl=14&amp;sty=h&amp;cp=36.9658~43.1698&amp;sp=point.36.9658_43.1698","Maplink3")</f>
        <v>Maplink3</v>
      </c>
    </row>
    <row r="1030" spans="1:48" ht="15" customHeight="1" x14ac:dyDescent="0.25">
      <c r="A1030" s="19">
        <v>26048</v>
      </c>
      <c r="B1030" s="20" t="s">
        <v>13</v>
      </c>
      <c r="C1030" s="20" t="s">
        <v>13</v>
      </c>
      <c r="D1030" s="20" t="s">
        <v>1991</v>
      </c>
      <c r="E1030" s="20" t="s">
        <v>1992</v>
      </c>
      <c r="F1030" s="20">
        <v>36.864832659999998</v>
      </c>
      <c r="G1030" s="20">
        <v>42.963842159999999</v>
      </c>
      <c r="H1030" s="22">
        <v>63</v>
      </c>
      <c r="I1030" s="22">
        <v>378</v>
      </c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>
        <v>63</v>
      </c>
      <c r="W1030" s="21"/>
      <c r="X1030" s="21"/>
      <c r="Y1030" s="21"/>
      <c r="Z1030" s="21"/>
      <c r="AA1030" s="21"/>
      <c r="AB1030" s="21"/>
      <c r="AC1030" s="21"/>
      <c r="AD1030" s="21">
        <v>8</v>
      </c>
      <c r="AE1030" s="21"/>
      <c r="AF1030" s="21"/>
      <c r="AG1030" s="21"/>
      <c r="AH1030" s="21">
        <v>55</v>
      </c>
      <c r="AI1030" s="21"/>
      <c r="AJ1030" s="21"/>
      <c r="AK1030" s="21"/>
      <c r="AL1030" s="21"/>
      <c r="AM1030" s="21">
        <v>43</v>
      </c>
      <c r="AN1030" s="21">
        <v>20</v>
      </c>
      <c r="AO1030" s="21"/>
      <c r="AP1030" s="21"/>
      <c r="AQ1030" s="21"/>
      <c r="AR1030" s="21"/>
      <c r="AS1030" s="21"/>
      <c r="AT1030" s="12" t="str">
        <f>HYPERLINK("http://www.openstreetmap.org/?mlat=36.8648&amp;mlon=42.9638&amp;zoom=12#map=12/36.8648/42.9638","Maplink1")</f>
        <v>Maplink1</v>
      </c>
      <c r="AU1030" s="12" t="str">
        <f>HYPERLINK("https://www.google.iq/maps/search/+36.8648,42.9638/@36.8648,42.9638,14z?hl=en","Maplink2")</f>
        <v>Maplink2</v>
      </c>
      <c r="AV1030" s="12" t="str">
        <f>HYPERLINK("http://www.bing.com/maps/?lvl=14&amp;sty=h&amp;cp=36.8648~42.9638&amp;sp=point.36.8648_42.9638","Maplink3")</f>
        <v>Maplink3</v>
      </c>
    </row>
    <row r="1031" spans="1:48" ht="15" customHeight="1" x14ac:dyDescent="0.25">
      <c r="A1031" s="19">
        <v>8822</v>
      </c>
      <c r="B1031" s="20" t="s">
        <v>13</v>
      </c>
      <c r="C1031" s="20" t="s">
        <v>13</v>
      </c>
      <c r="D1031" s="20" t="s">
        <v>1993</v>
      </c>
      <c r="E1031" s="20" t="s">
        <v>1994</v>
      </c>
      <c r="F1031" s="20">
        <v>37.015594999999998</v>
      </c>
      <c r="G1031" s="20">
        <v>43.016185</v>
      </c>
      <c r="H1031" s="22">
        <v>77</v>
      </c>
      <c r="I1031" s="22">
        <v>462</v>
      </c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>
        <v>73</v>
      </c>
      <c r="W1031" s="21"/>
      <c r="X1031" s="21">
        <v>4</v>
      </c>
      <c r="Y1031" s="21"/>
      <c r="Z1031" s="21"/>
      <c r="AA1031" s="21"/>
      <c r="AB1031" s="21"/>
      <c r="AC1031" s="21">
        <v>48</v>
      </c>
      <c r="AD1031" s="21"/>
      <c r="AE1031" s="21"/>
      <c r="AF1031" s="21"/>
      <c r="AG1031" s="21"/>
      <c r="AH1031" s="21">
        <v>2</v>
      </c>
      <c r="AI1031" s="21"/>
      <c r="AJ1031" s="21">
        <v>27</v>
      </c>
      <c r="AK1031" s="21"/>
      <c r="AL1031" s="21"/>
      <c r="AM1031" s="21">
        <v>11</v>
      </c>
      <c r="AN1031" s="21">
        <v>66</v>
      </c>
      <c r="AO1031" s="21"/>
      <c r="AP1031" s="21"/>
      <c r="AQ1031" s="21"/>
      <c r="AR1031" s="21"/>
      <c r="AS1031" s="21"/>
      <c r="AT1031" s="12" t="str">
        <f>HYPERLINK("http://www.openstreetmap.org/?mlat=37.0156&amp;mlon=43.0162&amp;zoom=12#map=12/37.0156/43.0162","Maplink1")</f>
        <v>Maplink1</v>
      </c>
      <c r="AU1031" s="12" t="str">
        <f>HYPERLINK("https://www.google.iq/maps/search/+37.0156,43.0162/@37.0156,43.0162,14z?hl=en","Maplink2")</f>
        <v>Maplink2</v>
      </c>
      <c r="AV1031" s="12" t="str">
        <f>HYPERLINK("http://www.bing.com/maps/?lvl=14&amp;sty=h&amp;cp=37.0156~43.0162&amp;sp=point.37.0156_43.0162","Maplink3")</f>
        <v>Maplink3</v>
      </c>
    </row>
    <row r="1032" spans="1:48" ht="15" customHeight="1" x14ac:dyDescent="0.25">
      <c r="A1032" s="19">
        <v>8538</v>
      </c>
      <c r="B1032" s="20" t="s">
        <v>13</v>
      </c>
      <c r="C1032" s="20" t="s">
        <v>13</v>
      </c>
      <c r="D1032" s="20" t="s">
        <v>1995</v>
      </c>
      <c r="E1032" s="20" t="s">
        <v>1996</v>
      </c>
      <c r="F1032" s="20">
        <v>36.909990720000003</v>
      </c>
      <c r="G1032" s="20">
        <v>43.236215309999999</v>
      </c>
      <c r="H1032" s="22">
        <v>37</v>
      </c>
      <c r="I1032" s="22">
        <v>222</v>
      </c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>
        <v>37</v>
      </c>
      <c r="W1032" s="21"/>
      <c r="X1032" s="21"/>
      <c r="Y1032" s="21"/>
      <c r="Z1032" s="21"/>
      <c r="AA1032" s="21"/>
      <c r="AB1032" s="21"/>
      <c r="AC1032" s="21">
        <v>6</v>
      </c>
      <c r="AD1032" s="21"/>
      <c r="AE1032" s="21"/>
      <c r="AF1032" s="21"/>
      <c r="AG1032" s="21"/>
      <c r="AH1032" s="21"/>
      <c r="AI1032" s="21"/>
      <c r="AJ1032" s="21">
        <v>31</v>
      </c>
      <c r="AK1032" s="21"/>
      <c r="AL1032" s="21"/>
      <c r="AM1032" s="21"/>
      <c r="AN1032" s="21">
        <v>37</v>
      </c>
      <c r="AO1032" s="21"/>
      <c r="AP1032" s="21"/>
      <c r="AQ1032" s="21"/>
      <c r="AR1032" s="21"/>
      <c r="AS1032" s="21"/>
      <c r="AT1032" s="12" t="str">
        <f>HYPERLINK("http://www.openstreetmap.org/?mlat=36.91&amp;mlon=43.2362&amp;zoom=12#map=12/36.91/43.2362","Maplink1")</f>
        <v>Maplink1</v>
      </c>
      <c r="AU1032" s="12" t="str">
        <f>HYPERLINK("https://www.google.iq/maps/search/+36.91,43.2362/@36.91,43.2362,14z?hl=en","Maplink2")</f>
        <v>Maplink2</v>
      </c>
      <c r="AV1032" s="12" t="str">
        <f>HYPERLINK("http://www.bing.com/maps/?lvl=14&amp;sty=h&amp;cp=36.91~43.2362&amp;sp=point.36.91_43.2362","Maplink3")</f>
        <v>Maplink3</v>
      </c>
    </row>
    <row r="1033" spans="1:48" ht="15" customHeight="1" x14ac:dyDescent="0.25">
      <c r="A1033" s="19">
        <v>8193</v>
      </c>
      <c r="B1033" s="20" t="s">
        <v>13</v>
      </c>
      <c r="C1033" s="20" t="s">
        <v>13</v>
      </c>
      <c r="D1033" s="20" t="s">
        <v>6106</v>
      </c>
      <c r="E1033" s="20" t="s">
        <v>6107</v>
      </c>
      <c r="F1033" s="20">
        <v>37.066121000000003</v>
      </c>
      <c r="G1033" s="20">
        <v>43.080865000000003</v>
      </c>
      <c r="H1033" s="22">
        <v>31</v>
      </c>
      <c r="I1033" s="22">
        <v>186</v>
      </c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>
        <v>31</v>
      </c>
      <c r="W1033" s="21"/>
      <c r="X1033" s="21"/>
      <c r="Y1033" s="21"/>
      <c r="Z1033" s="21"/>
      <c r="AA1033" s="21"/>
      <c r="AB1033" s="21"/>
      <c r="AC1033" s="21">
        <v>31</v>
      </c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>
        <v>3</v>
      </c>
      <c r="AN1033" s="21">
        <v>28</v>
      </c>
      <c r="AO1033" s="21"/>
      <c r="AP1033" s="21"/>
      <c r="AQ1033" s="21"/>
      <c r="AR1033" s="21"/>
      <c r="AS1033" s="21"/>
      <c r="AT1033" s="12" t="str">
        <f>HYPERLINK("http://www.openstreetmap.org/?mlat=37.0661&amp;mlon=43.0809&amp;zoom=12#map=12/37.0661/43.0809","Maplink1")</f>
        <v>Maplink1</v>
      </c>
      <c r="AU1033" s="12" t="str">
        <f>HYPERLINK("https://www.google.iq/maps/search/+37.0661,43.0809/@37.0661,43.0809,14z?hl=en","Maplink2")</f>
        <v>Maplink2</v>
      </c>
      <c r="AV1033" s="12" t="str">
        <f>HYPERLINK("http://www.bing.com/maps/?lvl=14&amp;sty=h&amp;cp=37.0661~43.0809&amp;sp=point.37.0661_43.0809","Maplink3")</f>
        <v>Maplink3</v>
      </c>
    </row>
    <row r="1034" spans="1:48" ht="15" customHeight="1" x14ac:dyDescent="0.25">
      <c r="A1034" s="19">
        <v>7945</v>
      </c>
      <c r="B1034" s="20" t="s">
        <v>13</v>
      </c>
      <c r="C1034" s="20" t="s">
        <v>13</v>
      </c>
      <c r="D1034" s="20" t="s">
        <v>1997</v>
      </c>
      <c r="E1034" s="20" t="s">
        <v>1998</v>
      </c>
      <c r="F1034" s="20">
        <v>36.85652237</v>
      </c>
      <c r="G1034" s="20">
        <v>43.022988750000003</v>
      </c>
      <c r="H1034" s="22">
        <v>321</v>
      </c>
      <c r="I1034" s="22">
        <v>1926</v>
      </c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>
        <v>321</v>
      </c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>
        <v>321</v>
      </c>
      <c r="AI1034" s="21"/>
      <c r="AJ1034" s="21"/>
      <c r="AK1034" s="21"/>
      <c r="AL1034" s="21"/>
      <c r="AM1034" s="21">
        <v>228</v>
      </c>
      <c r="AN1034" s="21">
        <v>90</v>
      </c>
      <c r="AO1034" s="21"/>
      <c r="AP1034" s="21"/>
      <c r="AQ1034" s="21"/>
      <c r="AR1034" s="21"/>
      <c r="AS1034" s="21">
        <v>3</v>
      </c>
      <c r="AT1034" s="12" t="str">
        <f>HYPERLINK("http://www.openstreetmap.org/?mlat=36.8565&amp;mlon=43.023&amp;zoom=12#map=12/36.8565/43.023","Maplink1")</f>
        <v>Maplink1</v>
      </c>
      <c r="AU1034" s="12" t="str">
        <f>HYPERLINK("https://www.google.iq/maps/search/+36.8565,43.023/@36.8565,43.023,14z?hl=en","Maplink2")</f>
        <v>Maplink2</v>
      </c>
      <c r="AV1034" s="12" t="str">
        <f>HYPERLINK("http://www.bing.com/maps/?lvl=14&amp;sty=h&amp;cp=36.8565~43.023&amp;sp=point.36.8565_43.023","Maplink3")</f>
        <v>Maplink3</v>
      </c>
    </row>
    <row r="1035" spans="1:48" ht="15" customHeight="1" x14ac:dyDescent="0.25">
      <c r="A1035" s="19">
        <v>26051</v>
      </c>
      <c r="B1035" s="20" t="s">
        <v>13</v>
      </c>
      <c r="C1035" s="20" t="s">
        <v>13</v>
      </c>
      <c r="D1035" s="20" t="s">
        <v>1999</v>
      </c>
      <c r="E1035" s="20" t="s">
        <v>2000</v>
      </c>
      <c r="F1035" s="20">
        <v>36.850712809999997</v>
      </c>
      <c r="G1035" s="20">
        <v>43.035858619999999</v>
      </c>
      <c r="H1035" s="22">
        <v>63</v>
      </c>
      <c r="I1035" s="22">
        <v>378</v>
      </c>
      <c r="J1035" s="21">
        <v>7</v>
      </c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>
        <v>56</v>
      </c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>
        <v>63</v>
      </c>
      <c r="AI1035" s="21"/>
      <c r="AJ1035" s="21"/>
      <c r="AK1035" s="21"/>
      <c r="AL1035" s="21">
        <v>7</v>
      </c>
      <c r="AM1035" s="21">
        <v>35</v>
      </c>
      <c r="AN1035" s="21">
        <v>21</v>
      </c>
      <c r="AO1035" s="21"/>
      <c r="AP1035" s="21"/>
      <c r="AQ1035" s="21"/>
      <c r="AR1035" s="21"/>
      <c r="AS1035" s="21"/>
      <c r="AT1035" s="12" t="str">
        <f>HYPERLINK("http://www.openstreetmap.org/?mlat=36.8507&amp;mlon=43.0359&amp;zoom=12#map=12/36.8507/43.0359","Maplink1")</f>
        <v>Maplink1</v>
      </c>
      <c r="AU1035" s="12" t="str">
        <f>HYPERLINK("https://www.google.iq/maps/search/+36.8507,43.0359/@36.8507,43.0359,14z?hl=en","Maplink2")</f>
        <v>Maplink2</v>
      </c>
      <c r="AV1035" s="12" t="str">
        <f>HYPERLINK("http://www.bing.com/maps/?lvl=14&amp;sty=h&amp;cp=36.8507~43.0359&amp;sp=point.36.8507_43.0359","Maplink3")</f>
        <v>Maplink3</v>
      </c>
    </row>
    <row r="1036" spans="1:48" ht="15" customHeight="1" x14ac:dyDescent="0.25">
      <c r="A1036" s="19">
        <v>23710</v>
      </c>
      <c r="B1036" s="20" t="s">
        <v>13</v>
      </c>
      <c r="C1036" s="20" t="s">
        <v>13</v>
      </c>
      <c r="D1036" s="20" t="s">
        <v>2001</v>
      </c>
      <c r="E1036" s="20" t="s">
        <v>2002</v>
      </c>
      <c r="F1036" s="20">
        <v>36.861680730000003</v>
      </c>
      <c r="G1036" s="20">
        <v>42.997404240000002</v>
      </c>
      <c r="H1036" s="22">
        <v>55</v>
      </c>
      <c r="I1036" s="22">
        <v>330</v>
      </c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>
        <v>54</v>
      </c>
      <c r="W1036" s="21"/>
      <c r="X1036" s="21">
        <v>1</v>
      </c>
      <c r="Y1036" s="21"/>
      <c r="Z1036" s="21"/>
      <c r="AA1036" s="21"/>
      <c r="AB1036" s="21"/>
      <c r="AC1036" s="21"/>
      <c r="AD1036" s="21">
        <v>10</v>
      </c>
      <c r="AE1036" s="21"/>
      <c r="AF1036" s="21"/>
      <c r="AG1036" s="21"/>
      <c r="AH1036" s="21">
        <v>45</v>
      </c>
      <c r="AI1036" s="21"/>
      <c r="AJ1036" s="21"/>
      <c r="AK1036" s="21"/>
      <c r="AL1036" s="21"/>
      <c r="AM1036" s="21">
        <v>16</v>
      </c>
      <c r="AN1036" s="21">
        <v>39</v>
      </c>
      <c r="AO1036" s="21"/>
      <c r="AP1036" s="21"/>
      <c r="AQ1036" s="21"/>
      <c r="AR1036" s="21"/>
      <c r="AS1036" s="21"/>
      <c r="AT1036" s="12" t="str">
        <f>HYPERLINK("http://www.openstreetmap.org/?mlat=36.8617&amp;mlon=42.9974&amp;zoom=12#map=12/36.8617/42.9974","Maplink1")</f>
        <v>Maplink1</v>
      </c>
      <c r="AU1036" s="12" t="str">
        <f>HYPERLINK("https://www.google.iq/maps/search/+36.8617,42.9974/@36.8617,42.9974,14z?hl=en","Maplink2")</f>
        <v>Maplink2</v>
      </c>
      <c r="AV1036" s="12" t="str">
        <f>HYPERLINK("http://www.bing.com/maps/?lvl=14&amp;sty=h&amp;cp=36.8617~42.9974&amp;sp=point.36.8617_42.9974","Maplink3")</f>
        <v>Maplink3</v>
      </c>
    </row>
    <row r="1037" spans="1:48" ht="15" customHeight="1" x14ac:dyDescent="0.25">
      <c r="A1037" s="19">
        <v>25899</v>
      </c>
      <c r="B1037" s="20" t="s">
        <v>13</v>
      </c>
      <c r="C1037" s="20" t="s">
        <v>13</v>
      </c>
      <c r="D1037" s="20" t="s">
        <v>2003</v>
      </c>
      <c r="E1037" s="20" t="s">
        <v>2004</v>
      </c>
      <c r="F1037" s="20">
        <v>36.821587579999999</v>
      </c>
      <c r="G1037" s="20">
        <v>43.118322890000002</v>
      </c>
      <c r="H1037" s="22">
        <v>22</v>
      </c>
      <c r="I1037" s="22">
        <v>132</v>
      </c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>
        <v>22</v>
      </c>
      <c r="W1037" s="21"/>
      <c r="X1037" s="21"/>
      <c r="Y1037" s="21"/>
      <c r="Z1037" s="21"/>
      <c r="AA1037" s="21"/>
      <c r="AB1037" s="21"/>
      <c r="AC1037" s="21">
        <v>3</v>
      </c>
      <c r="AD1037" s="21"/>
      <c r="AE1037" s="21"/>
      <c r="AF1037" s="21"/>
      <c r="AG1037" s="21"/>
      <c r="AH1037" s="21">
        <v>11</v>
      </c>
      <c r="AI1037" s="21"/>
      <c r="AJ1037" s="21">
        <v>8</v>
      </c>
      <c r="AK1037" s="21"/>
      <c r="AL1037" s="21"/>
      <c r="AM1037" s="21">
        <v>7</v>
      </c>
      <c r="AN1037" s="21">
        <v>15</v>
      </c>
      <c r="AO1037" s="21"/>
      <c r="AP1037" s="21"/>
      <c r="AQ1037" s="21"/>
      <c r="AR1037" s="21"/>
      <c r="AS1037" s="21"/>
      <c r="AT1037" s="12" t="str">
        <f>HYPERLINK("http://www.openstreetmap.org/?mlat=36.8216&amp;mlon=43.1183&amp;zoom=12#map=12/36.8216/43.1183","Maplink1")</f>
        <v>Maplink1</v>
      </c>
      <c r="AU1037" s="12" t="str">
        <f>HYPERLINK("https://www.google.iq/maps/search/+36.8216,43.1183/@36.8216,43.1183,14z?hl=en","Maplink2")</f>
        <v>Maplink2</v>
      </c>
      <c r="AV1037" s="12" t="str">
        <f>HYPERLINK("http://www.bing.com/maps/?lvl=14&amp;sty=h&amp;cp=36.8216~43.1183&amp;sp=point.36.8216_43.1183","Maplink3")</f>
        <v>Maplink3</v>
      </c>
    </row>
    <row r="1038" spans="1:48" ht="15" customHeight="1" x14ac:dyDescent="0.25">
      <c r="A1038" s="19">
        <v>26052</v>
      </c>
      <c r="B1038" s="20" t="s">
        <v>13</v>
      </c>
      <c r="C1038" s="20" t="s">
        <v>13</v>
      </c>
      <c r="D1038" s="20" t="s">
        <v>2005</v>
      </c>
      <c r="E1038" s="20" t="s">
        <v>2006</v>
      </c>
      <c r="F1038" s="20">
        <v>36.845846330000001</v>
      </c>
      <c r="G1038" s="20">
        <v>43.010108369999998</v>
      </c>
      <c r="H1038" s="22">
        <v>36</v>
      </c>
      <c r="I1038" s="22">
        <v>216</v>
      </c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>
        <v>36</v>
      </c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>
        <v>36</v>
      </c>
      <c r="AI1038" s="21"/>
      <c r="AJ1038" s="21"/>
      <c r="AK1038" s="21"/>
      <c r="AL1038" s="21"/>
      <c r="AM1038" s="21">
        <v>11</v>
      </c>
      <c r="AN1038" s="21">
        <v>25</v>
      </c>
      <c r="AO1038" s="21"/>
      <c r="AP1038" s="21"/>
      <c r="AQ1038" s="21"/>
      <c r="AR1038" s="21"/>
      <c r="AS1038" s="21"/>
      <c r="AT1038" s="12" t="str">
        <f>HYPERLINK("http://www.openstreetmap.org/?mlat=36.8458&amp;mlon=43.0101&amp;zoom=12#map=12/36.8458/43.0101","Maplink1")</f>
        <v>Maplink1</v>
      </c>
      <c r="AU1038" s="12" t="str">
        <f>HYPERLINK("https://www.google.iq/maps/search/+36.8458,43.0101/@36.8458,43.0101,14z?hl=en","Maplink2")</f>
        <v>Maplink2</v>
      </c>
      <c r="AV1038" s="12" t="str">
        <f>HYPERLINK("http://www.bing.com/maps/?lvl=14&amp;sty=h&amp;cp=36.8458~43.0101&amp;sp=point.36.8458_43.0101","Maplink3")</f>
        <v>Maplink3</v>
      </c>
    </row>
    <row r="1039" spans="1:48" ht="15" customHeight="1" x14ac:dyDescent="0.25">
      <c r="A1039" s="19">
        <v>26047</v>
      </c>
      <c r="B1039" s="20" t="s">
        <v>13</v>
      </c>
      <c r="C1039" s="20" t="s">
        <v>13</v>
      </c>
      <c r="D1039" s="20" t="s">
        <v>2007</v>
      </c>
      <c r="E1039" s="20" t="s">
        <v>2008</v>
      </c>
      <c r="F1039" s="20">
        <v>36.863353969999999</v>
      </c>
      <c r="G1039" s="20">
        <v>42.968511790000001</v>
      </c>
      <c r="H1039" s="22">
        <v>86</v>
      </c>
      <c r="I1039" s="22">
        <v>516</v>
      </c>
      <c r="J1039" s="21">
        <v>1</v>
      </c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>
        <v>85</v>
      </c>
      <c r="W1039" s="21"/>
      <c r="X1039" s="21"/>
      <c r="Y1039" s="21"/>
      <c r="Z1039" s="21"/>
      <c r="AA1039" s="21"/>
      <c r="AB1039" s="21"/>
      <c r="AC1039" s="21"/>
      <c r="AD1039" s="21">
        <v>20</v>
      </c>
      <c r="AE1039" s="21"/>
      <c r="AF1039" s="21"/>
      <c r="AG1039" s="21"/>
      <c r="AH1039" s="21">
        <v>66</v>
      </c>
      <c r="AI1039" s="21"/>
      <c r="AJ1039" s="21"/>
      <c r="AK1039" s="21"/>
      <c r="AL1039" s="21">
        <v>1</v>
      </c>
      <c r="AM1039" s="21">
        <v>22</v>
      </c>
      <c r="AN1039" s="21">
        <v>63</v>
      </c>
      <c r="AO1039" s="21"/>
      <c r="AP1039" s="21"/>
      <c r="AQ1039" s="21"/>
      <c r="AR1039" s="21"/>
      <c r="AS1039" s="21"/>
      <c r="AT1039" s="12" t="str">
        <f>HYPERLINK("http://www.openstreetmap.org/?mlat=36.8634&amp;mlon=42.9685&amp;zoom=12#map=12/36.8634/42.9685","Maplink1")</f>
        <v>Maplink1</v>
      </c>
      <c r="AU1039" s="12" t="str">
        <f>HYPERLINK("https://www.google.iq/maps/search/+36.8634,42.9685/@36.8634,42.9685,14z?hl=en","Maplink2")</f>
        <v>Maplink2</v>
      </c>
      <c r="AV1039" s="12" t="str">
        <f>HYPERLINK("http://www.bing.com/maps/?lvl=14&amp;sty=h&amp;cp=36.8634~42.9685&amp;sp=point.36.8634_42.9685","Maplink3")</f>
        <v>Maplink3</v>
      </c>
    </row>
    <row r="1040" spans="1:48" ht="15" customHeight="1" x14ac:dyDescent="0.25">
      <c r="A1040" s="19">
        <v>23763</v>
      </c>
      <c r="B1040" s="20" t="s">
        <v>13</v>
      </c>
      <c r="C1040" s="20" t="s">
        <v>13</v>
      </c>
      <c r="D1040" s="20" t="s">
        <v>2009</v>
      </c>
      <c r="E1040" s="20" t="s">
        <v>2010</v>
      </c>
      <c r="F1040" s="20">
        <v>36.865478979999999</v>
      </c>
      <c r="G1040" s="20">
        <v>42.978621740000001</v>
      </c>
      <c r="H1040" s="22">
        <v>27</v>
      </c>
      <c r="I1040" s="22">
        <v>162</v>
      </c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>
        <v>27</v>
      </c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21">
        <v>27</v>
      </c>
      <c r="AI1040" s="21"/>
      <c r="AJ1040" s="21"/>
      <c r="AK1040" s="21"/>
      <c r="AL1040" s="21"/>
      <c r="AM1040" s="21">
        <v>19</v>
      </c>
      <c r="AN1040" s="21">
        <v>8</v>
      </c>
      <c r="AO1040" s="21"/>
      <c r="AP1040" s="21"/>
      <c r="AQ1040" s="21"/>
      <c r="AR1040" s="21"/>
      <c r="AS1040" s="21"/>
      <c r="AT1040" s="12" t="str">
        <f>HYPERLINK("http://www.openstreetmap.org/?mlat=36.8655&amp;mlon=42.9786&amp;zoom=12#map=12/36.8655/42.9786","Maplink1")</f>
        <v>Maplink1</v>
      </c>
      <c r="AU1040" s="12" t="str">
        <f>HYPERLINK("https://www.google.iq/maps/search/+36.8655,42.9786/@36.8655,42.9786,14z?hl=en","Maplink2")</f>
        <v>Maplink2</v>
      </c>
      <c r="AV1040" s="12" t="str">
        <f>HYPERLINK("http://www.bing.com/maps/?lvl=14&amp;sty=h&amp;cp=36.8655~42.9786&amp;sp=point.36.8655_42.9786","Maplink3")</f>
        <v>Maplink3</v>
      </c>
    </row>
    <row r="1041" spans="1:48" ht="15" customHeight="1" x14ac:dyDescent="0.25">
      <c r="A1041" s="19">
        <v>24302</v>
      </c>
      <c r="B1041" s="20" t="s">
        <v>13</v>
      </c>
      <c r="C1041" s="20" t="s">
        <v>13</v>
      </c>
      <c r="D1041" s="20" t="s">
        <v>2011</v>
      </c>
      <c r="E1041" s="20" t="s">
        <v>2012</v>
      </c>
      <c r="F1041" s="20">
        <v>36.882573999999998</v>
      </c>
      <c r="G1041" s="20">
        <v>42.943069000000001</v>
      </c>
      <c r="H1041" s="22">
        <v>383</v>
      </c>
      <c r="I1041" s="22">
        <v>2298</v>
      </c>
      <c r="J1041" s="21">
        <v>3</v>
      </c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>
        <v>380</v>
      </c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21">
        <v>383</v>
      </c>
      <c r="AI1041" s="21"/>
      <c r="AJ1041" s="21"/>
      <c r="AK1041" s="21"/>
      <c r="AL1041" s="21">
        <v>3</v>
      </c>
      <c r="AM1041" s="21">
        <v>270</v>
      </c>
      <c r="AN1041" s="21">
        <v>103</v>
      </c>
      <c r="AO1041" s="21"/>
      <c r="AP1041" s="21"/>
      <c r="AQ1041" s="21"/>
      <c r="AR1041" s="21"/>
      <c r="AS1041" s="21">
        <v>7</v>
      </c>
      <c r="AT1041" s="12" t="str">
        <f>HYPERLINK("http://www.openstreetmap.org/?mlat=36.8826&amp;mlon=42.9431&amp;zoom=12#map=12/36.8826/42.9431","Maplink1")</f>
        <v>Maplink1</v>
      </c>
      <c r="AU1041" s="12" t="str">
        <f>HYPERLINK("https://www.google.iq/maps/search/+36.8826,42.9431/@36.8826,42.9431,14z?hl=en","Maplink2")</f>
        <v>Maplink2</v>
      </c>
      <c r="AV1041" s="12" t="str">
        <f>HYPERLINK("http://www.bing.com/maps/?lvl=14&amp;sty=h&amp;cp=36.8826~42.9431&amp;sp=point.36.8826_42.9431","Maplink3")</f>
        <v>Maplink3</v>
      </c>
    </row>
    <row r="1042" spans="1:48" ht="15" customHeight="1" x14ac:dyDescent="0.25">
      <c r="A1042" s="19">
        <v>24185</v>
      </c>
      <c r="B1042" s="20" t="s">
        <v>13</v>
      </c>
      <c r="C1042" s="20" t="s">
        <v>13</v>
      </c>
      <c r="D1042" s="20" t="s">
        <v>2013</v>
      </c>
      <c r="E1042" s="20" t="s">
        <v>2014</v>
      </c>
      <c r="F1042" s="20">
        <v>36.848014110000001</v>
      </c>
      <c r="G1042" s="20">
        <v>43.02434435</v>
      </c>
      <c r="H1042" s="22">
        <v>29</v>
      </c>
      <c r="I1042" s="22">
        <v>174</v>
      </c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>
        <v>29</v>
      </c>
      <c r="W1042" s="21"/>
      <c r="X1042" s="21"/>
      <c r="Y1042" s="21"/>
      <c r="Z1042" s="21"/>
      <c r="AA1042" s="21"/>
      <c r="AB1042" s="21"/>
      <c r="AC1042" s="21">
        <v>6</v>
      </c>
      <c r="AD1042" s="21"/>
      <c r="AE1042" s="21"/>
      <c r="AF1042" s="21"/>
      <c r="AG1042" s="21"/>
      <c r="AH1042" s="21">
        <v>23</v>
      </c>
      <c r="AI1042" s="21"/>
      <c r="AJ1042" s="21"/>
      <c r="AK1042" s="21"/>
      <c r="AL1042" s="21"/>
      <c r="AM1042" s="21">
        <v>8</v>
      </c>
      <c r="AN1042" s="21">
        <v>21</v>
      </c>
      <c r="AO1042" s="21"/>
      <c r="AP1042" s="21"/>
      <c r="AQ1042" s="21"/>
      <c r="AR1042" s="21"/>
      <c r="AS1042" s="21"/>
      <c r="AT1042" s="12" t="str">
        <f>HYPERLINK("http://www.openstreetmap.org/?mlat=36.848&amp;mlon=43.0243&amp;zoom=12#map=12/36.848/43.0243","Maplink1")</f>
        <v>Maplink1</v>
      </c>
      <c r="AU1042" s="12" t="str">
        <f>HYPERLINK("https://www.google.iq/maps/search/+36.848,43.0243/@36.848,43.0243,14z?hl=en","Maplink2")</f>
        <v>Maplink2</v>
      </c>
      <c r="AV1042" s="12" t="str">
        <f>HYPERLINK("http://www.bing.com/maps/?lvl=14&amp;sty=h&amp;cp=36.848~43.0243&amp;sp=point.36.848_43.0243","Maplink3")</f>
        <v>Maplink3</v>
      </c>
    </row>
    <row r="1043" spans="1:48" ht="15" customHeight="1" x14ac:dyDescent="0.25">
      <c r="A1043" s="19">
        <v>7949</v>
      </c>
      <c r="B1043" s="20" t="s">
        <v>13</v>
      </c>
      <c r="C1043" s="20" t="s">
        <v>13</v>
      </c>
      <c r="D1043" s="20" t="s">
        <v>2015</v>
      </c>
      <c r="E1043" s="20" t="s">
        <v>6108</v>
      </c>
      <c r="F1043" s="20">
        <v>36.85937818</v>
      </c>
      <c r="G1043" s="20">
        <v>43.095462580000003</v>
      </c>
      <c r="H1043" s="22">
        <v>129</v>
      </c>
      <c r="I1043" s="22">
        <v>774</v>
      </c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>
        <v>129</v>
      </c>
      <c r="W1043" s="21"/>
      <c r="X1043" s="21"/>
      <c r="Y1043" s="21"/>
      <c r="Z1043" s="21"/>
      <c r="AA1043" s="21"/>
      <c r="AB1043" s="21"/>
      <c r="AC1043" s="21">
        <v>29</v>
      </c>
      <c r="AD1043" s="21"/>
      <c r="AE1043" s="21"/>
      <c r="AF1043" s="21"/>
      <c r="AG1043" s="21"/>
      <c r="AH1043" s="21">
        <v>70</v>
      </c>
      <c r="AI1043" s="21"/>
      <c r="AJ1043" s="21">
        <v>30</v>
      </c>
      <c r="AK1043" s="21"/>
      <c r="AL1043" s="21"/>
      <c r="AM1043" s="21">
        <v>42</v>
      </c>
      <c r="AN1043" s="21">
        <v>87</v>
      </c>
      <c r="AO1043" s="21"/>
      <c r="AP1043" s="21"/>
      <c r="AQ1043" s="21"/>
      <c r="AR1043" s="21"/>
      <c r="AS1043" s="21"/>
      <c r="AT1043" s="12" t="str">
        <f>HYPERLINK("http://www.openstreetmap.org/?mlat=36.8594&amp;mlon=43.0955&amp;zoom=12#map=12/36.8594/43.0955","Maplink1")</f>
        <v>Maplink1</v>
      </c>
      <c r="AU1043" s="12" t="str">
        <f>HYPERLINK("https://www.google.iq/maps/search/+36.8594,43.0955/@36.8594,43.0955,14z?hl=en","Maplink2")</f>
        <v>Maplink2</v>
      </c>
      <c r="AV1043" s="12" t="str">
        <f>HYPERLINK("http://www.bing.com/maps/?lvl=14&amp;sty=h&amp;cp=36.8594~43.0955&amp;sp=point.36.8594_43.0955","Maplink3")</f>
        <v>Maplink3</v>
      </c>
    </row>
    <row r="1044" spans="1:48" ht="15" customHeight="1" x14ac:dyDescent="0.25">
      <c r="A1044" s="19">
        <v>24628</v>
      </c>
      <c r="B1044" s="20" t="s">
        <v>13</v>
      </c>
      <c r="C1044" s="20" t="s">
        <v>13</v>
      </c>
      <c r="D1044" s="20" t="s">
        <v>2016</v>
      </c>
      <c r="E1044" s="20" t="s">
        <v>2017</v>
      </c>
      <c r="F1044" s="20">
        <v>36.844587969999999</v>
      </c>
      <c r="G1044" s="20">
        <v>43.082291349999998</v>
      </c>
      <c r="H1044" s="22">
        <v>320</v>
      </c>
      <c r="I1044" s="22">
        <v>1920</v>
      </c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>
        <v>320</v>
      </c>
      <c r="W1044" s="21"/>
      <c r="X1044" s="21"/>
      <c r="Y1044" s="21"/>
      <c r="Z1044" s="21"/>
      <c r="AA1044" s="21"/>
      <c r="AB1044" s="21"/>
      <c r="AC1044" s="21">
        <v>25</v>
      </c>
      <c r="AD1044" s="21"/>
      <c r="AE1044" s="21">
        <v>8</v>
      </c>
      <c r="AF1044" s="21"/>
      <c r="AG1044" s="21"/>
      <c r="AH1044" s="21">
        <v>270</v>
      </c>
      <c r="AI1044" s="21"/>
      <c r="AJ1044" s="21">
        <v>17</v>
      </c>
      <c r="AK1044" s="21"/>
      <c r="AL1044" s="21"/>
      <c r="AM1044" s="21">
        <v>168</v>
      </c>
      <c r="AN1044" s="21">
        <v>121</v>
      </c>
      <c r="AO1044" s="21"/>
      <c r="AP1044" s="21"/>
      <c r="AQ1044" s="21"/>
      <c r="AR1044" s="21"/>
      <c r="AS1044" s="21">
        <v>31</v>
      </c>
      <c r="AT1044" s="12" t="str">
        <f>HYPERLINK("http://www.openstreetmap.org/?mlat=36.8446&amp;mlon=43.0823&amp;zoom=12#map=12/36.8446/43.0823","Maplink1")</f>
        <v>Maplink1</v>
      </c>
      <c r="AU1044" s="12" t="str">
        <f>HYPERLINK("https://www.google.iq/maps/search/+36.8446,43.0823/@36.8446,43.0823,14z?hl=en","Maplink2")</f>
        <v>Maplink2</v>
      </c>
      <c r="AV1044" s="12" t="str">
        <f>HYPERLINK("http://www.bing.com/maps/?lvl=14&amp;sty=h&amp;cp=36.8446~43.0823&amp;sp=point.36.8446_43.0823","Maplink3")</f>
        <v>Maplink3</v>
      </c>
    </row>
    <row r="1045" spans="1:48" ht="15" customHeight="1" x14ac:dyDescent="0.25">
      <c r="A1045" s="19">
        <v>23711</v>
      </c>
      <c r="B1045" s="20" t="s">
        <v>13</v>
      </c>
      <c r="C1045" s="20" t="s">
        <v>13</v>
      </c>
      <c r="D1045" s="20" t="s">
        <v>2018</v>
      </c>
      <c r="E1045" s="20" t="s">
        <v>2019</v>
      </c>
      <c r="F1045" s="20">
        <v>36.864283909999997</v>
      </c>
      <c r="G1045" s="20">
        <v>43.00491547</v>
      </c>
      <c r="H1045" s="22">
        <v>22</v>
      </c>
      <c r="I1045" s="22">
        <v>132</v>
      </c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>
        <v>22</v>
      </c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21">
        <v>22</v>
      </c>
      <c r="AI1045" s="21"/>
      <c r="AJ1045" s="21"/>
      <c r="AK1045" s="21"/>
      <c r="AL1045" s="21"/>
      <c r="AM1045" s="21"/>
      <c r="AN1045" s="21">
        <v>22</v>
      </c>
      <c r="AO1045" s="21"/>
      <c r="AP1045" s="21"/>
      <c r="AQ1045" s="21"/>
      <c r="AR1045" s="21"/>
      <c r="AS1045" s="21"/>
      <c r="AT1045" s="12" t="str">
        <f>HYPERLINK("http://www.openstreetmap.org/?mlat=36.8643&amp;mlon=43.0049&amp;zoom=12#map=12/36.8643/43.0049","Maplink1")</f>
        <v>Maplink1</v>
      </c>
      <c r="AU1045" s="12" t="str">
        <f>HYPERLINK("https://www.google.iq/maps/search/+36.8643,43.0049/@36.8643,43.0049,14z?hl=en","Maplink2")</f>
        <v>Maplink2</v>
      </c>
      <c r="AV1045" s="12" t="str">
        <f>HYPERLINK("http://www.bing.com/maps/?lvl=14&amp;sty=h&amp;cp=36.8643~43.0049&amp;sp=point.36.8643_43.0049","Maplink3")</f>
        <v>Maplink3</v>
      </c>
    </row>
    <row r="1046" spans="1:48" ht="15" customHeight="1" x14ac:dyDescent="0.25">
      <c r="A1046" s="19">
        <v>8371</v>
      </c>
      <c r="B1046" s="20" t="s">
        <v>13</v>
      </c>
      <c r="C1046" s="20" t="s">
        <v>13</v>
      </c>
      <c r="D1046" s="20" t="s">
        <v>2020</v>
      </c>
      <c r="E1046" s="20" t="s">
        <v>2021</v>
      </c>
      <c r="F1046" s="20">
        <v>36.84818791</v>
      </c>
      <c r="G1046" s="20">
        <v>42.941553020000001</v>
      </c>
      <c r="H1046" s="22">
        <v>20</v>
      </c>
      <c r="I1046" s="22">
        <v>120</v>
      </c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>
        <v>20</v>
      </c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21">
        <v>13</v>
      </c>
      <c r="AI1046" s="21"/>
      <c r="AJ1046" s="21">
        <v>7</v>
      </c>
      <c r="AK1046" s="21"/>
      <c r="AL1046" s="21"/>
      <c r="AM1046" s="21">
        <v>7</v>
      </c>
      <c r="AN1046" s="21">
        <v>13</v>
      </c>
      <c r="AO1046" s="21"/>
      <c r="AP1046" s="21"/>
      <c r="AQ1046" s="21"/>
      <c r="AR1046" s="21"/>
      <c r="AS1046" s="21"/>
      <c r="AT1046" s="12" t="str">
        <f>HYPERLINK("http://www.openstreetmap.org/?mlat=36.8482&amp;mlon=42.9416&amp;zoom=12#map=12/36.8482/42.9416","Maplink1")</f>
        <v>Maplink1</v>
      </c>
      <c r="AU1046" s="12" t="str">
        <f>HYPERLINK("https://www.google.iq/maps/search/+36.8482,42.9416/@36.8482,42.9416,14z?hl=en","Maplink2")</f>
        <v>Maplink2</v>
      </c>
      <c r="AV1046" s="12" t="str">
        <f>HYPERLINK("http://www.bing.com/maps/?lvl=14&amp;sty=h&amp;cp=36.8482~42.9416&amp;sp=point.36.8482_42.9416","Maplink3")</f>
        <v>Maplink3</v>
      </c>
    </row>
    <row r="1047" spans="1:48" ht="15" customHeight="1" x14ac:dyDescent="0.25">
      <c r="A1047" s="19">
        <v>21509</v>
      </c>
      <c r="B1047" s="20" t="s">
        <v>13</v>
      </c>
      <c r="C1047" s="20" t="s">
        <v>13</v>
      </c>
      <c r="D1047" s="20" t="s">
        <v>2022</v>
      </c>
      <c r="E1047" s="20" t="s">
        <v>2023</v>
      </c>
      <c r="F1047" s="20">
        <v>36.867760859999997</v>
      </c>
      <c r="G1047" s="20">
        <v>42.989793149999997</v>
      </c>
      <c r="H1047" s="22">
        <v>206</v>
      </c>
      <c r="I1047" s="22">
        <v>1236</v>
      </c>
      <c r="J1047" s="21">
        <v>4</v>
      </c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>
        <v>202</v>
      </c>
      <c r="W1047" s="21"/>
      <c r="X1047" s="21"/>
      <c r="Y1047" s="21"/>
      <c r="Z1047" s="21"/>
      <c r="AA1047" s="21"/>
      <c r="AB1047" s="21"/>
      <c r="AC1047" s="21">
        <v>10</v>
      </c>
      <c r="AD1047" s="21">
        <v>34</v>
      </c>
      <c r="AE1047" s="21"/>
      <c r="AF1047" s="21"/>
      <c r="AG1047" s="21"/>
      <c r="AH1047" s="21">
        <v>162</v>
      </c>
      <c r="AI1047" s="21"/>
      <c r="AJ1047" s="21"/>
      <c r="AK1047" s="21"/>
      <c r="AL1047" s="21">
        <v>4</v>
      </c>
      <c r="AM1047" s="21">
        <v>84</v>
      </c>
      <c r="AN1047" s="21">
        <v>118</v>
      </c>
      <c r="AO1047" s="21"/>
      <c r="AP1047" s="21"/>
      <c r="AQ1047" s="21"/>
      <c r="AR1047" s="21"/>
      <c r="AS1047" s="21"/>
      <c r="AT1047" s="12" t="str">
        <f>HYPERLINK("http://www.openstreetmap.org/?mlat=36.8678&amp;mlon=42.9898&amp;zoom=12#map=12/36.8678/42.9898","Maplink1")</f>
        <v>Maplink1</v>
      </c>
      <c r="AU1047" s="12" t="str">
        <f>HYPERLINK("https://www.google.iq/maps/search/+36.8678,42.9898/@36.8678,42.9898,14z?hl=en","Maplink2")</f>
        <v>Maplink2</v>
      </c>
      <c r="AV1047" s="12" t="str">
        <f>HYPERLINK("http://www.bing.com/maps/?lvl=14&amp;sty=h&amp;cp=36.8678~42.9898&amp;sp=point.36.8678_42.9898","Maplink3")</f>
        <v>Maplink3</v>
      </c>
    </row>
    <row r="1048" spans="1:48" ht="15" customHeight="1" x14ac:dyDescent="0.25">
      <c r="A1048" s="19">
        <v>7984</v>
      </c>
      <c r="B1048" s="20" t="s">
        <v>13</v>
      </c>
      <c r="C1048" s="20" t="s">
        <v>13</v>
      </c>
      <c r="D1048" s="20" t="s">
        <v>2024</v>
      </c>
      <c r="E1048" s="20" t="s">
        <v>2025</v>
      </c>
      <c r="F1048" s="20">
        <v>36.889758639999997</v>
      </c>
      <c r="G1048" s="20">
        <v>42.915075799999997</v>
      </c>
      <c r="H1048" s="22">
        <v>106</v>
      </c>
      <c r="I1048" s="22">
        <v>636</v>
      </c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>
        <v>106</v>
      </c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>
        <v>98</v>
      </c>
      <c r="AI1048" s="21"/>
      <c r="AJ1048" s="21">
        <v>8</v>
      </c>
      <c r="AK1048" s="21"/>
      <c r="AL1048" s="21"/>
      <c r="AM1048" s="21">
        <v>5</v>
      </c>
      <c r="AN1048" s="21">
        <v>101</v>
      </c>
      <c r="AO1048" s="21"/>
      <c r="AP1048" s="21"/>
      <c r="AQ1048" s="21"/>
      <c r="AR1048" s="21"/>
      <c r="AS1048" s="21"/>
      <c r="AT1048" s="12" t="str">
        <f>HYPERLINK("http://www.openstreetmap.org/?mlat=36.8898&amp;mlon=42.9151&amp;zoom=12#map=12/36.8898/42.9151","Maplink1")</f>
        <v>Maplink1</v>
      </c>
      <c r="AU1048" s="12" t="str">
        <f>HYPERLINK("https://www.google.iq/maps/search/+36.8898,42.9151/@36.8898,42.9151,14z?hl=en","Maplink2")</f>
        <v>Maplink2</v>
      </c>
      <c r="AV1048" s="12" t="str">
        <f>HYPERLINK("http://www.bing.com/maps/?lvl=14&amp;sty=h&amp;cp=36.8898~42.9151&amp;sp=point.36.8898_42.9151","Maplink3")</f>
        <v>Maplink3</v>
      </c>
    </row>
    <row r="1049" spans="1:48" ht="15" customHeight="1" x14ac:dyDescent="0.25">
      <c r="A1049" s="19">
        <v>24184</v>
      </c>
      <c r="B1049" s="20" t="s">
        <v>13</v>
      </c>
      <c r="C1049" s="20" t="s">
        <v>13</v>
      </c>
      <c r="D1049" s="20" t="s">
        <v>2026</v>
      </c>
      <c r="E1049" s="20" t="s">
        <v>2027</v>
      </c>
      <c r="F1049" s="20">
        <v>36.85654349</v>
      </c>
      <c r="G1049" s="20">
        <v>43.00157231</v>
      </c>
      <c r="H1049" s="22">
        <v>145</v>
      </c>
      <c r="I1049" s="22">
        <v>870</v>
      </c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>
        <v>145</v>
      </c>
      <c r="W1049" s="21"/>
      <c r="X1049" s="21"/>
      <c r="Y1049" s="21"/>
      <c r="Z1049" s="21"/>
      <c r="AA1049" s="21"/>
      <c r="AB1049" s="21"/>
      <c r="AC1049" s="21"/>
      <c r="AD1049" s="21">
        <v>9</v>
      </c>
      <c r="AE1049" s="21"/>
      <c r="AF1049" s="21"/>
      <c r="AG1049" s="21"/>
      <c r="AH1049" s="21">
        <v>136</v>
      </c>
      <c r="AI1049" s="21"/>
      <c r="AJ1049" s="21"/>
      <c r="AK1049" s="21"/>
      <c r="AL1049" s="21"/>
      <c r="AM1049" s="21">
        <v>67</v>
      </c>
      <c r="AN1049" s="21">
        <v>78</v>
      </c>
      <c r="AO1049" s="21"/>
      <c r="AP1049" s="21"/>
      <c r="AQ1049" s="21"/>
      <c r="AR1049" s="21"/>
      <c r="AS1049" s="21"/>
      <c r="AT1049" s="12" t="str">
        <f>HYPERLINK("http://www.openstreetmap.org/?mlat=36.8565&amp;mlon=43.0016&amp;zoom=12#map=12/36.8565/43.0016","Maplink1")</f>
        <v>Maplink1</v>
      </c>
      <c r="AU1049" s="12" t="str">
        <f>HYPERLINK("https://www.google.iq/maps/search/+36.8565,43.0016/@36.8565,43.0016,14z?hl=en","Maplink2")</f>
        <v>Maplink2</v>
      </c>
      <c r="AV1049" s="12" t="str">
        <f>HYPERLINK("http://www.bing.com/maps/?lvl=14&amp;sty=h&amp;cp=36.8565~43.0016&amp;sp=point.36.8565_43.0016","Maplink3")</f>
        <v>Maplink3</v>
      </c>
    </row>
    <row r="1050" spans="1:48" ht="15" customHeight="1" x14ac:dyDescent="0.25">
      <c r="A1050" s="19">
        <v>8871</v>
      </c>
      <c r="B1050" s="20" t="s">
        <v>13</v>
      </c>
      <c r="C1050" s="20" t="s">
        <v>13</v>
      </c>
      <c r="D1050" s="20" t="s">
        <v>2028</v>
      </c>
      <c r="E1050" s="20" t="s">
        <v>2029</v>
      </c>
      <c r="F1050" s="20">
        <v>36.933076130000003</v>
      </c>
      <c r="G1050" s="20">
        <v>43.144810300000003</v>
      </c>
      <c r="H1050" s="22">
        <v>67</v>
      </c>
      <c r="I1050" s="22">
        <v>402</v>
      </c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>
        <v>67</v>
      </c>
      <c r="W1050" s="21"/>
      <c r="X1050" s="21"/>
      <c r="Y1050" s="21"/>
      <c r="Z1050" s="21"/>
      <c r="AA1050" s="21"/>
      <c r="AB1050" s="21"/>
      <c r="AC1050" s="21">
        <v>31</v>
      </c>
      <c r="AD1050" s="21"/>
      <c r="AE1050" s="21">
        <v>2</v>
      </c>
      <c r="AF1050" s="21"/>
      <c r="AG1050" s="21"/>
      <c r="AH1050" s="21">
        <v>24</v>
      </c>
      <c r="AI1050" s="21"/>
      <c r="AJ1050" s="21">
        <v>10</v>
      </c>
      <c r="AK1050" s="21"/>
      <c r="AL1050" s="21"/>
      <c r="AM1050" s="21">
        <v>7</v>
      </c>
      <c r="AN1050" s="21">
        <v>60</v>
      </c>
      <c r="AO1050" s="21"/>
      <c r="AP1050" s="21"/>
      <c r="AQ1050" s="21"/>
      <c r="AR1050" s="21"/>
      <c r="AS1050" s="21"/>
      <c r="AT1050" s="12" t="str">
        <f>HYPERLINK("http://www.openstreetmap.org/?mlat=36.9331&amp;mlon=43.1448&amp;zoom=12#map=12/36.9331/43.1448","Maplink1")</f>
        <v>Maplink1</v>
      </c>
      <c r="AU1050" s="12" t="str">
        <f>HYPERLINK("https://www.google.iq/maps/search/+36.9331,43.1448/@36.9331,43.1448,14z?hl=en","Maplink2")</f>
        <v>Maplink2</v>
      </c>
      <c r="AV1050" s="12" t="str">
        <f>HYPERLINK("http://www.bing.com/maps/?lvl=14&amp;sty=h&amp;cp=36.9331~43.1448&amp;sp=point.36.9331_43.1448","Maplink3")</f>
        <v>Maplink3</v>
      </c>
    </row>
    <row r="1051" spans="1:48" ht="15" customHeight="1" x14ac:dyDescent="0.25">
      <c r="A1051" s="19">
        <v>8238</v>
      </c>
      <c r="B1051" s="20" t="s">
        <v>13</v>
      </c>
      <c r="C1051" s="20" t="s">
        <v>13</v>
      </c>
      <c r="D1051" s="20" t="s">
        <v>2030</v>
      </c>
      <c r="E1051" s="20" t="s">
        <v>2031</v>
      </c>
      <c r="F1051" s="20">
        <v>37.044347000000002</v>
      </c>
      <c r="G1051" s="20">
        <v>43.139994999999999</v>
      </c>
      <c r="H1051" s="22">
        <v>2</v>
      </c>
      <c r="I1051" s="22">
        <v>12</v>
      </c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>
        <v>2</v>
      </c>
      <c r="W1051" s="21"/>
      <c r="X1051" s="21"/>
      <c r="Y1051" s="21"/>
      <c r="Z1051" s="21"/>
      <c r="AA1051" s="21"/>
      <c r="AB1051" s="21"/>
      <c r="AC1051" s="21">
        <v>2</v>
      </c>
      <c r="AD1051" s="21"/>
      <c r="AE1051" s="21"/>
      <c r="AF1051" s="21"/>
      <c r="AG1051" s="21"/>
      <c r="AH1051" s="21"/>
      <c r="AI1051" s="21"/>
      <c r="AJ1051" s="21"/>
      <c r="AK1051" s="21"/>
      <c r="AL1051" s="21"/>
      <c r="AM1051" s="21"/>
      <c r="AN1051" s="21">
        <v>2</v>
      </c>
      <c r="AO1051" s="21"/>
      <c r="AP1051" s="21"/>
      <c r="AQ1051" s="21"/>
      <c r="AR1051" s="21"/>
      <c r="AS1051" s="21"/>
      <c r="AT1051" s="12" t="str">
        <f>HYPERLINK("http://www.openstreetmap.org/?mlat=37.0443&amp;mlon=43.14&amp;zoom=12#map=12/37.0443/43.14","Maplink1")</f>
        <v>Maplink1</v>
      </c>
      <c r="AU1051" s="12" t="str">
        <f>HYPERLINK("https://www.google.iq/maps/search/+37.0443,43.14/@37.0443,43.14,14z?hl=en","Maplink2")</f>
        <v>Maplink2</v>
      </c>
      <c r="AV1051" s="12" t="str">
        <f>HYPERLINK("http://www.bing.com/maps/?lvl=14&amp;sty=h&amp;cp=37.0443~43.14&amp;sp=point.37.0443_43.14","Maplink3")</f>
        <v>Maplink3</v>
      </c>
    </row>
    <row r="1052" spans="1:48" ht="15" customHeight="1" x14ac:dyDescent="0.25">
      <c r="A1052" s="19">
        <v>26045</v>
      </c>
      <c r="B1052" s="20" t="s">
        <v>13</v>
      </c>
      <c r="C1052" s="20" t="s">
        <v>13</v>
      </c>
      <c r="D1052" s="20" t="s">
        <v>2032</v>
      </c>
      <c r="E1052" s="20" t="s">
        <v>2033</v>
      </c>
      <c r="F1052" s="20">
        <v>36.85374496</v>
      </c>
      <c r="G1052" s="20">
        <v>42.933150900000001</v>
      </c>
      <c r="H1052" s="22">
        <v>110</v>
      </c>
      <c r="I1052" s="22">
        <v>660</v>
      </c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>
        <v>110</v>
      </c>
      <c r="W1052" s="21"/>
      <c r="X1052" s="21"/>
      <c r="Y1052" s="21"/>
      <c r="Z1052" s="21"/>
      <c r="AA1052" s="21"/>
      <c r="AB1052" s="21"/>
      <c r="AC1052" s="21">
        <v>10</v>
      </c>
      <c r="AD1052" s="21"/>
      <c r="AE1052" s="21"/>
      <c r="AF1052" s="21"/>
      <c r="AG1052" s="21"/>
      <c r="AH1052" s="21">
        <v>100</v>
      </c>
      <c r="AI1052" s="21"/>
      <c r="AJ1052" s="21"/>
      <c r="AK1052" s="21"/>
      <c r="AL1052" s="21"/>
      <c r="AM1052" s="21">
        <v>40</v>
      </c>
      <c r="AN1052" s="21">
        <v>70</v>
      </c>
      <c r="AO1052" s="21"/>
      <c r="AP1052" s="21"/>
      <c r="AQ1052" s="21"/>
      <c r="AR1052" s="21"/>
      <c r="AS1052" s="21"/>
      <c r="AT1052" s="12" t="str">
        <f>HYPERLINK("http://www.openstreetmap.org/?mlat=36.8537&amp;mlon=42.9332&amp;zoom=12#map=12/36.8537/42.9332","Maplink1")</f>
        <v>Maplink1</v>
      </c>
      <c r="AU1052" s="12" t="str">
        <f>HYPERLINK("https://www.google.iq/maps/search/+36.8537,42.9332/@36.8537,42.9332,14z?hl=en","Maplink2")</f>
        <v>Maplink2</v>
      </c>
      <c r="AV1052" s="12" t="str">
        <f>HYPERLINK("http://www.bing.com/maps/?lvl=14&amp;sty=h&amp;cp=36.8537~42.9332&amp;sp=point.36.8537_42.9332","Maplink3")</f>
        <v>Maplink3</v>
      </c>
    </row>
    <row r="1053" spans="1:48" ht="15" customHeight="1" x14ac:dyDescent="0.25">
      <c r="A1053" s="19">
        <v>7964</v>
      </c>
      <c r="B1053" s="20" t="s">
        <v>13</v>
      </c>
      <c r="C1053" s="20" t="s">
        <v>13</v>
      </c>
      <c r="D1053" s="20" t="s">
        <v>2034</v>
      </c>
      <c r="E1053" s="20" t="s">
        <v>2035</v>
      </c>
      <c r="F1053" s="20">
        <v>37.035797029999998</v>
      </c>
      <c r="G1053" s="20">
        <v>43.096552440000004</v>
      </c>
      <c r="H1053" s="22">
        <v>25</v>
      </c>
      <c r="I1053" s="22">
        <v>150</v>
      </c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>
        <v>25</v>
      </c>
      <c r="W1053" s="21"/>
      <c r="X1053" s="21"/>
      <c r="Y1053" s="21"/>
      <c r="Z1053" s="21"/>
      <c r="AA1053" s="21"/>
      <c r="AB1053" s="21"/>
      <c r="AC1053" s="21">
        <v>22</v>
      </c>
      <c r="AD1053" s="21"/>
      <c r="AE1053" s="21"/>
      <c r="AF1053" s="21"/>
      <c r="AG1053" s="21"/>
      <c r="AH1053" s="21">
        <v>3</v>
      </c>
      <c r="AI1053" s="21"/>
      <c r="AJ1053" s="21"/>
      <c r="AK1053" s="21"/>
      <c r="AL1053" s="21"/>
      <c r="AM1053" s="21"/>
      <c r="AN1053" s="21">
        <v>25</v>
      </c>
      <c r="AO1053" s="21"/>
      <c r="AP1053" s="21"/>
      <c r="AQ1053" s="21"/>
      <c r="AR1053" s="21"/>
      <c r="AS1053" s="21"/>
      <c r="AT1053" s="12" t="str">
        <f>HYPERLINK("http://www.openstreetmap.org/?mlat=37.0358&amp;mlon=43.0966&amp;zoom=12#map=12/37.0358/43.0966","Maplink1")</f>
        <v>Maplink1</v>
      </c>
      <c r="AU1053" s="12" t="str">
        <f>HYPERLINK("https://www.google.iq/maps/search/+37.0358,43.0966/@37.0358,43.0966,14z?hl=en","Maplink2")</f>
        <v>Maplink2</v>
      </c>
      <c r="AV1053" s="12" t="str">
        <f>HYPERLINK("http://www.bing.com/maps/?lvl=14&amp;sty=h&amp;cp=37.0358~43.0966&amp;sp=point.37.0358_43.0966","Maplink3")</f>
        <v>Maplink3</v>
      </c>
    </row>
    <row r="1054" spans="1:48" ht="15" customHeight="1" x14ac:dyDescent="0.25">
      <c r="A1054" s="19">
        <v>24092</v>
      </c>
      <c r="B1054" s="20" t="s">
        <v>13</v>
      </c>
      <c r="C1054" s="20" t="s">
        <v>13</v>
      </c>
      <c r="D1054" s="20" t="s">
        <v>2036</v>
      </c>
      <c r="E1054" s="20" t="s">
        <v>2037</v>
      </c>
      <c r="F1054" s="20">
        <v>36.881061090000003</v>
      </c>
      <c r="G1054" s="20">
        <v>42.949019010000001</v>
      </c>
      <c r="H1054" s="22">
        <v>170</v>
      </c>
      <c r="I1054" s="22">
        <v>1020</v>
      </c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>
        <v>170</v>
      </c>
      <c r="W1054" s="21"/>
      <c r="X1054" s="21"/>
      <c r="Y1054" s="21"/>
      <c r="Z1054" s="21"/>
      <c r="AA1054" s="21"/>
      <c r="AB1054" s="21"/>
      <c r="AC1054" s="21">
        <v>12</v>
      </c>
      <c r="AD1054" s="21">
        <v>18</v>
      </c>
      <c r="AE1054" s="21"/>
      <c r="AF1054" s="21"/>
      <c r="AG1054" s="21"/>
      <c r="AH1054" s="21">
        <v>133</v>
      </c>
      <c r="AI1054" s="21"/>
      <c r="AJ1054" s="21">
        <v>7</v>
      </c>
      <c r="AK1054" s="21"/>
      <c r="AL1054" s="21"/>
      <c r="AM1054" s="21">
        <v>57</v>
      </c>
      <c r="AN1054" s="21">
        <v>77</v>
      </c>
      <c r="AO1054" s="21"/>
      <c r="AP1054" s="21"/>
      <c r="AQ1054" s="21"/>
      <c r="AR1054" s="21"/>
      <c r="AS1054" s="21">
        <v>36</v>
      </c>
      <c r="AT1054" s="12" t="str">
        <f>HYPERLINK("http://www.openstreetmap.org/?mlat=36.8811&amp;mlon=42.949&amp;zoom=12#map=12/36.8811/42.949","Maplink1")</f>
        <v>Maplink1</v>
      </c>
      <c r="AU1054" s="12" t="str">
        <f>HYPERLINK("https://www.google.iq/maps/search/+36.8811,42.949/@36.8811,42.949,14z?hl=en","Maplink2")</f>
        <v>Maplink2</v>
      </c>
      <c r="AV1054" s="12" t="str">
        <f>HYPERLINK("http://www.bing.com/maps/?lvl=14&amp;sty=h&amp;cp=36.8811~42.949&amp;sp=point.36.8811_42.949","Maplink3")</f>
        <v>Maplink3</v>
      </c>
    </row>
    <row r="1055" spans="1:48" ht="15" customHeight="1" x14ac:dyDescent="0.25">
      <c r="A1055" s="19">
        <v>24093</v>
      </c>
      <c r="B1055" s="20" t="s">
        <v>13</v>
      </c>
      <c r="C1055" s="20" t="s">
        <v>13</v>
      </c>
      <c r="D1055" s="20" t="s">
        <v>2038</v>
      </c>
      <c r="E1055" s="20" t="s">
        <v>2039</v>
      </c>
      <c r="F1055" s="20">
        <v>36.876028089999998</v>
      </c>
      <c r="G1055" s="20">
        <v>42.940984520000001</v>
      </c>
      <c r="H1055" s="22">
        <v>194</v>
      </c>
      <c r="I1055" s="22">
        <v>1164</v>
      </c>
      <c r="J1055" s="21">
        <v>2</v>
      </c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>
        <v>192</v>
      </c>
      <c r="W1055" s="21"/>
      <c r="X1055" s="21"/>
      <c r="Y1055" s="21"/>
      <c r="Z1055" s="21"/>
      <c r="AA1055" s="21"/>
      <c r="AB1055" s="21"/>
      <c r="AC1055" s="21">
        <v>23</v>
      </c>
      <c r="AD1055" s="21"/>
      <c r="AE1055" s="21"/>
      <c r="AF1055" s="21"/>
      <c r="AG1055" s="21"/>
      <c r="AH1055" s="21">
        <v>164</v>
      </c>
      <c r="AI1055" s="21"/>
      <c r="AJ1055" s="21">
        <v>7</v>
      </c>
      <c r="AK1055" s="21"/>
      <c r="AL1055" s="21">
        <v>2</v>
      </c>
      <c r="AM1055" s="21">
        <v>45</v>
      </c>
      <c r="AN1055" s="21">
        <v>145</v>
      </c>
      <c r="AO1055" s="21"/>
      <c r="AP1055" s="21"/>
      <c r="AQ1055" s="21"/>
      <c r="AR1055" s="21"/>
      <c r="AS1055" s="21">
        <v>2</v>
      </c>
      <c r="AT1055" s="12" t="str">
        <f>HYPERLINK("http://www.openstreetmap.org/?mlat=36.876&amp;mlon=42.941&amp;zoom=12#map=12/36.876/42.941","Maplink1")</f>
        <v>Maplink1</v>
      </c>
      <c r="AU1055" s="12" t="str">
        <f>HYPERLINK("https://www.google.iq/maps/search/+36.876,42.941/@36.876,42.941,14z?hl=en","Maplink2")</f>
        <v>Maplink2</v>
      </c>
      <c r="AV1055" s="12" t="str">
        <f>HYPERLINK("http://www.bing.com/maps/?lvl=14&amp;sty=h&amp;cp=36.876~42.941&amp;sp=point.36.876_42.941","Maplink3")</f>
        <v>Maplink3</v>
      </c>
    </row>
    <row r="1056" spans="1:48" ht="15" customHeight="1" x14ac:dyDescent="0.25">
      <c r="A1056" s="19">
        <v>24802</v>
      </c>
      <c r="B1056" s="20" t="s">
        <v>13</v>
      </c>
      <c r="C1056" s="20" t="s">
        <v>13</v>
      </c>
      <c r="D1056" s="20" t="s">
        <v>2040</v>
      </c>
      <c r="E1056" s="20" t="s">
        <v>2041</v>
      </c>
      <c r="F1056" s="20">
        <v>36.855475220000002</v>
      </c>
      <c r="G1056" s="20">
        <v>42.97992429</v>
      </c>
      <c r="H1056" s="22">
        <v>140</v>
      </c>
      <c r="I1056" s="22">
        <v>840</v>
      </c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>
        <v>140</v>
      </c>
      <c r="W1056" s="21"/>
      <c r="X1056" s="21"/>
      <c r="Y1056" s="21"/>
      <c r="Z1056" s="21"/>
      <c r="AA1056" s="21"/>
      <c r="AB1056" s="21"/>
      <c r="AC1056" s="21"/>
      <c r="AD1056" s="21">
        <v>12</v>
      </c>
      <c r="AE1056" s="21"/>
      <c r="AF1056" s="21"/>
      <c r="AG1056" s="21"/>
      <c r="AH1056" s="21">
        <v>128</v>
      </c>
      <c r="AI1056" s="21"/>
      <c r="AJ1056" s="21"/>
      <c r="AK1056" s="21"/>
      <c r="AL1056" s="21"/>
      <c r="AM1056" s="21">
        <v>88</v>
      </c>
      <c r="AN1056" s="21">
        <v>52</v>
      </c>
      <c r="AO1056" s="21"/>
      <c r="AP1056" s="21"/>
      <c r="AQ1056" s="21"/>
      <c r="AR1056" s="21"/>
      <c r="AS1056" s="21"/>
      <c r="AT1056" s="12" t="str">
        <f>HYPERLINK("http://www.openstreetmap.org/?mlat=36.8555&amp;mlon=42.9799&amp;zoom=12#map=12/36.8555/42.9799","Maplink1")</f>
        <v>Maplink1</v>
      </c>
      <c r="AU1056" s="12" t="str">
        <f>HYPERLINK("https://www.google.iq/maps/search/+36.8555,42.9799/@36.8555,42.9799,14z?hl=en","Maplink2")</f>
        <v>Maplink2</v>
      </c>
      <c r="AV1056" s="12" t="str">
        <f>HYPERLINK("http://www.bing.com/maps/?lvl=14&amp;sty=h&amp;cp=36.8555~42.9799&amp;sp=point.36.8555_42.9799","Maplink3")</f>
        <v>Maplink3</v>
      </c>
    </row>
    <row r="1057" spans="1:48" ht="15" customHeight="1" x14ac:dyDescent="0.25">
      <c r="A1057" s="19">
        <v>24803</v>
      </c>
      <c r="B1057" s="20" t="s">
        <v>13</v>
      </c>
      <c r="C1057" s="20" t="s">
        <v>13</v>
      </c>
      <c r="D1057" s="20" t="s">
        <v>2042</v>
      </c>
      <c r="E1057" s="20" t="s">
        <v>2043</v>
      </c>
      <c r="F1057" s="20">
        <v>36.854296848200001</v>
      </c>
      <c r="G1057" s="20">
        <v>42.9611717071</v>
      </c>
      <c r="H1057" s="22">
        <v>35</v>
      </c>
      <c r="I1057" s="22">
        <v>210</v>
      </c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>
        <v>35</v>
      </c>
      <c r="W1057" s="21"/>
      <c r="X1057" s="21"/>
      <c r="Y1057" s="21"/>
      <c r="Z1057" s="21"/>
      <c r="AA1057" s="21"/>
      <c r="AB1057" s="21"/>
      <c r="AC1057" s="21">
        <v>5</v>
      </c>
      <c r="AD1057" s="21"/>
      <c r="AE1057" s="21"/>
      <c r="AF1057" s="21"/>
      <c r="AG1057" s="21"/>
      <c r="AH1057" s="21">
        <v>30</v>
      </c>
      <c r="AI1057" s="21"/>
      <c r="AJ1057" s="21"/>
      <c r="AK1057" s="21"/>
      <c r="AL1057" s="21"/>
      <c r="AM1057" s="21">
        <v>7</v>
      </c>
      <c r="AN1057" s="21">
        <v>28</v>
      </c>
      <c r="AO1057" s="21"/>
      <c r="AP1057" s="21"/>
      <c r="AQ1057" s="21"/>
      <c r="AR1057" s="21"/>
      <c r="AS1057" s="21"/>
      <c r="AT1057" s="12" t="str">
        <f>HYPERLINK("http://www.openstreetmap.org/?mlat=36.8543&amp;mlon=42.9612&amp;zoom=12#map=12/36.8543/42.9612","Maplink1")</f>
        <v>Maplink1</v>
      </c>
      <c r="AU1057" s="12" t="str">
        <f>HYPERLINK("https://www.google.iq/maps/search/+36.8543,42.9612/@36.8543,42.9612,14z?hl=en","Maplink2")</f>
        <v>Maplink2</v>
      </c>
      <c r="AV1057" s="12" t="str">
        <f>HYPERLINK("http://www.bing.com/maps/?lvl=14&amp;sty=h&amp;cp=36.8543~42.9612&amp;sp=point.36.8543_42.9612","Maplink3")</f>
        <v>Maplink3</v>
      </c>
    </row>
    <row r="1058" spans="1:48" ht="15" customHeight="1" x14ac:dyDescent="0.25">
      <c r="A1058" s="19">
        <v>8460</v>
      </c>
      <c r="B1058" s="20" t="s">
        <v>13</v>
      </c>
      <c r="C1058" s="20" t="s">
        <v>13</v>
      </c>
      <c r="D1058" s="20" t="s">
        <v>2044</v>
      </c>
      <c r="E1058" s="20" t="s">
        <v>2045</v>
      </c>
      <c r="F1058" s="20">
        <v>37.018883000000002</v>
      </c>
      <c r="G1058" s="20">
        <v>43.164561999999997</v>
      </c>
      <c r="H1058" s="22">
        <v>9</v>
      </c>
      <c r="I1058" s="22">
        <v>54</v>
      </c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>
        <v>9</v>
      </c>
      <c r="W1058" s="21"/>
      <c r="X1058" s="21"/>
      <c r="Y1058" s="21"/>
      <c r="Z1058" s="21"/>
      <c r="AA1058" s="21"/>
      <c r="AB1058" s="21"/>
      <c r="AC1058" s="21">
        <v>9</v>
      </c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  <c r="AN1058" s="21">
        <v>9</v>
      </c>
      <c r="AO1058" s="21"/>
      <c r="AP1058" s="21"/>
      <c r="AQ1058" s="21"/>
      <c r="AR1058" s="21"/>
      <c r="AS1058" s="21"/>
      <c r="AT1058" s="12" t="str">
        <f>HYPERLINK("http://www.openstreetmap.org/?mlat=37.0189&amp;mlon=43.1646&amp;zoom=12#map=12/37.0189/43.1646","Maplink1")</f>
        <v>Maplink1</v>
      </c>
      <c r="AU1058" s="12" t="str">
        <f>HYPERLINK("https://www.google.iq/maps/search/+37.0189,43.1646/@37.0189,43.1646,14z?hl=en","Maplink2")</f>
        <v>Maplink2</v>
      </c>
      <c r="AV1058" s="12" t="str">
        <f>HYPERLINK("http://www.bing.com/maps/?lvl=14&amp;sty=h&amp;cp=37.0189~43.1646&amp;sp=point.37.0189_43.1646","Maplink3")</f>
        <v>Maplink3</v>
      </c>
    </row>
    <row r="1059" spans="1:48" ht="15" customHeight="1" x14ac:dyDescent="0.25">
      <c r="A1059" s="19">
        <v>24644</v>
      </c>
      <c r="B1059" s="20" t="s">
        <v>13</v>
      </c>
      <c r="C1059" s="20" t="s">
        <v>13</v>
      </c>
      <c r="D1059" s="20" t="s">
        <v>2046</v>
      </c>
      <c r="E1059" s="20" t="s">
        <v>2047</v>
      </c>
      <c r="F1059" s="20">
        <v>36.850371099999997</v>
      </c>
      <c r="G1059" s="20">
        <v>43.030392730000003</v>
      </c>
      <c r="H1059" s="22">
        <v>30</v>
      </c>
      <c r="I1059" s="22">
        <v>180</v>
      </c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>
        <v>30</v>
      </c>
      <c r="W1059" s="21"/>
      <c r="X1059" s="21"/>
      <c r="Y1059" s="21"/>
      <c r="Z1059" s="21"/>
      <c r="AA1059" s="21"/>
      <c r="AB1059" s="21"/>
      <c r="AC1059" s="21">
        <v>1</v>
      </c>
      <c r="AD1059" s="21"/>
      <c r="AE1059" s="21"/>
      <c r="AF1059" s="21"/>
      <c r="AG1059" s="21"/>
      <c r="AH1059" s="21">
        <v>29</v>
      </c>
      <c r="AI1059" s="21"/>
      <c r="AJ1059" s="21"/>
      <c r="AK1059" s="21"/>
      <c r="AL1059" s="21"/>
      <c r="AM1059" s="21">
        <v>7</v>
      </c>
      <c r="AN1059" s="21">
        <v>23</v>
      </c>
      <c r="AO1059" s="21"/>
      <c r="AP1059" s="21"/>
      <c r="AQ1059" s="21"/>
      <c r="AR1059" s="21"/>
      <c r="AS1059" s="21"/>
      <c r="AT1059" s="12" t="str">
        <f>HYPERLINK("http://www.openstreetmap.org/?mlat=36.8504&amp;mlon=43.0304&amp;zoom=12#map=12/36.8504/43.0304","Maplink1")</f>
        <v>Maplink1</v>
      </c>
      <c r="AU1059" s="12" t="str">
        <f>HYPERLINK("https://www.google.iq/maps/search/+36.8504,43.0304/@36.8504,43.0304,14z?hl=en","Maplink2")</f>
        <v>Maplink2</v>
      </c>
      <c r="AV1059" s="12" t="str">
        <f>HYPERLINK("http://www.bing.com/maps/?lvl=14&amp;sty=h&amp;cp=36.8504~43.0304&amp;sp=point.36.8504_43.0304","Maplink3")</f>
        <v>Maplink3</v>
      </c>
    </row>
    <row r="1060" spans="1:48" ht="15" customHeight="1" x14ac:dyDescent="0.25">
      <c r="A1060" s="19">
        <v>23905</v>
      </c>
      <c r="B1060" s="20" t="s">
        <v>13</v>
      </c>
      <c r="C1060" s="20" t="s">
        <v>13</v>
      </c>
      <c r="D1060" s="20" t="s">
        <v>2048</v>
      </c>
      <c r="E1060" s="20" t="s">
        <v>2049</v>
      </c>
      <c r="F1060" s="20">
        <v>36.854886639999997</v>
      </c>
      <c r="G1060" s="20">
        <v>43.01236385</v>
      </c>
      <c r="H1060" s="22">
        <v>142</v>
      </c>
      <c r="I1060" s="22">
        <v>852</v>
      </c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>
        <v>142</v>
      </c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>
        <v>142</v>
      </c>
      <c r="AI1060" s="21"/>
      <c r="AJ1060" s="21"/>
      <c r="AK1060" s="21"/>
      <c r="AL1060" s="21"/>
      <c r="AM1060" s="21">
        <v>87</v>
      </c>
      <c r="AN1060" s="21">
        <v>55</v>
      </c>
      <c r="AO1060" s="21"/>
      <c r="AP1060" s="21"/>
      <c r="AQ1060" s="21"/>
      <c r="AR1060" s="21"/>
      <c r="AS1060" s="21"/>
      <c r="AT1060" s="12" t="str">
        <f>HYPERLINK("http://www.openstreetmap.org/?mlat=36.8549&amp;mlon=43.0124&amp;zoom=12#map=12/36.8549/43.0124","Maplink1")</f>
        <v>Maplink1</v>
      </c>
      <c r="AU1060" s="12" t="str">
        <f>HYPERLINK("https://www.google.iq/maps/search/+36.8549,43.0124/@36.8549,43.0124,14z?hl=en","Maplink2")</f>
        <v>Maplink2</v>
      </c>
      <c r="AV1060" s="12" t="str">
        <f>HYPERLINK("http://www.bing.com/maps/?lvl=14&amp;sty=h&amp;cp=36.8549~43.0124&amp;sp=point.36.8549_43.0124","Maplink3")</f>
        <v>Maplink3</v>
      </c>
    </row>
    <row r="1061" spans="1:48" ht="15" customHeight="1" x14ac:dyDescent="0.25">
      <c r="A1061" s="19">
        <v>29698</v>
      </c>
      <c r="B1061" s="20" t="s">
        <v>13</v>
      </c>
      <c r="C1061" s="20" t="s">
        <v>13</v>
      </c>
      <c r="D1061" s="20" t="s">
        <v>2050</v>
      </c>
      <c r="E1061" s="20" t="s">
        <v>2051</v>
      </c>
      <c r="F1061" s="20">
        <v>36.865831999999997</v>
      </c>
      <c r="G1061" s="20">
        <v>42.990118000000002</v>
      </c>
      <c r="H1061" s="22">
        <v>47</v>
      </c>
      <c r="I1061" s="22">
        <v>282</v>
      </c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>
        <v>47</v>
      </c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21">
        <v>47</v>
      </c>
      <c r="AI1061" s="21"/>
      <c r="AJ1061" s="21"/>
      <c r="AK1061" s="21"/>
      <c r="AL1061" s="21"/>
      <c r="AM1061" s="21"/>
      <c r="AN1061" s="21">
        <v>47</v>
      </c>
      <c r="AO1061" s="21"/>
      <c r="AP1061" s="21"/>
      <c r="AQ1061" s="21"/>
      <c r="AR1061" s="21"/>
      <c r="AS1061" s="21"/>
      <c r="AT1061" s="12" t="str">
        <f>HYPERLINK("http://www.openstreetmap.org/?mlat=36.8658&amp;mlon=42.9901&amp;zoom=12#map=12/36.8658/42.9901","Maplink1")</f>
        <v>Maplink1</v>
      </c>
      <c r="AU1061" s="12" t="str">
        <f>HYPERLINK("https://www.google.iq/maps/search/+36.8658,42.9901/@36.8658,42.9901,14z?hl=en","Maplink2")</f>
        <v>Maplink2</v>
      </c>
      <c r="AV1061" s="12" t="str">
        <f>HYPERLINK("http://www.bing.com/maps/?lvl=14&amp;sty=h&amp;cp=36.8658~42.9901&amp;sp=point.36.8658_42.9901","Maplink3")</f>
        <v>Maplink3</v>
      </c>
    </row>
    <row r="1062" spans="1:48" ht="15" customHeight="1" x14ac:dyDescent="0.25">
      <c r="A1062" s="19">
        <v>7946</v>
      </c>
      <c r="B1062" s="20" t="s">
        <v>13</v>
      </c>
      <c r="C1062" s="20" t="s">
        <v>13</v>
      </c>
      <c r="D1062" s="20" t="s">
        <v>2052</v>
      </c>
      <c r="E1062" s="20" t="s">
        <v>2053</v>
      </c>
      <c r="F1062" s="20">
        <v>36.846010423700001</v>
      </c>
      <c r="G1062" s="20">
        <v>43.046882733499999</v>
      </c>
      <c r="H1062" s="22">
        <v>320</v>
      </c>
      <c r="I1062" s="22">
        <v>1920</v>
      </c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>
        <v>303</v>
      </c>
      <c r="W1062" s="21"/>
      <c r="X1062" s="21">
        <v>17</v>
      </c>
      <c r="Y1062" s="21"/>
      <c r="Z1062" s="21"/>
      <c r="AA1062" s="21"/>
      <c r="AB1062" s="21"/>
      <c r="AC1062" s="21">
        <v>30</v>
      </c>
      <c r="AD1062" s="21"/>
      <c r="AE1062" s="21"/>
      <c r="AF1062" s="21"/>
      <c r="AG1062" s="21"/>
      <c r="AH1062" s="21">
        <v>255</v>
      </c>
      <c r="AI1062" s="21"/>
      <c r="AJ1062" s="21">
        <v>35</v>
      </c>
      <c r="AK1062" s="21"/>
      <c r="AL1062" s="21"/>
      <c r="AM1062" s="21">
        <v>143</v>
      </c>
      <c r="AN1062" s="21">
        <v>177</v>
      </c>
      <c r="AO1062" s="21"/>
      <c r="AP1062" s="21"/>
      <c r="AQ1062" s="21"/>
      <c r="AR1062" s="21"/>
      <c r="AS1062" s="21"/>
      <c r="AT1062" s="12" t="str">
        <f>HYPERLINK("http://www.openstreetmap.org/?mlat=36.846&amp;mlon=43.0469&amp;zoom=12#map=12/36.846/43.0469","Maplink1")</f>
        <v>Maplink1</v>
      </c>
      <c r="AU1062" s="12" t="str">
        <f>HYPERLINK("https://www.google.iq/maps/search/+36.846,43.0469/@36.846,43.0469,14z?hl=en","Maplink2")</f>
        <v>Maplink2</v>
      </c>
      <c r="AV1062" s="12" t="str">
        <f>HYPERLINK("http://www.bing.com/maps/?lvl=14&amp;sty=h&amp;cp=36.846~43.0469&amp;sp=point.36.846_43.0469","Maplink3")</f>
        <v>Maplink3</v>
      </c>
    </row>
    <row r="1063" spans="1:48" ht="15" customHeight="1" x14ac:dyDescent="0.25">
      <c r="A1063" s="19">
        <v>24188</v>
      </c>
      <c r="B1063" s="20" t="s">
        <v>13</v>
      </c>
      <c r="C1063" s="20" t="s">
        <v>13</v>
      </c>
      <c r="D1063" s="20" t="s">
        <v>2054</v>
      </c>
      <c r="E1063" s="20" t="s">
        <v>2055</v>
      </c>
      <c r="F1063" s="20">
        <v>36.84096246</v>
      </c>
      <c r="G1063" s="20">
        <v>42.934303180000001</v>
      </c>
      <c r="H1063" s="22">
        <v>35</v>
      </c>
      <c r="I1063" s="22">
        <v>210</v>
      </c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>
        <v>35</v>
      </c>
      <c r="W1063" s="21"/>
      <c r="X1063" s="21"/>
      <c r="Y1063" s="21"/>
      <c r="Z1063" s="21"/>
      <c r="AA1063" s="21"/>
      <c r="AB1063" s="21"/>
      <c r="AC1063" s="21">
        <v>7</v>
      </c>
      <c r="AD1063" s="21"/>
      <c r="AE1063" s="21"/>
      <c r="AF1063" s="21"/>
      <c r="AG1063" s="21"/>
      <c r="AH1063" s="21">
        <v>13</v>
      </c>
      <c r="AI1063" s="21"/>
      <c r="AJ1063" s="21">
        <v>15</v>
      </c>
      <c r="AK1063" s="21"/>
      <c r="AL1063" s="21"/>
      <c r="AM1063" s="21"/>
      <c r="AN1063" s="21">
        <v>34</v>
      </c>
      <c r="AO1063" s="21"/>
      <c r="AP1063" s="21"/>
      <c r="AQ1063" s="21"/>
      <c r="AR1063" s="21"/>
      <c r="AS1063" s="21">
        <v>1</v>
      </c>
      <c r="AT1063" s="12" t="str">
        <f>HYPERLINK("http://www.openstreetmap.org/?mlat=36.841&amp;mlon=42.9343&amp;zoom=12#map=12/36.841/42.9343","Maplink1")</f>
        <v>Maplink1</v>
      </c>
      <c r="AU1063" s="12" t="str">
        <f>HYPERLINK("https://www.google.iq/maps/search/+36.841,42.9343/@36.841,42.9343,14z?hl=en","Maplink2")</f>
        <v>Maplink2</v>
      </c>
      <c r="AV1063" s="12" t="str">
        <f>HYPERLINK("http://www.bing.com/maps/?lvl=14&amp;sty=h&amp;cp=36.841~42.9343&amp;sp=point.36.841_42.9343","Maplink3")</f>
        <v>Maplink3</v>
      </c>
    </row>
    <row r="1064" spans="1:48" ht="15" customHeight="1" x14ac:dyDescent="0.25">
      <c r="A1064" s="19">
        <v>8468</v>
      </c>
      <c r="B1064" s="20" t="s">
        <v>13</v>
      </c>
      <c r="C1064" s="20" t="s">
        <v>13</v>
      </c>
      <c r="D1064" s="20" t="s">
        <v>2056</v>
      </c>
      <c r="E1064" s="20" t="s">
        <v>2057</v>
      </c>
      <c r="F1064" s="20">
        <v>36.92889358</v>
      </c>
      <c r="G1064" s="20">
        <v>43.196251119999999</v>
      </c>
      <c r="H1064" s="22">
        <v>56</v>
      </c>
      <c r="I1064" s="22">
        <v>336</v>
      </c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>
        <v>56</v>
      </c>
      <c r="W1064" s="21"/>
      <c r="X1064" s="21"/>
      <c r="Y1064" s="21"/>
      <c r="Z1064" s="21"/>
      <c r="AA1064" s="21"/>
      <c r="AB1064" s="21"/>
      <c r="AC1064" s="21">
        <v>19</v>
      </c>
      <c r="AD1064" s="21"/>
      <c r="AE1064" s="21">
        <v>9</v>
      </c>
      <c r="AF1064" s="21"/>
      <c r="AG1064" s="21"/>
      <c r="AH1064" s="21">
        <v>19</v>
      </c>
      <c r="AI1064" s="21"/>
      <c r="AJ1064" s="21">
        <v>9</v>
      </c>
      <c r="AK1064" s="21"/>
      <c r="AL1064" s="21"/>
      <c r="AM1064" s="21">
        <v>3</v>
      </c>
      <c r="AN1064" s="21">
        <v>53</v>
      </c>
      <c r="AO1064" s="21"/>
      <c r="AP1064" s="21"/>
      <c r="AQ1064" s="21"/>
      <c r="AR1064" s="21"/>
      <c r="AS1064" s="21"/>
      <c r="AT1064" s="12" t="str">
        <f>HYPERLINK("http://www.openstreetmap.org/?mlat=36.9289&amp;mlon=43.1963&amp;zoom=12#map=12/36.9289/43.1963","Maplink1")</f>
        <v>Maplink1</v>
      </c>
      <c r="AU1064" s="12" t="str">
        <f>HYPERLINK("https://www.google.iq/maps/search/+36.9289,43.1963/@36.9289,43.1963,14z?hl=en","Maplink2")</f>
        <v>Maplink2</v>
      </c>
      <c r="AV1064" s="12" t="str">
        <f>HYPERLINK("http://www.bing.com/maps/?lvl=14&amp;sty=h&amp;cp=36.9289~43.1963&amp;sp=point.36.9289_43.1963","Maplink3")</f>
        <v>Maplink3</v>
      </c>
    </row>
    <row r="1065" spans="1:48" ht="15" customHeight="1" x14ac:dyDescent="0.25">
      <c r="A1065" s="19">
        <v>23712</v>
      </c>
      <c r="B1065" s="20" t="s">
        <v>13</v>
      </c>
      <c r="C1065" s="20" t="s">
        <v>13</v>
      </c>
      <c r="D1065" s="20" t="s">
        <v>2058</v>
      </c>
      <c r="E1065" s="20" t="s">
        <v>2059</v>
      </c>
      <c r="F1065" s="20">
        <v>36.849859847799998</v>
      </c>
      <c r="G1065" s="20">
        <v>42.991463637700001</v>
      </c>
      <c r="H1065" s="22">
        <v>210</v>
      </c>
      <c r="I1065" s="22">
        <v>1260</v>
      </c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>
        <v>210</v>
      </c>
      <c r="W1065" s="21"/>
      <c r="X1065" s="21"/>
      <c r="Y1065" s="21"/>
      <c r="Z1065" s="21"/>
      <c r="AA1065" s="21"/>
      <c r="AB1065" s="21"/>
      <c r="AC1065" s="21">
        <v>7</v>
      </c>
      <c r="AD1065" s="21"/>
      <c r="AE1065" s="21"/>
      <c r="AF1065" s="21"/>
      <c r="AG1065" s="21"/>
      <c r="AH1065" s="21">
        <v>203</v>
      </c>
      <c r="AI1065" s="21"/>
      <c r="AJ1065" s="21"/>
      <c r="AK1065" s="21"/>
      <c r="AL1065" s="21"/>
      <c r="AM1065" s="21">
        <v>84</v>
      </c>
      <c r="AN1065" s="21">
        <v>126</v>
      </c>
      <c r="AO1065" s="21"/>
      <c r="AP1065" s="21"/>
      <c r="AQ1065" s="21"/>
      <c r="AR1065" s="21"/>
      <c r="AS1065" s="21"/>
      <c r="AT1065" s="12" t="str">
        <f>HYPERLINK("http://www.openstreetmap.org/?mlat=36.8499&amp;mlon=42.9915&amp;zoom=12#map=12/36.8499/42.9915","Maplink1")</f>
        <v>Maplink1</v>
      </c>
      <c r="AU1065" s="12" t="str">
        <f>HYPERLINK("https://www.google.iq/maps/search/+36.8499,42.9915/@36.8499,42.9915,14z?hl=en","Maplink2")</f>
        <v>Maplink2</v>
      </c>
      <c r="AV1065" s="12" t="str">
        <f>HYPERLINK("http://www.bing.com/maps/?lvl=14&amp;sty=h&amp;cp=36.8499~42.9915&amp;sp=point.36.8499_42.9915","Maplink3")</f>
        <v>Maplink3</v>
      </c>
    </row>
    <row r="1066" spans="1:48" ht="15" customHeight="1" x14ac:dyDescent="0.25">
      <c r="A1066" s="19">
        <v>33474</v>
      </c>
      <c r="B1066" s="20" t="s">
        <v>13</v>
      </c>
      <c r="C1066" s="20" t="s">
        <v>13</v>
      </c>
      <c r="D1066" s="20" t="s">
        <v>2214</v>
      </c>
      <c r="E1066" s="20" t="s">
        <v>2215</v>
      </c>
      <c r="F1066" s="20">
        <v>36.853150999999997</v>
      </c>
      <c r="G1066" s="20">
        <v>42.944642999999999</v>
      </c>
      <c r="H1066" s="22">
        <v>55</v>
      </c>
      <c r="I1066" s="22">
        <v>330</v>
      </c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>
        <v>55</v>
      </c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21">
        <v>55</v>
      </c>
      <c r="AI1066" s="21"/>
      <c r="AJ1066" s="21"/>
      <c r="AK1066" s="21"/>
      <c r="AL1066" s="21"/>
      <c r="AM1066" s="21">
        <v>5</v>
      </c>
      <c r="AN1066" s="21">
        <v>50</v>
      </c>
      <c r="AO1066" s="21"/>
      <c r="AP1066" s="21"/>
      <c r="AQ1066" s="21"/>
      <c r="AR1066" s="21"/>
      <c r="AS1066" s="21"/>
      <c r="AT1066" s="12" t="str">
        <f>HYPERLINK("http://www.openstreetmap.org/?mlat=36.8532&amp;mlon=42.9446&amp;zoom=12#map=12/36.8532/42.9446","Maplink1")</f>
        <v>Maplink1</v>
      </c>
      <c r="AU1066" s="12" t="str">
        <f>HYPERLINK("https://www.google.iq/maps/search/+36.8532,42.9446/@36.8532,42.9446,14z?hl=en","Maplink2")</f>
        <v>Maplink2</v>
      </c>
      <c r="AV1066" s="12" t="str">
        <f>HYPERLINK("http://www.bing.com/maps/?lvl=14&amp;sty=h&amp;cp=36.8532~42.9446&amp;sp=point.36.8532_42.9446","Maplink3")</f>
        <v>Maplink3</v>
      </c>
    </row>
    <row r="1067" spans="1:48" ht="15" customHeight="1" x14ac:dyDescent="0.25">
      <c r="A1067" s="19">
        <v>26049</v>
      </c>
      <c r="B1067" s="20" t="s">
        <v>13</v>
      </c>
      <c r="C1067" s="20" t="s">
        <v>13</v>
      </c>
      <c r="D1067" s="20" t="s">
        <v>2060</v>
      </c>
      <c r="E1067" s="20" t="s">
        <v>2061</v>
      </c>
      <c r="F1067" s="20">
        <v>36.849707840000001</v>
      </c>
      <c r="G1067" s="20">
        <v>43.008620739999998</v>
      </c>
      <c r="H1067" s="22">
        <v>28</v>
      </c>
      <c r="I1067" s="22">
        <v>168</v>
      </c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>
        <v>28</v>
      </c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>
        <v>26</v>
      </c>
      <c r="AI1067" s="21"/>
      <c r="AJ1067" s="21">
        <v>2</v>
      </c>
      <c r="AK1067" s="21"/>
      <c r="AL1067" s="21"/>
      <c r="AM1067" s="21">
        <v>2</v>
      </c>
      <c r="AN1067" s="21">
        <v>26</v>
      </c>
      <c r="AO1067" s="21"/>
      <c r="AP1067" s="21"/>
      <c r="AQ1067" s="21"/>
      <c r="AR1067" s="21"/>
      <c r="AS1067" s="21"/>
      <c r="AT1067" s="12" t="str">
        <f>HYPERLINK("http://www.openstreetmap.org/?mlat=36.8497&amp;mlon=43.0086&amp;zoom=12#map=12/36.8497/43.0086","Maplink1")</f>
        <v>Maplink1</v>
      </c>
      <c r="AU1067" s="12" t="str">
        <f>HYPERLINK("https://www.google.iq/maps/search/+36.8497,43.0086/@36.8497,43.0086,14z?hl=en","Maplink2")</f>
        <v>Maplink2</v>
      </c>
      <c r="AV1067" s="12" t="str">
        <f>HYPERLINK("http://www.bing.com/maps/?lvl=14&amp;sty=h&amp;cp=36.8497~43.0086&amp;sp=point.36.8497_43.0086","Maplink3")</f>
        <v>Maplink3</v>
      </c>
    </row>
    <row r="1068" spans="1:48" ht="15" customHeight="1" x14ac:dyDescent="0.25">
      <c r="A1068" s="19">
        <v>23902</v>
      </c>
      <c r="B1068" s="20" t="s">
        <v>13</v>
      </c>
      <c r="C1068" s="20" t="s">
        <v>13</v>
      </c>
      <c r="D1068" s="20" t="s">
        <v>2062</v>
      </c>
      <c r="E1068" s="20" t="s">
        <v>2063</v>
      </c>
      <c r="F1068" s="20">
        <v>36.855211439999998</v>
      </c>
      <c r="G1068" s="20">
        <v>43.033354809999999</v>
      </c>
      <c r="H1068" s="22">
        <v>227</v>
      </c>
      <c r="I1068" s="22">
        <v>1362</v>
      </c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>
        <v>227</v>
      </c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21">
        <v>227</v>
      </c>
      <c r="AI1068" s="21"/>
      <c r="AJ1068" s="21"/>
      <c r="AK1068" s="21"/>
      <c r="AL1068" s="21"/>
      <c r="AM1068" s="21">
        <v>117</v>
      </c>
      <c r="AN1068" s="21">
        <v>92</v>
      </c>
      <c r="AO1068" s="21"/>
      <c r="AP1068" s="21"/>
      <c r="AQ1068" s="21"/>
      <c r="AR1068" s="21"/>
      <c r="AS1068" s="21">
        <v>18</v>
      </c>
      <c r="AT1068" s="12" t="str">
        <f>HYPERLINK("http://www.openstreetmap.org/?mlat=36.8552&amp;mlon=43.0334&amp;zoom=12#map=12/36.8552/43.0334","Maplink1")</f>
        <v>Maplink1</v>
      </c>
      <c r="AU1068" s="12" t="str">
        <f>HYPERLINK("https://www.google.iq/maps/search/+36.8552,43.0334/@36.8552,43.0334,14z?hl=en","Maplink2")</f>
        <v>Maplink2</v>
      </c>
      <c r="AV1068" s="12" t="str">
        <f>HYPERLINK("http://www.bing.com/maps/?lvl=14&amp;sty=h&amp;cp=36.8552~43.0334&amp;sp=point.36.8552_43.0334","Maplink3")</f>
        <v>Maplink3</v>
      </c>
    </row>
    <row r="1069" spans="1:48" ht="15" customHeight="1" x14ac:dyDescent="0.25">
      <c r="A1069" s="19">
        <v>26053</v>
      </c>
      <c r="B1069" s="20" t="s">
        <v>13</v>
      </c>
      <c r="C1069" s="20" t="s">
        <v>13</v>
      </c>
      <c r="D1069" s="20" t="s">
        <v>2064</v>
      </c>
      <c r="E1069" s="20" t="s">
        <v>2065</v>
      </c>
      <c r="F1069" s="20">
        <v>36.8697728</v>
      </c>
      <c r="G1069" s="20">
        <v>42.996686570000001</v>
      </c>
      <c r="H1069" s="22">
        <v>80</v>
      </c>
      <c r="I1069" s="22">
        <v>480</v>
      </c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>
        <v>80</v>
      </c>
      <c r="W1069" s="21"/>
      <c r="X1069" s="21"/>
      <c r="Y1069" s="21"/>
      <c r="Z1069" s="21"/>
      <c r="AA1069" s="21"/>
      <c r="AB1069" s="21"/>
      <c r="AC1069" s="21"/>
      <c r="AD1069" s="21">
        <v>2</v>
      </c>
      <c r="AE1069" s="21"/>
      <c r="AF1069" s="21"/>
      <c r="AG1069" s="21"/>
      <c r="AH1069" s="21">
        <v>78</v>
      </c>
      <c r="AI1069" s="21"/>
      <c r="AJ1069" s="21"/>
      <c r="AK1069" s="21"/>
      <c r="AL1069" s="21"/>
      <c r="AM1069" s="21">
        <v>8</v>
      </c>
      <c r="AN1069" s="21">
        <v>70</v>
      </c>
      <c r="AO1069" s="21"/>
      <c r="AP1069" s="21"/>
      <c r="AQ1069" s="21"/>
      <c r="AR1069" s="21"/>
      <c r="AS1069" s="21">
        <v>2</v>
      </c>
      <c r="AT1069" s="12" t="str">
        <f>HYPERLINK("http://www.openstreetmap.org/?mlat=36.8698&amp;mlon=42.9967&amp;zoom=12#map=12/36.8698/42.9967","Maplink1")</f>
        <v>Maplink1</v>
      </c>
      <c r="AU1069" s="12" t="str">
        <f>HYPERLINK("https://www.google.iq/maps/search/+36.8698,42.9967/@36.8698,42.9967,14z?hl=en","Maplink2")</f>
        <v>Maplink2</v>
      </c>
      <c r="AV1069" s="12" t="str">
        <f>HYPERLINK("http://www.bing.com/maps/?lvl=14&amp;sty=h&amp;cp=36.8698~42.9967&amp;sp=point.36.8698_42.9967","Maplink3")</f>
        <v>Maplink3</v>
      </c>
    </row>
    <row r="1070" spans="1:48" ht="15" customHeight="1" x14ac:dyDescent="0.25">
      <c r="A1070" s="19">
        <v>8373</v>
      </c>
      <c r="B1070" s="20" t="s">
        <v>13</v>
      </c>
      <c r="C1070" s="20" t="s">
        <v>13</v>
      </c>
      <c r="D1070" s="20" t="s">
        <v>2066</v>
      </c>
      <c r="E1070" s="20" t="s">
        <v>2067</v>
      </c>
      <c r="F1070" s="20">
        <v>36.87586177</v>
      </c>
      <c r="G1070" s="20">
        <v>42.978831030000002</v>
      </c>
      <c r="H1070" s="22">
        <v>200</v>
      </c>
      <c r="I1070" s="22">
        <v>1200</v>
      </c>
      <c r="J1070" s="21">
        <v>7</v>
      </c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>
        <v>190</v>
      </c>
      <c r="W1070" s="21"/>
      <c r="X1070" s="21">
        <v>3</v>
      </c>
      <c r="Y1070" s="21"/>
      <c r="Z1070" s="21"/>
      <c r="AA1070" s="21"/>
      <c r="AB1070" s="21"/>
      <c r="AC1070" s="21"/>
      <c r="AD1070" s="21">
        <v>47</v>
      </c>
      <c r="AE1070" s="21"/>
      <c r="AF1070" s="21"/>
      <c r="AG1070" s="21"/>
      <c r="AH1070" s="21">
        <v>153</v>
      </c>
      <c r="AI1070" s="21"/>
      <c r="AJ1070" s="21"/>
      <c r="AK1070" s="21"/>
      <c r="AL1070" s="21">
        <v>7</v>
      </c>
      <c r="AM1070" s="21">
        <v>86</v>
      </c>
      <c r="AN1070" s="21">
        <v>107</v>
      </c>
      <c r="AO1070" s="21"/>
      <c r="AP1070" s="21"/>
      <c r="AQ1070" s="21"/>
      <c r="AR1070" s="21"/>
      <c r="AS1070" s="21"/>
      <c r="AT1070" s="12" t="str">
        <f>HYPERLINK("http://www.openstreetmap.org/?mlat=36.8759&amp;mlon=42.9788&amp;zoom=12#map=12/36.8759/42.9788","Maplink1")</f>
        <v>Maplink1</v>
      </c>
      <c r="AU1070" s="12" t="str">
        <f>HYPERLINK("https://www.google.iq/maps/search/+36.8759,42.9788/@36.8759,42.9788,14z?hl=en","Maplink2")</f>
        <v>Maplink2</v>
      </c>
      <c r="AV1070" s="12" t="str">
        <f>HYPERLINK("http://www.bing.com/maps/?lvl=14&amp;sty=h&amp;cp=36.8759~42.9788&amp;sp=point.36.8759_42.9788","Maplink3")</f>
        <v>Maplink3</v>
      </c>
    </row>
    <row r="1071" spans="1:48" ht="15" customHeight="1" x14ac:dyDescent="0.25">
      <c r="A1071" s="19">
        <v>21979</v>
      </c>
      <c r="B1071" s="20" t="s">
        <v>13</v>
      </c>
      <c r="C1071" s="20" t="s">
        <v>13</v>
      </c>
      <c r="D1071" s="20" t="s">
        <v>2068</v>
      </c>
      <c r="E1071" s="20" t="s">
        <v>2069</v>
      </c>
      <c r="F1071" s="20">
        <v>36.857958439999997</v>
      </c>
      <c r="G1071" s="20">
        <v>42.996206469999997</v>
      </c>
      <c r="H1071" s="22">
        <v>21</v>
      </c>
      <c r="I1071" s="22">
        <v>126</v>
      </c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>
        <v>21</v>
      </c>
      <c r="W1071" s="21"/>
      <c r="X1071" s="21"/>
      <c r="Y1071" s="21"/>
      <c r="Z1071" s="21"/>
      <c r="AA1071" s="21"/>
      <c r="AB1071" s="21"/>
      <c r="AC1071" s="21"/>
      <c r="AD1071" s="21">
        <v>2</v>
      </c>
      <c r="AE1071" s="21"/>
      <c r="AF1071" s="21"/>
      <c r="AG1071" s="21"/>
      <c r="AH1071" s="21">
        <v>19</v>
      </c>
      <c r="AI1071" s="21"/>
      <c r="AJ1071" s="21"/>
      <c r="AK1071" s="21"/>
      <c r="AL1071" s="21"/>
      <c r="AM1071" s="21">
        <v>5</v>
      </c>
      <c r="AN1071" s="21">
        <v>16</v>
      </c>
      <c r="AO1071" s="21"/>
      <c r="AP1071" s="21"/>
      <c r="AQ1071" s="21"/>
      <c r="AR1071" s="21"/>
      <c r="AS1071" s="21"/>
      <c r="AT1071" s="12" t="str">
        <f>HYPERLINK("http://www.openstreetmap.org/?mlat=36.858&amp;mlon=42.9962&amp;zoom=12#map=12/36.858/42.9962","Maplink1")</f>
        <v>Maplink1</v>
      </c>
      <c r="AU1071" s="12" t="str">
        <f>HYPERLINK("https://www.google.iq/maps/search/+36.858,42.9962/@36.858,42.9962,14z?hl=en","Maplink2")</f>
        <v>Maplink2</v>
      </c>
      <c r="AV1071" s="12" t="str">
        <f>HYPERLINK("http://www.bing.com/maps/?lvl=14&amp;sty=h&amp;cp=36.858~42.9962&amp;sp=point.36.858_42.9962","Maplink3")</f>
        <v>Maplink3</v>
      </c>
    </row>
    <row r="1072" spans="1:48" ht="15" customHeight="1" x14ac:dyDescent="0.25">
      <c r="A1072" s="19">
        <v>8372</v>
      </c>
      <c r="B1072" s="20" t="s">
        <v>13</v>
      </c>
      <c r="C1072" s="20" t="s">
        <v>13</v>
      </c>
      <c r="D1072" s="20" t="s">
        <v>2070</v>
      </c>
      <c r="E1072" s="20" t="s">
        <v>2071</v>
      </c>
      <c r="F1072" s="20">
        <v>36.844717170000003</v>
      </c>
      <c r="G1072" s="20">
        <v>42.969909440000002</v>
      </c>
      <c r="H1072" s="22">
        <v>52</v>
      </c>
      <c r="I1072" s="22">
        <v>312</v>
      </c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>
        <v>52</v>
      </c>
      <c r="W1072" s="21"/>
      <c r="X1072" s="21"/>
      <c r="Y1072" s="21"/>
      <c r="Z1072" s="21"/>
      <c r="AA1072" s="21"/>
      <c r="AB1072" s="21"/>
      <c r="AC1072" s="21">
        <v>9</v>
      </c>
      <c r="AD1072" s="21"/>
      <c r="AE1072" s="21"/>
      <c r="AF1072" s="21"/>
      <c r="AG1072" s="21"/>
      <c r="AH1072" s="21">
        <v>42</v>
      </c>
      <c r="AI1072" s="21"/>
      <c r="AJ1072" s="21">
        <v>1</v>
      </c>
      <c r="AK1072" s="21"/>
      <c r="AL1072" s="21"/>
      <c r="AM1072" s="21">
        <v>19</v>
      </c>
      <c r="AN1072" s="21">
        <v>31</v>
      </c>
      <c r="AO1072" s="21"/>
      <c r="AP1072" s="21"/>
      <c r="AQ1072" s="21"/>
      <c r="AR1072" s="21"/>
      <c r="AS1072" s="21">
        <v>2</v>
      </c>
      <c r="AT1072" s="12" t="str">
        <f>HYPERLINK("http://www.openstreetmap.org/?mlat=36.8447&amp;mlon=42.9699&amp;zoom=12#map=12/36.8447/42.9699","Maplink1")</f>
        <v>Maplink1</v>
      </c>
      <c r="AU1072" s="12" t="str">
        <f>HYPERLINK("https://www.google.iq/maps/search/+36.8447,42.9699/@36.8447,42.9699,14z?hl=en","Maplink2")</f>
        <v>Maplink2</v>
      </c>
      <c r="AV1072" s="12" t="str">
        <f>HYPERLINK("http://www.bing.com/maps/?lvl=14&amp;sty=h&amp;cp=36.8447~42.9699&amp;sp=point.36.8447_42.9699","Maplink3")</f>
        <v>Maplink3</v>
      </c>
    </row>
    <row r="1073" spans="1:48" ht="15" customHeight="1" x14ac:dyDescent="0.25">
      <c r="A1073" s="19">
        <v>21971</v>
      </c>
      <c r="B1073" s="20" t="s">
        <v>13</v>
      </c>
      <c r="C1073" s="20" t="s">
        <v>13</v>
      </c>
      <c r="D1073" s="20" t="s">
        <v>6109</v>
      </c>
      <c r="E1073" s="20" t="s">
        <v>6110</v>
      </c>
      <c r="F1073" s="20">
        <v>36.870856089999997</v>
      </c>
      <c r="G1073" s="20">
        <v>42.989494839999999</v>
      </c>
      <c r="H1073" s="22">
        <v>135</v>
      </c>
      <c r="I1073" s="22">
        <v>810</v>
      </c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>
        <v>132</v>
      </c>
      <c r="W1073" s="21"/>
      <c r="X1073" s="21">
        <v>3</v>
      </c>
      <c r="Y1073" s="21"/>
      <c r="Z1073" s="21"/>
      <c r="AA1073" s="21"/>
      <c r="AB1073" s="21"/>
      <c r="AC1073" s="21"/>
      <c r="AD1073" s="21">
        <v>10</v>
      </c>
      <c r="AE1073" s="21"/>
      <c r="AF1073" s="21"/>
      <c r="AG1073" s="21"/>
      <c r="AH1073" s="21">
        <v>125</v>
      </c>
      <c r="AI1073" s="21"/>
      <c r="AJ1073" s="21"/>
      <c r="AK1073" s="21"/>
      <c r="AL1073" s="21"/>
      <c r="AM1073" s="21">
        <v>75</v>
      </c>
      <c r="AN1073" s="21">
        <v>60</v>
      </c>
      <c r="AO1073" s="21"/>
      <c r="AP1073" s="21"/>
      <c r="AQ1073" s="21"/>
      <c r="AR1073" s="21"/>
      <c r="AS1073" s="21"/>
      <c r="AT1073" s="12" t="str">
        <f>HYPERLINK("http://www.openstreetmap.org/?mlat=36.8709&amp;mlon=42.9895&amp;zoom=12#map=12/36.8709/42.9895","Maplink1")</f>
        <v>Maplink1</v>
      </c>
      <c r="AU1073" s="12" t="str">
        <f>HYPERLINK("https://www.google.iq/maps/search/+36.8709,42.9895/@36.8709,42.9895,14z?hl=en","Maplink2")</f>
        <v>Maplink2</v>
      </c>
      <c r="AV1073" s="12" t="str">
        <f>HYPERLINK("http://www.bing.com/maps/?lvl=14&amp;sty=h&amp;cp=36.8709~42.9895&amp;sp=point.36.8709_42.9895","Maplink3")</f>
        <v>Maplink3</v>
      </c>
    </row>
    <row r="1074" spans="1:48" ht="15" customHeight="1" x14ac:dyDescent="0.25">
      <c r="A1074" s="19">
        <v>26046</v>
      </c>
      <c r="B1074" s="20" t="s">
        <v>13</v>
      </c>
      <c r="C1074" s="20" t="s">
        <v>13</v>
      </c>
      <c r="D1074" s="20" t="s">
        <v>2072</v>
      </c>
      <c r="E1074" s="20" t="s">
        <v>2073</v>
      </c>
      <c r="F1074" s="20">
        <v>36.860532210000002</v>
      </c>
      <c r="G1074" s="20">
        <v>42.940801569999998</v>
      </c>
      <c r="H1074" s="22">
        <v>180</v>
      </c>
      <c r="I1074" s="22">
        <v>1080</v>
      </c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>
        <v>180</v>
      </c>
      <c r="W1074" s="21"/>
      <c r="X1074" s="21"/>
      <c r="Y1074" s="21"/>
      <c r="Z1074" s="21"/>
      <c r="AA1074" s="21"/>
      <c r="AB1074" s="21"/>
      <c r="AC1074" s="21"/>
      <c r="AD1074" s="21">
        <v>20</v>
      </c>
      <c r="AE1074" s="21"/>
      <c r="AF1074" s="21"/>
      <c r="AG1074" s="21"/>
      <c r="AH1074" s="21">
        <v>160</v>
      </c>
      <c r="AI1074" s="21"/>
      <c r="AJ1074" s="21"/>
      <c r="AK1074" s="21"/>
      <c r="AL1074" s="21"/>
      <c r="AM1074" s="21">
        <v>136</v>
      </c>
      <c r="AN1074" s="21">
        <v>41</v>
      </c>
      <c r="AO1074" s="21"/>
      <c r="AP1074" s="21"/>
      <c r="AQ1074" s="21"/>
      <c r="AR1074" s="21"/>
      <c r="AS1074" s="21">
        <v>3</v>
      </c>
      <c r="AT1074" s="12" t="str">
        <f>HYPERLINK("http://www.openstreetmap.org/?mlat=36.8605&amp;mlon=42.9408&amp;zoom=12#map=12/36.8605/42.9408","Maplink1")</f>
        <v>Maplink1</v>
      </c>
      <c r="AU1074" s="12" t="str">
        <f>HYPERLINK("https://www.google.iq/maps/search/+36.8605,42.9408/@36.8605,42.9408,14z?hl=en","Maplink2")</f>
        <v>Maplink2</v>
      </c>
      <c r="AV1074" s="12" t="str">
        <f>HYPERLINK("http://www.bing.com/maps/?lvl=14&amp;sty=h&amp;cp=36.8605~42.9408&amp;sp=point.36.8605_42.9408","Maplink3")</f>
        <v>Maplink3</v>
      </c>
    </row>
    <row r="1075" spans="1:48" ht="15" customHeight="1" x14ac:dyDescent="0.25">
      <c r="A1075" s="19">
        <v>7921</v>
      </c>
      <c r="B1075" s="20" t="s">
        <v>13</v>
      </c>
      <c r="C1075" s="20" t="s">
        <v>13</v>
      </c>
      <c r="D1075" s="20" t="s">
        <v>2074</v>
      </c>
      <c r="E1075" s="20" t="s">
        <v>2075</v>
      </c>
      <c r="F1075" s="20">
        <v>36.903685848099997</v>
      </c>
      <c r="G1075" s="20">
        <v>43.142379672700002</v>
      </c>
      <c r="H1075" s="22">
        <v>79</v>
      </c>
      <c r="I1075" s="22">
        <v>474</v>
      </c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>
        <v>79</v>
      </c>
      <c r="W1075" s="21"/>
      <c r="X1075" s="21"/>
      <c r="Y1075" s="21"/>
      <c r="Z1075" s="21"/>
      <c r="AA1075" s="21"/>
      <c r="AB1075" s="21"/>
      <c r="AC1075" s="21">
        <v>24</v>
      </c>
      <c r="AD1075" s="21"/>
      <c r="AE1075" s="21">
        <v>1</v>
      </c>
      <c r="AF1075" s="21"/>
      <c r="AG1075" s="21"/>
      <c r="AH1075" s="21">
        <v>50</v>
      </c>
      <c r="AI1075" s="21"/>
      <c r="AJ1075" s="21">
        <v>4</v>
      </c>
      <c r="AK1075" s="21"/>
      <c r="AL1075" s="21"/>
      <c r="AM1075" s="21">
        <v>32</v>
      </c>
      <c r="AN1075" s="21">
        <v>30</v>
      </c>
      <c r="AO1075" s="21"/>
      <c r="AP1075" s="21"/>
      <c r="AQ1075" s="21"/>
      <c r="AR1075" s="21"/>
      <c r="AS1075" s="21">
        <v>17</v>
      </c>
      <c r="AT1075" s="12" t="str">
        <f>HYPERLINK("http://www.openstreetmap.org/?mlat=36.9037&amp;mlon=43.1424&amp;zoom=12#map=12/36.9037/43.1424","Maplink1")</f>
        <v>Maplink1</v>
      </c>
      <c r="AU1075" s="12" t="str">
        <f>HYPERLINK("https://www.google.iq/maps/search/+36.9037,43.1424/@36.9037,43.1424,14z?hl=en","Maplink2")</f>
        <v>Maplink2</v>
      </c>
      <c r="AV1075" s="12" t="str">
        <f>HYPERLINK("http://www.bing.com/maps/?lvl=14&amp;sty=h&amp;cp=36.9037~43.1424&amp;sp=point.36.9037_43.1424","Maplink3")</f>
        <v>Maplink3</v>
      </c>
    </row>
    <row r="1076" spans="1:48" ht="15" customHeight="1" x14ac:dyDescent="0.25">
      <c r="A1076" s="19">
        <v>8867</v>
      </c>
      <c r="B1076" s="20" t="s">
        <v>13</v>
      </c>
      <c r="C1076" s="20" t="s">
        <v>13</v>
      </c>
      <c r="D1076" s="20" t="s">
        <v>2076</v>
      </c>
      <c r="E1076" s="20" t="s">
        <v>2077</v>
      </c>
      <c r="F1076" s="20">
        <v>36.86929035</v>
      </c>
      <c r="G1076" s="20">
        <v>42.957625069999999</v>
      </c>
      <c r="H1076" s="22">
        <v>516</v>
      </c>
      <c r="I1076" s="22">
        <v>3096</v>
      </c>
      <c r="J1076" s="21">
        <v>11</v>
      </c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>
        <v>502</v>
      </c>
      <c r="W1076" s="21"/>
      <c r="X1076" s="21">
        <v>3</v>
      </c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21">
        <v>516</v>
      </c>
      <c r="AI1076" s="21"/>
      <c r="AJ1076" s="21"/>
      <c r="AK1076" s="21"/>
      <c r="AL1076" s="21">
        <v>11</v>
      </c>
      <c r="AM1076" s="21">
        <v>349</v>
      </c>
      <c r="AN1076" s="21">
        <v>148</v>
      </c>
      <c r="AO1076" s="21"/>
      <c r="AP1076" s="21"/>
      <c r="AQ1076" s="21"/>
      <c r="AR1076" s="21"/>
      <c r="AS1076" s="21">
        <v>8</v>
      </c>
      <c r="AT1076" s="12" t="str">
        <f>HYPERLINK("http://www.openstreetmap.org/?mlat=36.8693&amp;mlon=42.9576&amp;zoom=12#map=12/36.8693/42.9576","Maplink1")</f>
        <v>Maplink1</v>
      </c>
      <c r="AU1076" s="12" t="str">
        <f>HYPERLINK("https://www.google.iq/maps/search/+36.8693,42.9576/@36.8693,42.9576,14z?hl=en","Maplink2")</f>
        <v>Maplink2</v>
      </c>
      <c r="AV1076" s="12" t="str">
        <f>HYPERLINK("http://www.bing.com/maps/?lvl=14&amp;sty=h&amp;cp=36.8693~42.9576&amp;sp=point.36.8693_42.9576","Maplink3")</f>
        <v>Maplink3</v>
      </c>
    </row>
    <row r="1077" spans="1:48" ht="15" customHeight="1" x14ac:dyDescent="0.25">
      <c r="A1077" s="19">
        <v>24186</v>
      </c>
      <c r="B1077" s="20" t="s">
        <v>13</v>
      </c>
      <c r="C1077" s="20" t="s">
        <v>13</v>
      </c>
      <c r="D1077" s="20" t="s">
        <v>2078</v>
      </c>
      <c r="E1077" s="20" t="s">
        <v>2079</v>
      </c>
      <c r="F1077" s="20">
        <v>36.874341719999997</v>
      </c>
      <c r="G1077" s="20">
        <v>42.928792430000001</v>
      </c>
      <c r="H1077" s="22">
        <v>116</v>
      </c>
      <c r="I1077" s="22">
        <v>696</v>
      </c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>
        <v>116</v>
      </c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21">
        <v>86</v>
      </c>
      <c r="AI1077" s="21"/>
      <c r="AJ1077" s="21">
        <v>30</v>
      </c>
      <c r="AK1077" s="21"/>
      <c r="AL1077" s="21"/>
      <c r="AM1077" s="21">
        <v>60</v>
      </c>
      <c r="AN1077" s="21">
        <v>54</v>
      </c>
      <c r="AO1077" s="21"/>
      <c r="AP1077" s="21"/>
      <c r="AQ1077" s="21"/>
      <c r="AR1077" s="21"/>
      <c r="AS1077" s="21">
        <v>2</v>
      </c>
      <c r="AT1077" s="12" t="str">
        <f>HYPERLINK("http://www.openstreetmap.org/?mlat=36.8743&amp;mlon=42.9288&amp;zoom=12#map=12/36.8743/42.9288","Maplink1")</f>
        <v>Maplink1</v>
      </c>
      <c r="AU1077" s="12" t="str">
        <f>HYPERLINK("https://www.google.iq/maps/search/+36.8743,42.9288/@36.8743,42.9288,14z?hl=en","Maplink2")</f>
        <v>Maplink2</v>
      </c>
      <c r="AV1077" s="12" t="str">
        <f>HYPERLINK("http://www.bing.com/maps/?lvl=14&amp;sty=h&amp;cp=36.8743~42.9288&amp;sp=point.36.8743_42.9288","Maplink3")</f>
        <v>Maplink3</v>
      </c>
    </row>
    <row r="1078" spans="1:48" ht="15" customHeight="1" x14ac:dyDescent="0.25">
      <c r="A1078" s="19">
        <v>24187</v>
      </c>
      <c r="B1078" s="20" t="s">
        <v>13</v>
      </c>
      <c r="C1078" s="20" t="s">
        <v>13</v>
      </c>
      <c r="D1078" s="20" t="s">
        <v>2080</v>
      </c>
      <c r="E1078" s="20" t="s">
        <v>2081</v>
      </c>
      <c r="F1078" s="20">
        <v>36.859557189999997</v>
      </c>
      <c r="G1078" s="20">
        <v>43.00569891</v>
      </c>
      <c r="H1078" s="22">
        <v>98</v>
      </c>
      <c r="I1078" s="22">
        <v>588</v>
      </c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>
        <v>98</v>
      </c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21">
        <v>98</v>
      </c>
      <c r="AI1078" s="21"/>
      <c r="AJ1078" s="21"/>
      <c r="AK1078" s="21"/>
      <c r="AL1078" s="21"/>
      <c r="AM1078" s="21">
        <v>33</v>
      </c>
      <c r="AN1078" s="21">
        <v>65</v>
      </c>
      <c r="AO1078" s="21"/>
      <c r="AP1078" s="21"/>
      <c r="AQ1078" s="21"/>
      <c r="AR1078" s="21"/>
      <c r="AS1078" s="21"/>
      <c r="AT1078" s="12" t="str">
        <f>HYPERLINK("http://www.openstreetmap.org/?mlat=36.8596&amp;mlon=43.0057&amp;zoom=12#map=12/36.8596/43.0057","Maplink1")</f>
        <v>Maplink1</v>
      </c>
      <c r="AU1078" s="12" t="str">
        <f>HYPERLINK("https://www.google.iq/maps/search/+36.8596,43.0057/@36.8596,43.0057,14z?hl=en","Maplink2")</f>
        <v>Maplink2</v>
      </c>
      <c r="AV1078" s="12" t="str">
        <f>HYPERLINK("http://www.bing.com/maps/?lvl=14&amp;sty=h&amp;cp=36.8596~43.0057&amp;sp=point.36.8596_43.0057","Maplink3")</f>
        <v>Maplink3</v>
      </c>
    </row>
    <row r="1079" spans="1:48" ht="15" customHeight="1" x14ac:dyDescent="0.25">
      <c r="A1079" s="19">
        <v>24800</v>
      </c>
      <c r="B1079" s="20" t="s">
        <v>13</v>
      </c>
      <c r="C1079" s="20" t="s">
        <v>2082</v>
      </c>
      <c r="D1079" s="20" t="s">
        <v>2083</v>
      </c>
      <c r="E1079" s="20" t="s">
        <v>2084</v>
      </c>
      <c r="F1079" s="20">
        <v>36.85466323</v>
      </c>
      <c r="G1079" s="20">
        <v>42.90753599</v>
      </c>
      <c r="H1079" s="22">
        <v>1185</v>
      </c>
      <c r="I1079" s="22">
        <v>7110</v>
      </c>
      <c r="J1079" s="21">
        <v>1</v>
      </c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>
        <v>1184</v>
      </c>
      <c r="W1079" s="21"/>
      <c r="X1079" s="21"/>
      <c r="Y1079" s="21"/>
      <c r="Z1079" s="21"/>
      <c r="AA1079" s="21"/>
      <c r="AB1079" s="21"/>
      <c r="AC1079" s="21">
        <v>200</v>
      </c>
      <c r="AD1079" s="21"/>
      <c r="AE1079" s="21"/>
      <c r="AF1079" s="21"/>
      <c r="AG1079" s="21"/>
      <c r="AH1079" s="21">
        <v>985</v>
      </c>
      <c r="AI1079" s="21"/>
      <c r="AJ1079" s="21"/>
      <c r="AK1079" s="21"/>
      <c r="AL1079" s="21">
        <v>1</v>
      </c>
      <c r="AM1079" s="21">
        <v>997</v>
      </c>
      <c r="AN1079" s="21">
        <v>187</v>
      </c>
      <c r="AO1079" s="21"/>
      <c r="AP1079" s="21"/>
      <c r="AQ1079" s="21"/>
      <c r="AR1079" s="21"/>
      <c r="AS1079" s="21"/>
      <c r="AT1079" s="12" t="str">
        <f>HYPERLINK("http://www.openstreetmap.org/?mlat=36.8547&amp;mlon=42.9075&amp;zoom=12#map=12/36.8547/42.9075","Maplink1")</f>
        <v>Maplink1</v>
      </c>
      <c r="AU1079" s="12" t="str">
        <f>HYPERLINK("https://www.google.iq/maps/search/+36.8547,42.9075/@36.8547,42.9075,14z?hl=en","Maplink2")</f>
        <v>Maplink2</v>
      </c>
      <c r="AV1079" s="12" t="str">
        <f>HYPERLINK("http://www.bing.com/maps/?lvl=14&amp;sty=h&amp;cp=36.8547~42.9075&amp;sp=point.36.8547_42.9075","Maplink3")</f>
        <v>Maplink3</v>
      </c>
    </row>
    <row r="1080" spans="1:48" ht="15" customHeight="1" x14ac:dyDescent="0.25">
      <c r="A1080" s="19">
        <v>24790</v>
      </c>
      <c r="B1080" s="20" t="s">
        <v>13</v>
      </c>
      <c r="C1080" s="20" t="s">
        <v>2082</v>
      </c>
      <c r="D1080" s="20" t="s">
        <v>2085</v>
      </c>
      <c r="E1080" s="20" t="s">
        <v>2086</v>
      </c>
      <c r="F1080" s="20">
        <v>37.056573999999998</v>
      </c>
      <c r="G1080" s="20">
        <v>42.445892000000001</v>
      </c>
      <c r="H1080" s="22">
        <v>2046</v>
      </c>
      <c r="I1080" s="22">
        <v>12276</v>
      </c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>
        <v>2046</v>
      </c>
      <c r="W1080" s="21"/>
      <c r="X1080" s="21"/>
      <c r="Y1080" s="21"/>
      <c r="Z1080" s="21"/>
      <c r="AA1080" s="21"/>
      <c r="AB1080" s="21">
        <v>2046</v>
      </c>
      <c r="AC1080" s="21"/>
      <c r="AD1080" s="21"/>
      <c r="AE1080" s="21"/>
      <c r="AF1080" s="21"/>
      <c r="AG1080" s="21"/>
      <c r="AH1080" s="21"/>
      <c r="AI1080" s="21"/>
      <c r="AJ1080" s="21"/>
      <c r="AK1080" s="21"/>
      <c r="AL1080" s="21"/>
      <c r="AM1080" s="21"/>
      <c r="AN1080" s="21">
        <v>2043</v>
      </c>
      <c r="AO1080" s="21"/>
      <c r="AP1080" s="21">
        <v>3</v>
      </c>
      <c r="AQ1080" s="21"/>
      <c r="AR1080" s="21"/>
      <c r="AS1080" s="21"/>
      <c r="AT1080" s="12" t="str">
        <f>HYPERLINK("http://www.openstreetmap.org/?mlat=37.0566&amp;mlon=42.4459&amp;zoom=12#map=12/37.0566/42.4459","Maplink1")</f>
        <v>Maplink1</v>
      </c>
      <c r="AU1080" s="12" t="str">
        <f>HYPERLINK("https://www.google.iq/maps/search/+37.0566,42.4459/@37.0566,42.4459,14z?hl=en","Maplink2")</f>
        <v>Maplink2</v>
      </c>
      <c r="AV1080" s="12" t="str">
        <f>HYPERLINK("http://www.bing.com/maps/?lvl=14&amp;sty=h&amp;cp=37.0566~42.4459&amp;sp=point.37.0566_42.4459","Maplink3")</f>
        <v>Maplink3</v>
      </c>
    </row>
    <row r="1081" spans="1:48" ht="15" customHeight="1" x14ac:dyDescent="0.25">
      <c r="A1081" s="19">
        <v>8044</v>
      </c>
      <c r="B1081" s="20" t="s">
        <v>13</v>
      </c>
      <c r="C1081" s="20" t="s">
        <v>2082</v>
      </c>
      <c r="D1081" s="20" t="s">
        <v>6111</v>
      </c>
      <c r="E1081" s="20" t="s">
        <v>6112</v>
      </c>
      <c r="F1081" s="20">
        <v>37.047089139999997</v>
      </c>
      <c r="G1081" s="20">
        <v>42.450820229999998</v>
      </c>
      <c r="H1081" s="22">
        <v>110</v>
      </c>
      <c r="I1081" s="22">
        <v>660</v>
      </c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>
        <v>110</v>
      </c>
      <c r="W1081" s="21"/>
      <c r="X1081" s="21"/>
      <c r="Y1081" s="21"/>
      <c r="Z1081" s="21"/>
      <c r="AA1081" s="21"/>
      <c r="AB1081" s="21"/>
      <c r="AC1081" s="21">
        <v>91</v>
      </c>
      <c r="AD1081" s="21"/>
      <c r="AE1081" s="21">
        <v>7</v>
      </c>
      <c r="AF1081" s="21"/>
      <c r="AG1081" s="21"/>
      <c r="AH1081" s="21"/>
      <c r="AI1081" s="21"/>
      <c r="AJ1081" s="21">
        <v>12</v>
      </c>
      <c r="AK1081" s="21"/>
      <c r="AL1081" s="21"/>
      <c r="AM1081" s="21"/>
      <c r="AN1081" s="21">
        <v>110</v>
      </c>
      <c r="AO1081" s="21"/>
      <c r="AP1081" s="21"/>
      <c r="AQ1081" s="21"/>
      <c r="AR1081" s="21"/>
      <c r="AS1081" s="21"/>
      <c r="AT1081" s="12" t="str">
        <f>HYPERLINK("http://www.openstreetmap.org/?mlat=37.0471&amp;mlon=42.4508&amp;zoom=12#map=12/37.0471/42.4508","Maplink1")</f>
        <v>Maplink1</v>
      </c>
      <c r="AU1081" s="12" t="str">
        <f>HYPERLINK("https://www.google.iq/maps/search/+37.0471,42.4508/@37.0471,42.4508,14z?hl=en","Maplink2")</f>
        <v>Maplink2</v>
      </c>
      <c r="AV1081" s="12" t="str">
        <f>HYPERLINK("http://www.bing.com/maps/?lvl=14&amp;sty=h&amp;cp=37.0471~42.4508&amp;sp=point.37.0471_42.4508","Maplink3")</f>
        <v>Maplink3</v>
      </c>
    </row>
    <row r="1082" spans="1:48" ht="15" customHeight="1" x14ac:dyDescent="0.25">
      <c r="A1082" s="19">
        <v>8019</v>
      </c>
      <c r="B1082" s="20" t="s">
        <v>13</v>
      </c>
      <c r="C1082" s="20" t="s">
        <v>2082</v>
      </c>
      <c r="D1082" s="20" t="s">
        <v>2087</v>
      </c>
      <c r="E1082" s="20" t="s">
        <v>6113</v>
      </c>
      <c r="F1082" s="20">
        <v>36.806981589999999</v>
      </c>
      <c r="G1082" s="20">
        <v>42.859281690000003</v>
      </c>
      <c r="H1082" s="22">
        <v>36</v>
      </c>
      <c r="I1082" s="22">
        <v>216</v>
      </c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>
        <v>36</v>
      </c>
      <c r="W1082" s="21"/>
      <c r="X1082" s="21"/>
      <c r="Y1082" s="21"/>
      <c r="Z1082" s="21"/>
      <c r="AA1082" s="21"/>
      <c r="AB1082" s="21"/>
      <c r="AC1082" s="21"/>
      <c r="AD1082" s="21"/>
      <c r="AE1082" s="21">
        <v>3</v>
      </c>
      <c r="AF1082" s="21"/>
      <c r="AG1082" s="21"/>
      <c r="AH1082" s="21">
        <v>26</v>
      </c>
      <c r="AI1082" s="21"/>
      <c r="AJ1082" s="21">
        <v>7</v>
      </c>
      <c r="AK1082" s="21"/>
      <c r="AL1082" s="21"/>
      <c r="AM1082" s="21"/>
      <c r="AN1082" s="21">
        <v>36</v>
      </c>
      <c r="AO1082" s="21"/>
      <c r="AP1082" s="21"/>
      <c r="AQ1082" s="21"/>
      <c r="AR1082" s="21"/>
      <c r="AS1082" s="21"/>
      <c r="AT1082" s="12" t="str">
        <f>HYPERLINK("http://www.openstreetmap.org/?mlat=36.807&amp;mlon=42.8593&amp;zoom=12#map=12/36.807/42.8593","Maplink1")</f>
        <v>Maplink1</v>
      </c>
      <c r="AU1082" s="12" t="str">
        <f>HYPERLINK("https://www.google.iq/maps/search/+36.807,42.8593/@36.807,42.8593,14z?hl=en","Maplink2")</f>
        <v>Maplink2</v>
      </c>
      <c r="AV1082" s="12" t="str">
        <f>HYPERLINK("http://www.bing.com/maps/?lvl=14&amp;sty=h&amp;cp=36.807~42.8593&amp;sp=point.36.807_42.8593","Maplink3")</f>
        <v>Maplink3</v>
      </c>
    </row>
    <row r="1083" spans="1:48" ht="15" customHeight="1" x14ac:dyDescent="0.25">
      <c r="A1083" s="19">
        <v>25993</v>
      </c>
      <c r="B1083" s="20" t="s">
        <v>13</v>
      </c>
      <c r="C1083" s="20" t="s">
        <v>2082</v>
      </c>
      <c r="D1083" s="20" t="s">
        <v>2088</v>
      </c>
      <c r="E1083" s="20" t="s">
        <v>2089</v>
      </c>
      <c r="F1083" s="20">
        <v>36.95527396</v>
      </c>
      <c r="G1083" s="20">
        <v>42.727234230000001</v>
      </c>
      <c r="H1083" s="22">
        <v>175</v>
      </c>
      <c r="I1083" s="22">
        <v>1050</v>
      </c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>
        <v>175</v>
      </c>
      <c r="W1083" s="21"/>
      <c r="X1083" s="21"/>
      <c r="Y1083" s="21"/>
      <c r="Z1083" s="21"/>
      <c r="AA1083" s="21"/>
      <c r="AB1083" s="21"/>
      <c r="AC1083" s="21">
        <v>149</v>
      </c>
      <c r="AD1083" s="21"/>
      <c r="AE1083" s="21"/>
      <c r="AF1083" s="21"/>
      <c r="AG1083" s="21"/>
      <c r="AH1083" s="21"/>
      <c r="AI1083" s="21"/>
      <c r="AJ1083" s="21">
        <v>26</v>
      </c>
      <c r="AK1083" s="21"/>
      <c r="AL1083" s="21"/>
      <c r="AM1083" s="21">
        <v>44</v>
      </c>
      <c r="AN1083" s="21">
        <v>101</v>
      </c>
      <c r="AO1083" s="21"/>
      <c r="AP1083" s="21"/>
      <c r="AQ1083" s="21"/>
      <c r="AR1083" s="21"/>
      <c r="AS1083" s="21">
        <v>30</v>
      </c>
      <c r="AT1083" s="12" t="str">
        <f>HYPERLINK("http://www.openstreetmap.org/?mlat=36.9553&amp;mlon=42.7272&amp;zoom=12#map=12/36.9553/42.7272","Maplink1")</f>
        <v>Maplink1</v>
      </c>
      <c r="AU1083" s="12" t="str">
        <f>HYPERLINK("https://www.google.iq/maps/search/+36.9553,42.7272/@36.9553,42.7272,14z?hl=en","Maplink2")</f>
        <v>Maplink2</v>
      </c>
      <c r="AV1083" s="12" t="str">
        <f>HYPERLINK("http://www.bing.com/maps/?lvl=14&amp;sty=h&amp;cp=36.9553~42.7272&amp;sp=point.36.9553_42.7272","Maplink3")</f>
        <v>Maplink3</v>
      </c>
    </row>
    <row r="1084" spans="1:48" ht="15" customHeight="1" x14ac:dyDescent="0.25">
      <c r="A1084" s="19">
        <v>8196</v>
      </c>
      <c r="B1084" s="20" t="s">
        <v>13</v>
      </c>
      <c r="C1084" s="20" t="s">
        <v>2082</v>
      </c>
      <c r="D1084" s="20" t="s">
        <v>2090</v>
      </c>
      <c r="E1084" s="20" t="s">
        <v>2091</v>
      </c>
      <c r="F1084" s="20">
        <v>36.961029920000001</v>
      </c>
      <c r="G1084" s="20">
        <v>42.681333049999999</v>
      </c>
      <c r="H1084" s="22">
        <v>91</v>
      </c>
      <c r="I1084" s="22">
        <v>546</v>
      </c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>
        <v>91</v>
      </c>
      <c r="W1084" s="21"/>
      <c r="X1084" s="21"/>
      <c r="Y1084" s="21"/>
      <c r="Z1084" s="21"/>
      <c r="AA1084" s="21"/>
      <c r="AB1084" s="21"/>
      <c r="AC1084" s="21">
        <v>82</v>
      </c>
      <c r="AD1084" s="21"/>
      <c r="AE1084" s="21"/>
      <c r="AF1084" s="21"/>
      <c r="AG1084" s="21"/>
      <c r="AH1084" s="21">
        <v>6</v>
      </c>
      <c r="AI1084" s="21"/>
      <c r="AJ1084" s="21">
        <v>3</v>
      </c>
      <c r="AK1084" s="21"/>
      <c r="AL1084" s="21"/>
      <c r="AM1084" s="21">
        <v>43</v>
      </c>
      <c r="AN1084" s="21">
        <v>34</v>
      </c>
      <c r="AO1084" s="21"/>
      <c r="AP1084" s="21"/>
      <c r="AQ1084" s="21"/>
      <c r="AR1084" s="21"/>
      <c r="AS1084" s="21">
        <v>14</v>
      </c>
      <c r="AT1084" s="12" t="str">
        <f>HYPERLINK("http://www.openstreetmap.org/?mlat=36.961&amp;mlon=42.6813&amp;zoom=12#map=12/36.961/42.6813","Maplink1")</f>
        <v>Maplink1</v>
      </c>
      <c r="AU1084" s="12" t="str">
        <f>HYPERLINK("https://www.google.iq/maps/search/+36.961,42.6813/@36.961,42.6813,14z?hl=en","Maplink2")</f>
        <v>Maplink2</v>
      </c>
      <c r="AV1084" s="12" t="str">
        <f>HYPERLINK("http://www.bing.com/maps/?lvl=14&amp;sty=h&amp;cp=36.961~42.6813&amp;sp=point.36.961_42.6813","Maplink3")</f>
        <v>Maplink3</v>
      </c>
    </row>
    <row r="1085" spans="1:48" ht="15" customHeight="1" x14ac:dyDescent="0.25">
      <c r="A1085" s="19">
        <v>8018</v>
      </c>
      <c r="B1085" s="20" t="s">
        <v>13</v>
      </c>
      <c r="C1085" s="20" t="s">
        <v>2082</v>
      </c>
      <c r="D1085" s="20" t="s">
        <v>2092</v>
      </c>
      <c r="E1085" s="20" t="s">
        <v>2093</v>
      </c>
      <c r="F1085" s="20">
        <v>36.813665870900003</v>
      </c>
      <c r="G1085" s="20">
        <v>42.915817001000001</v>
      </c>
      <c r="H1085" s="22">
        <v>54</v>
      </c>
      <c r="I1085" s="22">
        <v>324</v>
      </c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>
        <v>54</v>
      </c>
      <c r="W1085" s="21"/>
      <c r="X1085" s="21"/>
      <c r="Y1085" s="21"/>
      <c r="Z1085" s="21"/>
      <c r="AA1085" s="21"/>
      <c r="AB1085" s="21"/>
      <c r="AC1085" s="21">
        <v>21</v>
      </c>
      <c r="AD1085" s="21"/>
      <c r="AE1085" s="21"/>
      <c r="AF1085" s="21"/>
      <c r="AG1085" s="21"/>
      <c r="AH1085" s="21"/>
      <c r="AI1085" s="21"/>
      <c r="AJ1085" s="21">
        <v>33</v>
      </c>
      <c r="AK1085" s="21"/>
      <c r="AL1085" s="21"/>
      <c r="AM1085" s="21"/>
      <c r="AN1085" s="21">
        <v>54</v>
      </c>
      <c r="AO1085" s="21"/>
      <c r="AP1085" s="21"/>
      <c r="AQ1085" s="21"/>
      <c r="AR1085" s="21"/>
      <c r="AS1085" s="21"/>
      <c r="AT1085" s="12" t="str">
        <f>HYPERLINK("http://www.openstreetmap.org/?mlat=36.8137&amp;mlon=42.9158&amp;zoom=12#map=12/36.8137/42.9158","Maplink1")</f>
        <v>Maplink1</v>
      </c>
      <c r="AU1085" s="12" t="str">
        <f>HYPERLINK("https://www.google.iq/maps/search/+36.8137,42.9158/@36.8137,42.9158,14z?hl=en","Maplink2")</f>
        <v>Maplink2</v>
      </c>
      <c r="AV1085" s="12" t="str">
        <f>HYPERLINK("http://www.bing.com/maps/?lvl=14&amp;sty=h&amp;cp=36.8137~42.9158&amp;sp=point.36.8137_42.9158","Maplink3")</f>
        <v>Maplink3</v>
      </c>
    </row>
    <row r="1086" spans="1:48" ht="15" customHeight="1" x14ac:dyDescent="0.25">
      <c r="A1086" s="19">
        <v>25777</v>
      </c>
      <c r="B1086" s="20" t="s">
        <v>13</v>
      </c>
      <c r="C1086" s="20" t="s">
        <v>2082</v>
      </c>
      <c r="D1086" s="20" t="s">
        <v>2094</v>
      </c>
      <c r="E1086" s="20" t="s">
        <v>2095</v>
      </c>
      <c r="F1086" s="20">
        <v>36.8477301</v>
      </c>
      <c r="G1086" s="20">
        <v>42.905760170000001</v>
      </c>
      <c r="H1086" s="22">
        <v>24</v>
      </c>
      <c r="I1086" s="22">
        <v>144</v>
      </c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>
        <v>24</v>
      </c>
      <c r="W1086" s="21"/>
      <c r="X1086" s="21"/>
      <c r="Y1086" s="21"/>
      <c r="Z1086" s="21"/>
      <c r="AA1086" s="21"/>
      <c r="AB1086" s="21"/>
      <c r="AC1086" s="21">
        <v>3</v>
      </c>
      <c r="AD1086" s="21"/>
      <c r="AE1086" s="21"/>
      <c r="AF1086" s="21"/>
      <c r="AG1086" s="21"/>
      <c r="AH1086" s="21">
        <v>21</v>
      </c>
      <c r="AI1086" s="21"/>
      <c r="AJ1086" s="21"/>
      <c r="AK1086" s="21"/>
      <c r="AL1086" s="21"/>
      <c r="AM1086" s="21">
        <v>3</v>
      </c>
      <c r="AN1086" s="21">
        <v>21</v>
      </c>
      <c r="AO1086" s="21"/>
      <c r="AP1086" s="21"/>
      <c r="AQ1086" s="21"/>
      <c r="AR1086" s="21"/>
      <c r="AS1086" s="21"/>
      <c r="AT1086" s="12" t="str">
        <f>HYPERLINK("http://www.openstreetmap.org/?mlat=36.8477&amp;mlon=42.9058&amp;zoom=12#map=12/36.8477/42.9058","Maplink1")</f>
        <v>Maplink1</v>
      </c>
      <c r="AU1086" s="12" t="str">
        <f>HYPERLINK("https://www.google.iq/maps/search/+36.8477,42.9058/@36.8477,42.9058,14z?hl=en","Maplink2")</f>
        <v>Maplink2</v>
      </c>
      <c r="AV1086" s="12" t="str">
        <f>HYPERLINK("http://www.bing.com/maps/?lvl=14&amp;sty=h&amp;cp=36.8477~42.9058&amp;sp=point.36.8477_42.9058","Maplink3")</f>
        <v>Maplink3</v>
      </c>
    </row>
    <row r="1087" spans="1:48" ht="15" customHeight="1" x14ac:dyDescent="0.25">
      <c r="A1087" s="19">
        <v>26123</v>
      </c>
      <c r="B1087" s="20" t="s">
        <v>13</v>
      </c>
      <c r="C1087" s="20" t="s">
        <v>2082</v>
      </c>
      <c r="D1087" s="20" t="s">
        <v>2096</v>
      </c>
      <c r="E1087" s="20" t="s">
        <v>2097</v>
      </c>
      <c r="F1087" s="20">
        <v>36.79184961</v>
      </c>
      <c r="G1087" s="20">
        <v>42.915068650000002</v>
      </c>
      <c r="H1087" s="22">
        <v>563</v>
      </c>
      <c r="I1087" s="22">
        <v>3378</v>
      </c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>
        <v>556</v>
      </c>
      <c r="W1087" s="21"/>
      <c r="X1087" s="21">
        <v>7</v>
      </c>
      <c r="Y1087" s="21"/>
      <c r="Z1087" s="21"/>
      <c r="AA1087" s="21"/>
      <c r="AB1087" s="21"/>
      <c r="AC1087" s="21">
        <v>175</v>
      </c>
      <c r="AD1087" s="21"/>
      <c r="AE1087" s="21"/>
      <c r="AF1087" s="21"/>
      <c r="AG1087" s="21"/>
      <c r="AH1087" s="21">
        <v>378</v>
      </c>
      <c r="AI1087" s="21"/>
      <c r="AJ1087" s="21">
        <v>10</v>
      </c>
      <c r="AK1087" s="21"/>
      <c r="AL1087" s="21"/>
      <c r="AM1087" s="21">
        <v>387</v>
      </c>
      <c r="AN1087" s="21">
        <v>176</v>
      </c>
      <c r="AO1087" s="21"/>
      <c r="AP1087" s="21"/>
      <c r="AQ1087" s="21"/>
      <c r="AR1087" s="21"/>
      <c r="AS1087" s="21"/>
      <c r="AT1087" s="12" t="str">
        <f>HYPERLINK("http://www.openstreetmap.org/?mlat=36.7918&amp;mlon=42.9151&amp;zoom=12#map=12/36.7918/42.9151","Maplink1")</f>
        <v>Maplink1</v>
      </c>
      <c r="AU1087" s="12" t="str">
        <f>HYPERLINK("https://www.google.iq/maps/search/+36.7918,42.9151/@36.7918,42.9151,14z?hl=en","Maplink2")</f>
        <v>Maplink2</v>
      </c>
      <c r="AV1087" s="12" t="str">
        <f>HYPERLINK("http://www.bing.com/maps/?lvl=14&amp;sty=h&amp;cp=36.7918~42.9151&amp;sp=point.36.7918_42.9151","Maplink3")</f>
        <v>Maplink3</v>
      </c>
    </row>
    <row r="1088" spans="1:48" ht="15" customHeight="1" x14ac:dyDescent="0.25">
      <c r="A1088" s="19">
        <v>26122</v>
      </c>
      <c r="B1088" s="20" t="s">
        <v>13</v>
      </c>
      <c r="C1088" s="20" t="s">
        <v>2082</v>
      </c>
      <c r="D1088" s="20" t="s">
        <v>2098</v>
      </c>
      <c r="E1088" s="20" t="s">
        <v>2099</v>
      </c>
      <c r="F1088" s="20">
        <v>36.799747369999999</v>
      </c>
      <c r="G1088" s="20">
        <v>42.914262440000002</v>
      </c>
      <c r="H1088" s="22">
        <v>227</v>
      </c>
      <c r="I1088" s="22">
        <v>1362</v>
      </c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>
        <v>223</v>
      </c>
      <c r="W1088" s="21"/>
      <c r="X1088" s="21">
        <v>4</v>
      </c>
      <c r="Y1088" s="21"/>
      <c r="Z1088" s="21"/>
      <c r="AA1088" s="21"/>
      <c r="AB1088" s="21"/>
      <c r="AC1088" s="21">
        <v>51</v>
      </c>
      <c r="AD1088" s="21"/>
      <c r="AE1088" s="21"/>
      <c r="AF1088" s="21"/>
      <c r="AG1088" s="21"/>
      <c r="AH1088" s="21">
        <v>176</v>
      </c>
      <c r="AI1088" s="21"/>
      <c r="AJ1088" s="21"/>
      <c r="AK1088" s="21"/>
      <c r="AL1088" s="21"/>
      <c r="AM1088" s="21">
        <v>144</v>
      </c>
      <c r="AN1088" s="21">
        <v>83</v>
      </c>
      <c r="AO1088" s="21"/>
      <c r="AP1088" s="21"/>
      <c r="AQ1088" s="21"/>
      <c r="AR1088" s="21"/>
      <c r="AS1088" s="21"/>
      <c r="AT1088" s="12" t="str">
        <f>HYPERLINK("http://www.openstreetmap.org/?mlat=36.7997&amp;mlon=42.9143&amp;zoom=12#map=12/36.7997/42.9143","Maplink1")</f>
        <v>Maplink1</v>
      </c>
      <c r="AU1088" s="12" t="str">
        <f>HYPERLINK("https://www.google.iq/maps/search/+36.7997,42.9143/@36.7997,42.9143,14z?hl=en","Maplink2")</f>
        <v>Maplink2</v>
      </c>
      <c r="AV1088" s="12" t="str">
        <f>HYPERLINK("http://www.bing.com/maps/?lvl=14&amp;sty=h&amp;cp=36.7997~42.9143&amp;sp=point.36.7997_42.9143","Maplink3")</f>
        <v>Maplink3</v>
      </c>
    </row>
    <row r="1089" spans="1:48" ht="15" customHeight="1" x14ac:dyDescent="0.25">
      <c r="A1089" s="19">
        <v>8239</v>
      </c>
      <c r="B1089" s="20" t="s">
        <v>13</v>
      </c>
      <c r="C1089" s="20" t="s">
        <v>2082</v>
      </c>
      <c r="D1089" s="20" t="s">
        <v>2100</v>
      </c>
      <c r="E1089" s="20" t="s">
        <v>2101</v>
      </c>
      <c r="F1089" s="20">
        <v>36.761589999999998</v>
      </c>
      <c r="G1089" s="20">
        <v>42.927162969999998</v>
      </c>
      <c r="H1089" s="22">
        <v>386</v>
      </c>
      <c r="I1089" s="22">
        <v>2316</v>
      </c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>
        <v>386</v>
      </c>
      <c r="W1089" s="21"/>
      <c r="X1089" s="21"/>
      <c r="Y1089" s="21"/>
      <c r="Z1089" s="21"/>
      <c r="AA1089" s="21"/>
      <c r="AB1089" s="21"/>
      <c r="AC1089" s="21">
        <v>20</v>
      </c>
      <c r="AD1089" s="21"/>
      <c r="AE1089" s="21"/>
      <c r="AF1089" s="21"/>
      <c r="AG1089" s="21"/>
      <c r="AH1089" s="21">
        <v>364</v>
      </c>
      <c r="AI1089" s="21"/>
      <c r="AJ1089" s="21">
        <v>2</v>
      </c>
      <c r="AK1089" s="21"/>
      <c r="AL1089" s="21"/>
      <c r="AM1089" s="21">
        <v>268</v>
      </c>
      <c r="AN1089" s="21">
        <v>77</v>
      </c>
      <c r="AO1089" s="21"/>
      <c r="AP1089" s="21"/>
      <c r="AQ1089" s="21"/>
      <c r="AR1089" s="21"/>
      <c r="AS1089" s="21">
        <v>41</v>
      </c>
      <c r="AT1089" s="12" t="str">
        <f>HYPERLINK("http://www.openstreetmap.org/?mlat=36.7616&amp;mlon=42.9272&amp;zoom=12#map=12/36.7616/42.9272","Maplink1")</f>
        <v>Maplink1</v>
      </c>
      <c r="AU1089" s="12" t="str">
        <f>HYPERLINK("https://www.google.iq/maps/search/+36.7616,42.9272/@36.7616,42.9272,14z?hl=en","Maplink2")</f>
        <v>Maplink2</v>
      </c>
      <c r="AV1089" s="12" t="str">
        <f>HYPERLINK("http://www.bing.com/maps/?lvl=14&amp;sty=h&amp;cp=36.7616~42.9272&amp;sp=point.36.7616_42.9272","Maplink3")</f>
        <v>Maplink3</v>
      </c>
    </row>
    <row r="1090" spans="1:48" ht="15" customHeight="1" x14ac:dyDescent="0.25">
      <c r="A1090" s="19">
        <v>8246</v>
      </c>
      <c r="B1090" s="20" t="s">
        <v>13</v>
      </c>
      <c r="C1090" s="20" t="s">
        <v>2082</v>
      </c>
      <c r="D1090" s="20" t="s">
        <v>2102</v>
      </c>
      <c r="E1090" s="20" t="s">
        <v>2103</v>
      </c>
      <c r="F1090" s="20">
        <v>36.992769170000003</v>
      </c>
      <c r="G1090" s="20">
        <v>42.599156100000002</v>
      </c>
      <c r="H1090" s="22">
        <v>72</v>
      </c>
      <c r="I1090" s="22">
        <v>432</v>
      </c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>
        <v>72</v>
      </c>
      <c r="W1090" s="21"/>
      <c r="X1090" s="21"/>
      <c r="Y1090" s="21"/>
      <c r="Z1090" s="21"/>
      <c r="AA1090" s="21"/>
      <c r="AB1090" s="21"/>
      <c r="AC1090" s="21">
        <v>60</v>
      </c>
      <c r="AD1090" s="21"/>
      <c r="AE1090" s="21"/>
      <c r="AF1090" s="21"/>
      <c r="AG1090" s="21"/>
      <c r="AH1090" s="21"/>
      <c r="AI1090" s="21"/>
      <c r="AJ1090" s="21">
        <v>12</v>
      </c>
      <c r="AK1090" s="21"/>
      <c r="AL1090" s="21"/>
      <c r="AM1090" s="21">
        <v>13</v>
      </c>
      <c r="AN1090" s="21">
        <v>42</v>
      </c>
      <c r="AO1090" s="21"/>
      <c r="AP1090" s="21"/>
      <c r="AQ1090" s="21"/>
      <c r="AR1090" s="21"/>
      <c r="AS1090" s="21">
        <v>17</v>
      </c>
      <c r="AT1090" s="12" t="str">
        <f>HYPERLINK("http://www.openstreetmap.org/?mlat=36.9928&amp;mlon=42.5992&amp;zoom=12#map=12/36.9928/42.5992","Maplink1")</f>
        <v>Maplink1</v>
      </c>
      <c r="AU1090" s="12" t="str">
        <f>HYPERLINK("https://www.google.iq/maps/search/+36.9928,42.5992/@36.9928,42.5992,14z?hl=en","Maplink2")</f>
        <v>Maplink2</v>
      </c>
      <c r="AV1090" s="12" t="str">
        <f>HYPERLINK("http://www.bing.com/maps/?lvl=14&amp;sty=h&amp;cp=36.9928~42.5992&amp;sp=point.36.9928_42.5992","Maplink3")</f>
        <v>Maplink3</v>
      </c>
    </row>
    <row r="1091" spans="1:48" ht="15" customHeight="1" x14ac:dyDescent="0.25">
      <c r="A1091" s="19">
        <v>27126</v>
      </c>
      <c r="B1091" s="20" t="s">
        <v>13</v>
      </c>
      <c r="C1091" s="20" t="s">
        <v>2082</v>
      </c>
      <c r="D1091" s="20" t="s">
        <v>2104</v>
      </c>
      <c r="E1091" s="20" t="s">
        <v>2105</v>
      </c>
      <c r="F1091" s="20">
        <v>36.777069849999997</v>
      </c>
      <c r="G1091" s="20">
        <v>42.787169429999999</v>
      </c>
      <c r="H1091" s="22">
        <v>200</v>
      </c>
      <c r="I1091" s="22">
        <v>1200</v>
      </c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>
        <v>200</v>
      </c>
      <c r="W1091" s="21"/>
      <c r="X1091" s="21"/>
      <c r="Y1091" s="21"/>
      <c r="Z1091" s="21"/>
      <c r="AA1091" s="21"/>
      <c r="AB1091" s="21"/>
      <c r="AC1091" s="21">
        <v>47</v>
      </c>
      <c r="AD1091" s="21"/>
      <c r="AE1091" s="21"/>
      <c r="AF1091" s="21"/>
      <c r="AG1091" s="21"/>
      <c r="AH1091" s="21">
        <v>10</v>
      </c>
      <c r="AI1091" s="21"/>
      <c r="AJ1091" s="21">
        <v>143</v>
      </c>
      <c r="AK1091" s="21"/>
      <c r="AL1091" s="21"/>
      <c r="AM1091" s="21"/>
      <c r="AN1091" s="21">
        <v>200</v>
      </c>
      <c r="AO1091" s="21"/>
      <c r="AP1091" s="21"/>
      <c r="AQ1091" s="21"/>
      <c r="AR1091" s="21"/>
      <c r="AS1091" s="21"/>
      <c r="AT1091" s="12" t="str">
        <f>HYPERLINK("http://www.openstreetmap.org/?mlat=36.7771&amp;mlon=42.7872&amp;zoom=12#map=12/36.7771/42.7872","Maplink1")</f>
        <v>Maplink1</v>
      </c>
      <c r="AU1091" s="12" t="str">
        <f>HYPERLINK("https://www.google.iq/maps/search/+36.7771,42.7872/@36.7771,42.7872,14z?hl=en","Maplink2")</f>
        <v>Maplink2</v>
      </c>
      <c r="AV1091" s="12" t="str">
        <f>HYPERLINK("http://www.bing.com/maps/?lvl=14&amp;sty=h&amp;cp=36.7771~42.7872&amp;sp=point.36.7771_42.7872","Maplink3")</f>
        <v>Maplink3</v>
      </c>
    </row>
    <row r="1092" spans="1:48" ht="15" customHeight="1" x14ac:dyDescent="0.25">
      <c r="A1092" s="19">
        <v>25778</v>
      </c>
      <c r="B1092" s="20" t="s">
        <v>13</v>
      </c>
      <c r="C1092" s="20" t="s">
        <v>2082</v>
      </c>
      <c r="D1092" s="20" t="s">
        <v>2106</v>
      </c>
      <c r="E1092" s="20" t="s">
        <v>2107</v>
      </c>
      <c r="F1092" s="20">
        <v>36.8737314818</v>
      </c>
      <c r="G1092" s="20">
        <v>42.887609592899999</v>
      </c>
      <c r="H1092" s="22">
        <v>21</v>
      </c>
      <c r="I1092" s="22">
        <v>126</v>
      </c>
      <c r="J1092" s="21"/>
      <c r="K1092" s="21"/>
      <c r="L1092" s="21"/>
      <c r="M1092" s="21"/>
      <c r="N1092" s="21"/>
      <c r="O1092" s="21"/>
      <c r="P1092" s="21"/>
      <c r="Q1092" s="21"/>
      <c r="R1092" s="21">
        <v>1</v>
      </c>
      <c r="S1092" s="21"/>
      <c r="T1092" s="21"/>
      <c r="U1092" s="21"/>
      <c r="V1092" s="21">
        <v>20</v>
      </c>
      <c r="W1092" s="21"/>
      <c r="X1092" s="21"/>
      <c r="Y1092" s="21"/>
      <c r="Z1092" s="21"/>
      <c r="AA1092" s="21"/>
      <c r="AB1092" s="21"/>
      <c r="AC1092" s="21">
        <v>2</v>
      </c>
      <c r="AD1092" s="21"/>
      <c r="AE1092" s="21"/>
      <c r="AF1092" s="21"/>
      <c r="AG1092" s="21"/>
      <c r="AH1092" s="21">
        <v>5</v>
      </c>
      <c r="AI1092" s="21"/>
      <c r="AJ1092" s="21">
        <v>14</v>
      </c>
      <c r="AK1092" s="21"/>
      <c r="AL1092" s="21"/>
      <c r="AM1092" s="21"/>
      <c r="AN1092" s="21">
        <v>14</v>
      </c>
      <c r="AO1092" s="21"/>
      <c r="AP1092" s="21"/>
      <c r="AQ1092" s="21"/>
      <c r="AR1092" s="21"/>
      <c r="AS1092" s="21">
        <v>7</v>
      </c>
      <c r="AT1092" s="12" t="str">
        <f>HYPERLINK("http://www.openstreetmap.org/?mlat=36.8737&amp;mlon=42.8876&amp;zoom=12#map=12/36.8737/42.8876","Maplink1")</f>
        <v>Maplink1</v>
      </c>
      <c r="AU1092" s="12" t="str">
        <f>HYPERLINK("https://www.google.iq/maps/search/+36.8737,42.8876/@36.8737,42.8876,14z?hl=en","Maplink2")</f>
        <v>Maplink2</v>
      </c>
      <c r="AV1092" s="12" t="str">
        <f>HYPERLINK("http://www.bing.com/maps/?lvl=14&amp;sty=h&amp;cp=36.8737~42.8876&amp;sp=point.36.8737_42.8876","Maplink3")</f>
        <v>Maplink3</v>
      </c>
    </row>
    <row r="1093" spans="1:48" ht="15" customHeight="1" x14ac:dyDescent="0.25">
      <c r="A1093" s="19">
        <v>8015</v>
      </c>
      <c r="B1093" s="20" t="s">
        <v>13</v>
      </c>
      <c r="C1093" s="20" t="s">
        <v>2082</v>
      </c>
      <c r="D1093" s="20" t="s">
        <v>2108</v>
      </c>
      <c r="E1093" s="20" t="s">
        <v>2109</v>
      </c>
      <c r="F1093" s="20">
        <v>36.77843</v>
      </c>
      <c r="G1093" s="20">
        <v>42.785490000000003</v>
      </c>
      <c r="H1093" s="22">
        <v>197</v>
      </c>
      <c r="I1093" s="22">
        <v>1182</v>
      </c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>
        <v>197</v>
      </c>
      <c r="W1093" s="21"/>
      <c r="X1093" s="21"/>
      <c r="Y1093" s="21"/>
      <c r="Z1093" s="21"/>
      <c r="AA1093" s="21"/>
      <c r="AB1093" s="21"/>
      <c r="AC1093" s="21">
        <v>73</v>
      </c>
      <c r="AD1093" s="21"/>
      <c r="AE1093" s="21"/>
      <c r="AF1093" s="21"/>
      <c r="AG1093" s="21"/>
      <c r="AH1093" s="21">
        <v>77</v>
      </c>
      <c r="AI1093" s="21"/>
      <c r="AJ1093" s="21">
        <v>47</v>
      </c>
      <c r="AK1093" s="21"/>
      <c r="AL1093" s="21"/>
      <c r="AM1093" s="21"/>
      <c r="AN1093" s="21">
        <v>197</v>
      </c>
      <c r="AO1093" s="21"/>
      <c r="AP1093" s="21"/>
      <c r="AQ1093" s="21"/>
      <c r="AR1093" s="21"/>
      <c r="AS1093" s="21"/>
      <c r="AT1093" s="12" t="str">
        <f>HYPERLINK("http://www.openstreetmap.org/?mlat=36.7784&amp;mlon=42.7855&amp;zoom=12#map=12/36.7784/42.7855","Maplink1")</f>
        <v>Maplink1</v>
      </c>
      <c r="AU1093" s="12" t="str">
        <f>HYPERLINK("https://www.google.iq/maps/search/+36.7784,42.7855/@36.7784,42.7855,14z?hl=en","Maplink2")</f>
        <v>Maplink2</v>
      </c>
      <c r="AV1093" s="12" t="str">
        <f>HYPERLINK("http://www.bing.com/maps/?lvl=14&amp;sty=h&amp;cp=36.7784~42.7855&amp;sp=point.36.7784_42.7855","Maplink3")</f>
        <v>Maplink3</v>
      </c>
    </row>
    <row r="1094" spans="1:48" ht="15" customHeight="1" x14ac:dyDescent="0.25">
      <c r="A1094" s="19">
        <v>24794</v>
      </c>
      <c r="B1094" s="20" t="s">
        <v>13</v>
      </c>
      <c r="C1094" s="20" t="s">
        <v>2082</v>
      </c>
      <c r="D1094" s="20" t="s">
        <v>2110</v>
      </c>
      <c r="E1094" s="20" t="s">
        <v>2111</v>
      </c>
      <c r="F1094" s="20">
        <v>36.790031999999997</v>
      </c>
      <c r="G1094" s="20">
        <v>42.855871</v>
      </c>
      <c r="H1094" s="22">
        <v>2543</v>
      </c>
      <c r="I1094" s="22">
        <v>15258</v>
      </c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>
        <v>2543</v>
      </c>
      <c r="W1094" s="21"/>
      <c r="X1094" s="21"/>
      <c r="Y1094" s="21"/>
      <c r="Z1094" s="21"/>
      <c r="AA1094" s="21"/>
      <c r="AB1094" s="21">
        <v>2543</v>
      </c>
      <c r="AC1094" s="21"/>
      <c r="AD1094" s="21"/>
      <c r="AE1094" s="21"/>
      <c r="AF1094" s="21"/>
      <c r="AG1094" s="21"/>
      <c r="AH1094" s="21"/>
      <c r="AI1094" s="21"/>
      <c r="AJ1094" s="21"/>
      <c r="AK1094" s="21"/>
      <c r="AL1094" s="21"/>
      <c r="AM1094" s="21">
        <v>45</v>
      </c>
      <c r="AN1094" s="21">
        <v>2494</v>
      </c>
      <c r="AO1094" s="21"/>
      <c r="AP1094" s="21"/>
      <c r="AQ1094" s="21"/>
      <c r="AR1094" s="21"/>
      <c r="AS1094" s="21">
        <v>4</v>
      </c>
      <c r="AT1094" s="12" t="str">
        <f>HYPERLINK("http://www.openstreetmap.org/?mlat=36.79&amp;mlon=42.8559&amp;zoom=12#map=12/36.79/42.8559","Maplink1")</f>
        <v>Maplink1</v>
      </c>
      <c r="AU1094" s="12" t="str">
        <f>HYPERLINK("https://www.google.iq/maps/search/+36.79,42.8559/@36.79,42.8559,14z?hl=en","Maplink2")</f>
        <v>Maplink2</v>
      </c>
      <c r="AV1094" s="12" t="str">
        <f>HYPERLINK("http://www.bing.com/maps/?lvl=14&amp;sty=h&amp;cp=36.79~42.8559&amp;sp=point.36.79_42.8559","Maplink3")</f>
        <v>Maplink3</v>
      </c>
    </row>
    <row r="1095" spans="1:48" ht="15" customHeight="1" x14ac:dyDescent="0.25">
      <c r="A1095" s="19">
        <v>24795</v>
      </c>
      <c r="B1095" s="20" t="s">
        <v>13</v>
      </c>
      <c r="C1095" s="20" t="s">
        <v>2082</v>
      </c>
      <c r="D1095" s="20" t="s">
        <v>2112</v>
      </c>
      <c r="E1095" s="20" t="s">
        <v>2113</v>
      </c>
      <c r="F1095" s="20">
        <v>36.786707999999997</v>
      </c>
      <c r="G1095" s="20">
        <v>42.853935999999997</v>
      </c>
      <c r="H1095" s="22">
        <v>2582</v>
      </c>
      <c r="I1095" s="22">
        <v>15492</v>
      </c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>
        <v>2582</v>
      </c>
      <c r="W1095" s="21"/>
      <c r="X1095" s="21"/>
      <c r="Y1095" s="21"/>
      <c r="Z1095" s="21"/>
      <c r="AA1095" s="21"/>
      <c r="AB1095" s="21">
        <v>2582</v>
      </c>
      <c r="AC1095" s="21"/>
      <c r="AD1095" s="21"/>
      <c r="AE1095" s="21"/>
      <c r="AF1095" s="21"/>
      <c r="AG1095" s="21"/>
      <c r="AH1095" s="21"/>
      <c r="AI1095" s="21"/>
      <c r="AJ1095" s="21"/>
      <c r="AK1095" s="21"/>
      <c r="AL1095" s="21"/>
      <c r="AM1095" s="21"/>
      <c r="AN1095" s="21">
        <v>2578</v>
      </c>
      <c r="AO1095" s="21"/>
      <c r="AP1095" s="21"/>
      <c r="AQ1095" s="21"/>
      <c r="AR1095" s="21"/>
      <c r="AS1095" s="21">
        <v>4</v>
      </c>
      <c r="AT1095" s="12" t="str">
        <f>HYPERLINK("http://www.openstreetmap.org/?mlat=36.7867&amp;mlon=42.8539&amp;zoom=12#map=12/36.7867/42.8539","Maplink1")</f>
        <v>Maplink1</v>
      </c>
      <c r="AU1095" s="12" t="str">
        <f>HYPERLINK("https://www.google.iq/maps/search/+36.7867,42.8539/@36.7867,42.8539,14z?hl=en","Maplink2")</f>
        <v>Maplink2</v>
      </c>
      <c r="AV1095" s="12" t="str">
        <f>HYPERLINK("http://www.bing.com/maps/?lvl=14&amp;sty=h&amp;cp=36.7867~42.8539&amp;sp=point.36.7867_42.8539","Maplink3")</f>
        <v>Maplink3</v>
      </c>
    </row>
    <row r="1096" spans="1:48" ht="15" customHeight="1" x14ac:dyDescent="0.25">
      <c r="A1096" s="19">
        <v>27128</v>
      </c>
      <c r="B1096" s="20" t="s">
        <v>13</v>
      </c>
      <c r="C1096" s="20" t="s">
        <v>2082</v>
      </c>
      <c r="D1096" s="20" t="s">
        <v>2114</v>
      </c>
      <c r="E1096" s="20" t="s">
        <v>2115</v>
      </c>
      <c r="F1096" s="20">
        <v>36.766622849999997</v>
      </c>
      <c r="G1096" s="20">
        <v>42.76499226</v>
      </c>
      <c r="H1096" s="22">
        <v>41</v>
      </c>
      <c r="I1096" s="22">
        <v>246</v>
      </c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>
        <v>41</v>
      </c>
      <c r="W1096" s="21"/>
      <c r="X1096" s="21"/>
      <c r="Y1096" s="21"/>
      <c r="Z1096" s="21"/>
      <c r="AA1096" s="21"/>
      <c r="AB1096" s="21"/>
      <c r="AC1096" s="21">
        <v>7</v>
      </c>
      <c r="AD1096" s="21"/>
      <c r="AE1096" s="21"/>
      <c r="AF1096" s="21"/>
      <c r="AG1096" s="21"/>
      <c r="AH1096" s="21">
        <v>29</v>
      </c>
      <c r="AI1096" s="21"/>
      <c r="AJ1096" s="21">
        <v>5</v>
      </c>
      <c r="AK1096" s="21"/>
      <c r="AL1096" s="21"/>
      <c r="AM1096" s="21"/>
      <c r="AN1096" s="21">
        <v>41</v>
      </c>
      <c r="AO1096" s="21"/>
      <c r="AP1096" s="21"/>
      <c r="AQ1096" s="21"/>
      <c r="AR1096" s="21"/>
      <c r="AS1096" s="21"/>
      <c r="AT1096" s="12" t="str">
        <f>HYPERLINK("http://www.openstreetmap.org/?mlat=36.7666&amp;mlon=42.765&amp;zoom=12#map=12/36.7666/42.765","Maplink1")</f>
        <v>Maplink1</v>
      </c>
      <c r="AU1096" s="12" t="str">
        <f>HYPERLINK("https://www.google.iq/maps/search/+36.7666,42.765/@36.7666,42.765,14z?hl=en","Maplink2")</f>
        <v>Maplink2</v>
      </c>
      <c r="AV1096" s="12" t="str">
        <f>HYPERLINK("http://www.bing.com/maps/?lvl=14&amp;sty=h&amp;cp=36.7666~42.765&amp;sp=point.36.7666_42.765","Maplink3")</f>
        <v>Maplink3</v>
      </c>
    </row>
    <row r="1097" spans="1:48" ht="15" customHeight="1" x14ac:dyDescent="0.25">
      <c r="A1097" s="19">
        <v>29614</v>
      </c>
      <c r="B1097" s="20" t="s">
        <v>13</v>
      </c>
      <c r="C1097" s="20" t="s">
        <v>2082</v>
      </c>
      <c r="D1097" s="20" t="s">
        <v>2116</v>
      </c>
      <c r="E1097" s="20" t="s">
        <v>2117</v>
      </c>
      <c r="F1097" s="20">
        <v>36.891506</v>
      </c>
      <c r="G1097" s="20">
        <v>42.799025999999998</v>
      </c>
      <c r="H1097" s="22">
        <v>161</v>
      </c>
      <c r="I1097" s="22">
        <v>966</v>
      </c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>
        <v>161</v>
      </c>
      <c r="W1097" s="21"/>
      <c r="X1097" s="21"/>
      <c r="Y1097" s="21"/>
      <c r="Z1097" s="21"/>
      <c r="AA1097" s="21"/>
      <c r="AB1097" s="21"/>
      <c r="AC1097" s="21">
        <v>9</v>
      </c>
      <c r="AD1097" s="21"/>
      <c r="AE1097" s="21"/>
      <c r="AF1097" s="21"/>
      <c r="AG1097" s="21"/>
      <c r="AH1097" s="21">
        <v>152</v>
      </c>
      <c r="AI1097" s="21"/>
      <c r="AJ1097" s="21"/>
      <c r="AK1097" s="21"/>
      <c r="AL1097" s="21"/>
      <c r="AM1097" s="21">
        <v>27</v>
      </c>
      <c r="AN1097" s="21">
        <v>110</v>
      </c>
      <c r="AO1097" s="21"/>
      <c r="AP1097" s="21"/>
      <c r="AQ1097" s="21"/>
      <c r="AR1097" s="21"/>
      <c r="AS1097" s="21">
        <v>24</v>
      </c>
      <c r="AT1097" s="12" t="str">
        <f>HYPERLINK("http://www.openstreetmap.org/?mlat=36.8915&amp;mlon=42.799&amp;zoom=12#map=12/36.8915/42.799","Maplink1")</f>
        <v>Maplink1</v>
      </c>
      <c r="AU1097" s="12" t="str">
        <f>HYPERLINK("https://www.google.iq/maps/search/+36.8915,42.799/@36.8915,42.799,14z?hl=en","Maplink2")</f>
        <v>Maplink2</v>
      </c>
      <c r="AV1097" s="12" t="str">
        <f>HYPERLINK("http://www.bing.com/maps/?lvl=14&amp;sty=h&amp;cp=36.8915~42.799&amp;sp=point.36.8915_42.799","Maplink3")</f>
        <v>Maplink3</v>
      </c>
    </row>
    <row r="1098" spans="1:48" ht="15" customHeight="1" x14ac:dyDescent="0.25">
      <c r="A1098" s="19">
        <v>8656</v>
      </c>
      <c r="B1098" s="20" t="s">
        <v>13</v>
      </c>
      <c r="C1098" s="20" t="s">
        <v>2082</v>
      </c>
      <c r="D1098" s="20" t="s">
        <v>2118</v>
      </c>
      <c r="E1098" s="20" t="s">
        <v>2119</v>
      </c>
      <c r="F1098" s="20">
        <v>36.779114</v>
      </c>
      <c r="G1098" s="20">
        <v>42.776341000000002</v>
      </c>
      <c r="H1098" s="22">
        <v>2833</v>
      </c>
      <c r="I1098" s="22">
        <v>16998</v>
      </c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>
        <v>2833</v>
      </c>
      <c r="W1098" s="21"/>
      <c r="X1098" s="21"/>
      <c r="Y1098" s="21"/>
      <c r="Z1098" s="21"/>
      <c r="AA1098" s="21"/>
      <c r="AB1098" s="21">
        <v>2833</v>
      </c>
      <c r="AC1098" s="21"/>
      <c r="AD1098" s="21"/>
      <c r="AE1098" s="21"/>
      <c r="AF1098" s="21"/>
      <c r="AG1098" s="21"/>
      <c r="AH1098" s="21"/>
      <c r="AI1098" s="21"/>
      <c r="AJ1098" s="21"/>
      <c r="AK1098" s="21"/>
      <c r="AL1098" s="21"/>
      <c r="AM1098" s="21"/>
      <c r="AN1098" s="21">
        <v>2833</v>
      </c>
      <c r="AO1098" s="21"/>
      <c r="AP1098" s="21"/>
      <c r="AQ1098" s="21"/>
      <c r="AR1098" s="21"/>
      <c r="AS1098" s="21"/>
      <c r="AT1098" s="12" t="str">
        <f>HYPERLINK("http://www.openstreetmap.org/?mlat=36.7791&amp;mlon=42.7763&amp;zoom=12#map=12/36.7791/42.7763","Maplink1")</f>
        <v>Maplink1</v>
      </c>
      <c r="AU1098" s="12" t="str">
        <f>HYPERLINK("https://www.google.iq/maps/search/+36.7791,42.7763/@36.7791,42.7763,14z?hl=en","Maplink2")</f>
        <v>Maplink2</v>
      </c>
      <c r="AV1098" s="12" t="str">
        <f>HYPERLINK("http://www.bing.com/maps/?lvl=14&amp;sty=h&amp;cp=36.7791~42.7763&amp;sp=point.36.7791_42.7763","Maplink3")</f>
        <v>Maplink3</v>
      </c>
    </row>
    <row r="1099" spans="1:48" ht="15" customHeight="1" x14ac:dyDescent="0.25">
      <c r="A1099" s="19">
        <v>27121</v>
      </c>
      <c r="B1099" s="20" t="s">
        <v>13</v>
      </c>
      <c r="C1099" s="20" t="s">
        <v>2082</v>
      </c>
      <c r="D1099" s="20" t="s">
        <v>2120</v>
      </c>
      <c r="E1099" s="20" t="s">
        <v>2121</v>
      </c>
      <c r="F1099" s="20">
        <v>36.769121370000001</v>
      </c>
      <c r="G1099" s="20">
        <v>42.774502949999999</v>
      </c>
      <c r="H1099" s="22">
        <v>359</v>
      </c>
      <c r="I1099" s="22">
        <v>2154</v>
      </c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>
        <v>359</v>
      </c>
      <c r="W1099" s="21"/>
      <c r="X1099" s="21"/>
      <c r="Y1099" s="21"/>
      <c r="Z1099" s="21"/>
      <c r="AA1099" s="21"/>
      <c r="AB1099" s="21"/>
      <c r="AC1099" s="21">
        <v>16</v>
      </c>
      <c r="AD1099" s="21"/>
      <c r="AE1099" s="21">
        <v>74</v>
      </c>
      <c r="AF1099" s="21"/>
      <c r="AG1099" s="21"/>
      <c r="AH1099" s="21">
        <v>9</v>
      </c>
      <c r="AI1099" s="21"/>
      <c r="AJ1099" s="21">
        <v>260</v>
      </c>
      <c r="AK1099" s="21"/>
      <c r="AL1099" s="21"/>
      <c r="AM1099" s="21"/>
      <c r="AN1099" s="21">
        <v>350</v>
      </c>
      <c r="AO1099" s="21"/>
      <c r="AP1099" s="21"/>
      <c r="AQ1099" s="21"/>
      <c r="AR1099" s="21"/>
      <c r="AS1099" s="21">
        <v>9</v>
      </c>
      <c r="AT1099" s="12" t="str">
        <f>HYPERLINK("http://www.openstreetmap.org/?mlat=36.7691&amp;mlon=42.7745&amp;zoom=12#map=12/36.7691/42.7745","Maplink1")</f>
        <v>Maplink1</v>
      </c>
      <c r="AU1099" s="12" t="str">
        <f>HYPERLINK("https://www.google.iq/maps/search/+36.7691,42.7745/@36.7691,42.7745,14z?hl=en","Maplink2")</f>
        <v>Maplink2</v>
      </c>
      <c r="AV1099" s="12" t="str">
        <f>HYPERLINK("http://www.bing.com/maps/?lvl=14&amp;sty=h&amp;cp=36.7691~42.7745&amp;sp=point.36.7691_42.7745","Maplink3")</f>
        <v>Maplink3</v>
      </c>
    </row>
    <row r="1100" spans="1:48" ht="15" customHeight="1" x14ac:dyDescent="0.25">
      <c r="A1100" s="19">
        <v>8800</v>
      </c>
      <c r="B1100" s="20" t="s">
        <v>13</v>
      </c>
      <c r="C1100" s="20" t="s">
        <v>2082</v>
      </c>
      <c r="D1100" s="20" t="s">
        <v>2122</v>
      </c>
      <c r="E1100" s="20" t="s">
        <v>2123</v>
      </c>
      <c r="F1100" s="20">
        <v>36.77583448</v>
      </c>
      <c r="G1100" s="20">
        <v>42.784449090000003</v>
      </c>
      <c r="H1100" s="22">
        <v>288</v>
      </c>
      <c r="I1100" s="22">
        <v>1728</v>
      </c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>
        <v>288</v>
      </c>
      <c r="W1100" s="21"/>
      <c r="X1100" s="21"/>
      <c r="Y1100" s="21"/>
      <c r="Z1100" s="21"/>
      <c r="AA1100" s="21"/>
      <c r="AB1100" s="21"/>
      <c r="AC1100" s="21">
        <v>48</v>
      </c>
      <c r="AD1100" s="21"/>
      <c r="AE1100" s="21">
        <v>6</v>
      </c>
      <c r="AF1100" s="21"/>
      <c r="AG1100" s="21"/>
      <c r="AH1100" s="21">
        <v>15</v>
      </c>
      <c r="AI1100" s="21"/>
      <c r="AJ1100" s="21">
        <v>219</v>
      </c>
      <c r="AK1100" s="21"/>
      <c r="AL1100" s="21"/>
      <c r="AM1100" s="21"/>
      <c r="AN1100" s="21">
        <v>288</v>
      </c>
      <c r="AO1100" s="21"/>
      <c r="AP1100" s="21"/>
      <c r="AQ1100" s="21"/>
      <c r="AR1100" s="21"/>
      <c r="AS1100" s="21"/>
      <c r="AT1100" s="12" t="str">
        <f>HYPERLINK("http://www.openstreetmap.org/?mlat=36.7758&amp;mlon=42.7844&amp;zoom=12#map=12/36.7758/42.7844","Maplink1")</f>
        <v>Maplink1</v>
      </c>
      <c r="AU1100" s="12" t="str">
        <f>HYPERLINK("https://www.google.iq/maps/search/+36.7758,42.7844/@36.7758,42.7844,14z?hl=en","Maplink2")</f>
        <v>Maplink2</v>
      </c>
      <c r="AV1100" s="12" t="str">
        <f>HYPERLINK("http://www.bing.com/maps/?lvl=14&amp;sty=h&amp;cp=36.7758~42.7844&amp;sp=point.36.7758_42.7844","Maplink3")</f>
        <v>Maplink3</v>
      </c>
    </row>
    <row r="1101" spans="1:48" ht="15" customHeight="1" x14ac:dyDescent="0.25">
      <c r="A1101" s="19">
        <v>8013</v>
      </c>
      <c r="B1101" s="20" t="s">
        <v>13</v>
      </c>
      <c r="C1101" s="20" t="s">
        <v>2082</v>
      </c>
      <c r="D1101" s="20" t="s">
        <v>2124</v>
      </c>
      <c r="E1101" s="20" t="s">
        <v>2125</v>
      </c>
      <c r="F1101" s="20">
        <v>36.910196999999997</v>
      </c>
      <c r="G1101" s="20">
        <v>42.793644999999998</v>
      </c>
      <c r="H1101" s="22">
        <v>88</v>
      </c>
      <c r="I1101" s="22">
        <v>528</v>
      </c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>
        <v>88</v>
      </c>
      <c r="W1101" s="21"/>
      <c r="X1101" s="21"/>
      <c r="Y1101" s="21"/>
      <c r="Z1101" s="21"/>
      <c r="AA1101" s="21"/>
      <c r="AB1101" s="21"/>
      <c r="AC1101" s="21">
        <v>23</v>
      </c>
      <c r="AD1101" s="21"/>
      <c r="AE1101" s="21"/>
      <c r="AF1101" s="21"/>
      <c r="AG1101" s="21"/>
      <c r="AH1101" s="21">
        <v>62</v>
      </c>
      <c r="AI1101" s="21"/>
      <c r="AJ1101" s="21">
        <v>3</v>
      </c>
      <c r="AK1101" s="21"/>
      <c r="AL1101" s="21"/>
      <c r="AM1101" s="21">
        <v>10</v>
      </c>
      <c r="AN1101" s="21">
        <v>42</v>
      </c>
      <c r="AO1101" s="21"/>
      <c r="AP1101" s="21"/>
      <c r="AQ1101" s="21"/>
      <c r="AR1101" s="21"/>
      <c r="AS1101" s="21">
        <v>36</v>
      </c>
      <c r="AT1101" s="12" t="str">
        <f>HYPERLINK("http://www.openstreetmap.org/?mlat=36.9102&amp;mlon=42.7936&amp;zoom=12#map=12/36.9102/42.7936","Maplink1")</f>
        <v>Maplink1</v>
      </c>
      <c r="AU1101" s="12" t="str">
        <f>HYPERLINK("https://www.google.iq/maps/search/+36.9102,42.7936/@36.9102,42.7936,14z?hl=en","Maplink2")</f>
        <v>Maplink2</v>
      </c>
      <c r="AV1101" s="12" t="str">
        <f>HYPERLINK("http://www.bing.com/maps/?lvl=14&amp;sty=h&amp;cp=36.9102~42.7936&amp;sp=point.36.9102_42.7936","Maplink3")</f>
        <v>Maplink3</v>
      </c>
    </row>
    <row r="1102" spans="1:48" ht="15" customHeight="1" x14ac:dyDescent="0.25">
      <c r="A1102" s="19">
        <v>8873</v>
      </c>
      <c r="B1102" s="20" t="s">
        <v>13</v>
      </c>
      <c r="C1102" s="20" t="s">
        <v>2082</v>
      </c>
      <c r="D1102" s="20" t="s">
        <v>2126</v>
      </c>
      <c r="E1102" s="20" t="s">
        <v>2127</v>
      </c>
      <c r="F1102" s="20">
        <v>36.862548480000001</v>
      </c>
      <c r="G1102" s="20">
        <v>42.805626119999999</v>
      </c>
      <c r="H1102" s="22">
        <v>963</v>
      </c>
      <c r="I1102" s="22">
        <v>5778</v>
      </c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>
        <v>963</v>
      </c>
      <c r="W1102" s="21"/>
      <c r="X1102" s="21"/>
      <c r="Y1102" s="21"/>
      <c r="Z1102" s="21"/>
      <c r="AA1102" s="21"/>
      <c r="AB1102" s="21"/>
      <c r="AC1102" s="21">
        <v>210</v>
      </c>
      <c r="AD1102" s="21"/>
      <c r="AE1102" s="21"/>
      <c r="AF1102" s="21"/>
      <c r="AG1102" s="21"/>
      <c r="AH1102" s="21">
        <v>753</v>
      </c>
      <c r="AI1102" s="21"/>
      <c r="AJ1102" s="21"/>
      <c r="AK1102" s="21"/>
      <c r="AL1102" s="21"/>
      <c r="AM1102" s="21">
        <v>599</v>
      </c>
      <c r="AN1102" s="21">
        <v>218</v>
      </c>
      <c r="AO1102" s="21"/>
      <c r="AP1102" s="21"/>
      <c r="AQ1102" s="21"/>
      <c r="AR1102" s="21"/>
      <c r="AS1102" s="21">
        <v>146</v>
      </c>
      <c r="AT1102" s="12" t="str">
        <f>HYPERLINK("http://www.openstreetmap.org/?mlat=36.8625&amp;mlon=42.8056&amp;zoom=12#map=12/36.8625/42.8056","Maplink1")</f>
        <v>Maplink1</v>
      </c>
      <c r="AU1102" s="12" t="str">
        <f>HYPERLINK("https://www.google.iq/maps/search/+36.8625,42.8056/@36.8625,42.8056,14z?hl=en","Maplink2")</f>
        <v>Maplink2</v>
      </c>
      <c r="AV1102" s="12" t="str">
        <f>HYPERLINK("http://www.bing.com/maps/?lvl=14&amp;sty=h&amp;cp=36.8625~42.8056&amp;sp=point.36.8625_42.8056","Maplink3")</f>
        <v>Maplink3</v>
      </c>
    </row>
    <row r="1103" spans="1:48" ht="15" customHeight="1" x14ac:dyDescent="0.25">
      <c r="A1103" s="19">
        <v>25622</v>
      </c>
      <c r="B1103" s="20" t="s">
        <v>13</v>
      </c>
      <c r="C1103" s="20" t="s">
        <v>2082</v>
      </c>
      <c r="D1103" s="20" t="s">
        <v>2128</v>
      </c>
      <c r="E1103" s="20" t="s">
        <v>2129</v>
      </c>
      <c r="F1103" s="20">
        <v>36.785763330000002</v>
      </c>
      <c r="G1103" s="20">
        <v>42.905899130000002</v>
      </c>
      <c r="H1103" s="22">
        <v>218</v>
      </c>
      <c r="I1103" s="22">
        <v>1308</v>
      </c>
      <c r="J1103" s="21">
        <v>1</v>
      </c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>
        <v>217</v>
      </c>
      <c r="W1103" s="21"/>
      <c r="X1103" s="21"/>
      <c r="Y1103" s="21"/>
      <c r="Z1103" s="21"/>
      <c r="AA1103" s="21"/>
      <c r="AB1103" s="21"/>
      <c r="AC1103" s="21">
        <v>19</v>
      </c>
      <c r="AD1103" s="21"/>
      <c r="AE1103" s="21"/>
      <c r="AF1103" s="21"/>
      <c r="AG1103" s="21"/>
      <c r="AH1103" s="21">
        <v>194</v>
      </c>
      <c r="AI1103" s="21"/>
      <c r="AJ1103" s="21">
        <v>5</v>
      </c>
      <c r="AK1103" s="21"/>
      <c r="AL1103" s="21">
        <v>1</v>
      </c>
      <c r="AM1103" s="21">
        <v>180</v>
      </c>
      <c r="AN1103" s="21">
        <v>37</v>
      </c>
      <c r="AO1103" s="21"/>
      <c r="AP1103" s="21"/>
      <c r="AQ1103" s="21"/>
      <c r="AR1103" s="21"/>
      <c r="AS1103" s="21"/>
      <c r="AT1103" s="12" t="str">
        <f>HYPERLINK("http://www.openstreetmap.org/?mlat=36.7858&amp;mlon=42.9059&amp;zoom=12#map=12/36.7858/42.9059","Maplink1")</f>
        <v>Maplink1</v>
      </c>
      <c r="AU1103" s="12" t="str">
        <f>HYPERLINK("https://www.google.iq/maps/search/+36.7858,42.9059/@36.7858,42.9059,14z?hl=en","Maplink2")</f>
        <v>Maplink2</v>
      </c>
      <c r="AV1103" s="12" t="str">
        <f>HYPERLINK("http://www.bing.com/maps/?lvl=14&amp;sty=h&amp;cp=36.7858~42.9059&amp;sp=point.36.7858_42.9059","Maplink3")</f>
        <v>Maplink3</v>
      </c>
    </row>
    <row r="1104" spans="1:48" ht="15" customHeight="1" x14ac:dyDescent="0.25">
      <c r="A1104" s="19">
        <v>7990</v>
      </c>
      <c r="B1104" s="20" t="s">
        <v>13</v>
      </c>
      <c r="C1104" s="20" t="s">
        <v>2082</v>
      </c>
      <c r="D1104" s="20" t="s">
        <v>2130</v>
      </c>
      <c r="E1104" s="20" t="s">
        <v>2131</v>
      </c>
      <c r="F1104" s="20">
        <v>36.739533199999997</v>
      </c>
      <c r="G1104" s="20">
        <v>42.883028879999998</v>
      </c>
      <c r="H1104" s="22">
        <v>16</v>
      </c>
      <c r="I1104" s="22">
        <v>96</v>
      </c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>
        <v>16</v>
      </c>
      <c r="W1104" s="21"/>
      <c r="X1104" s="21"/>
      <c r="Y1104" s="21"/>
      <c r="Z1104" s="21"/>
      <c r="AA1104" s="21"/>
      <c r="AB1104" s="21"/>
      <c r="AC1104" s="21">
        <v>5</v>
      </c>
      <c r="AD1104" s="21"/>
      <c r="AE1104" s="21"/>
      <c r="AF1104" s="21"/>
      <c r="AG1104" s="21"/>
      <c r="AH1104" s="21">
        <v>2</v>
      </c>
      <c r="AI1104" s="21"/>
      <c r="AJ1104" s="21">
        <v>9</v>
      </c>
      <c r="AK1104" s="21"/>
      <c r="AL1104" s="21"/>
      <c r="AM1104" s="21">
        <v>11</v>
      </c>
      <c r="AN1104" s="21">
        <v>1</v>
      </c>
      <c r="AO1104" s="21"/>
      <c r="AP1104" s="21">
        <v>1</v>
      </c>
      <c r="AQ1104" s="21"/>
      <c r="AR1104" s="21"/>
      <c r="AS1104" s="21">
        <v>3</v>
      </c>
      <c r="AT1104" s="12" t="str">
        <f>HYPERLINK("http://www.openstreetmap.org/?mlat=36.7395&amp;mlon=42.883&amp;zoom=12#map=12/36.7395/42.883","Maplink1")</f>
        <v>Maplink1</v>
      </c>
      <c r="AU1104" s="12" t="str">
        <f>HYPERLINK("https://www.google.iq/maps/search/+36.7395,42.883/@36.7395,42.883,14z?hl=en","Maplink2")</f>
        <v>Maplink2</v>
      </c>
      <c r="AV1104" s="12" t="str">
        <f>HYPERLINK("http://www.bing.com/maps/?lvl=14&amp;sty=h&amp;cp=36.7395~42.883&amp;sp=point.36.7395_42.883","Maplink3")</f>
        <v>Maplink3</v>
      </c>
    </row>
    <row r="1105" spans="1:48" ht="15" customHeight="1" x14ac:dyDescent="0.25">
      <c r="A1105" s="19">
        <v>29597</v>
      </c>
      <c r="B1105" s="20" t="s">
        <v>13</v>
      </c>
      <c r="C1105" s="20" t="s">
        <v>2082</v>
      </c>
      <c r="D1105" s="20" t="s">
        <v>2132</v>
      </c>
      <c r="E1105" s="20" t="s">
        <v>2133</v>
      </c>
      <c r="F1105" s="20">
        <v>36.870387999999998</v>
      </c>
      <c r="G1105" s="20">
        <v>42.892062000000003</v>
      </c>
      <c r="H1105" s="22">
        <v>4</v>
      </c>
      <c r="I1105" s="22">
        <v>24</v>
      </c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>
        <v>4</v>
      </c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21">
        <v>4</v>
      </c>
      <c r="AI1105" s="21"/>
      <c r="AJ1105" s="21"/>
      <c r="AK1105" s="21"/>
      <c r="AL1105" s="21"/>
      <c r="AM1105" s="21"/>
      <c r="AN1105" s="21">
        <v>4</v>
      </c>
      <c r="AO1105" s="21"/>
      <c r="AP1105" s="21"/>
      <c r="AQ1105" s="21"/>
      <c r="AR1105" s="21"/>
      <c r="AS1105" s="21"/>
      <c r="AT1105" s="12" t="str">
        <f>HYPERLINK("http://www.openstreetmap.org/?mlat=36.8704&amp;mlon=42.8921&amp;zoom=12#map=12/36.8704/42.8921","Maplink1")</f>
        <v>Maplink1</v>
      </c>
      <c r="AU1105" s="12" t="str">
        <f>HYPERLINK("https://www.google.iq/maps/search/+36.8704,42.8921/@36.8704,42.8921,14z?hl=en","Maplink2")</f>
        <v>Maplink2</v>
      </c>
      <c r="AV1105" s="12" t="str">
        <f>HYPERLINK("http://www.bing.com/maps/?lvl=14&amp;sty=h&amp;cp=36.8704~42.8921&amp;sp=point.36.8704_42.8921","Maplink3")</f>
        <v>Maplink3</v>
      </c>
    </row>
    <row r="1106" spans="1:48" ht="15" customHeight="1" x14ac:dyDescent="0.25">
      <c r="A1106" s="19">
        <v>27124</v>
      </c>
      <c r="B1106" s="20" t="s">
        <v>13</v>
      </c>
      <c r="C1106" s="20" t="s">
        <v>2082</v>
      </c>
      <c r="D1106" s="20" t="s">
        <v>2134</v>
      </c>
      <c r="E1106" s="20" t="s">
        <v>2135</v>
      </c>
      <c r="F1106" s="20">
        <v>36.782565320000003</v>
      </c>
      <c r="G1106" s="20">
        <v>42.783370920000003</v>
      </c>
      <c r="H1106" s="22">
        <v>418</v>
      </c>
      <c r="I1106" s="22">
        <v>2508</v>
      </c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>
        <v>418</v>
      </c>
      <c r="W1106" s="21"/>
      <c r="X1106" s="21"/>
      <c r="Y1106" s="21"/>
      <c r="Z1106" s="21"/>
      <c r="AA1106" s="21"/>
      <c r="AB1106" s="21"/>
      <c r="AC1106" s="21"/>
      <c r="AD1106" s="21"/>
      <c r="AE1106" s="21">
        <v>183</v>
      </c>
      <c r="AF1106" s="21"/>
      <c r="AG1106" s="21"/>
      <c r="AH1106" s="21">
        <v>23</v>
      </c>
      <c r="AI1106" s="21"/>
      <c r="AJ1106" s="21">
        <v>212</v>
      </c>
      <c r="AK1106" s="21"/>
      <c r="AL1106" s="21"/>
      <c r="AM1106" s="21"/>
      <c r="AN1106" s="21">
        <v>418</v>
      </c>
      <c r="AO1106" s="21"/>
      <c r="AP1106" s="21"/>
      <c r="AQ1106" s="21"/>
      <c r="AR1106" s="21"/>
      <c r="AS1106" s="21"/>
      <c r="AT1106" s="12" t="str">
        <f>HYPERLINK("http://www.openstreetmap.org/?mlat=36.7826&amp;mlon=42.7834&amp;zoom=12#map=12/36.7826/42.7834","Maplink1")</f>
        <v>Maplink1</v>
      </c>
      <c r="AU1106" s="12" t="str">
        <f>HYPERLINK("https://www.google.iq/maps/search/+36.7826,42.7834/@36.7826,42.7834,14z?hl=en","Maplink2")</f>
        <v>Maplink2</v>
      </c>
      <c r="AV1106" s="12" t="str">
        <f>HYPERLINK("http://www.bing.com/maps/?lvl=14&amp;sty=h&amp;cp=36.7826~42.7834&amp;sp=point.36.7826_42.7834","Maplink3")</f>
        <v>Maplink3</v>
      </c>
    </row>
    <row r="1107" spans="1:48" ht="15" customHeight="1" x14ac:dyDescent="0.25">
      <c r="A1107" s="19">
        <v>27127</v>
      </c>
      <c r="B1107" s="20" t="s">
        <v>13</v>
      </c>
      <c r="C1107" s="20" t="s">
        <v>2082</v>
      </c>
      <c r="D1107" s="20" t="s">
        <v>2136</v>
      </c>
      <c r="E1107" s="20" t="s">
        <v>2137</v>
      </c>
      <c r="F1107" s="20">
        <v>36.803069129999997</v>
      </c>
      <c r="G1107" s="20">
        <v>42.774616109999997</v>
      </c>
      <c r="H1107" s="22">
        <v>85</v>
      </c>
      <c r="I1107" s="22">
        <v>510</v>
      </c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>
        <v>85</v>
      </c>
      <c r="W1107" s="21"/>
      <c r="X1107" s="21"/>
      <c r="Y1107" s="21"/>
      <c r="Z1107" s="21"/>
      <c r="AA1107" s="21"/>
      <c r="AB1107" s="21"/>
      <c r="AC1107" s="21"/>
      <c r="AD1107" s="21"/>
      <c r="AE1107" s="21">
        <v>65</v>
      </c>
      <c r="AF1107" s="21"/>
      <c r="AG1107" s="21"/>
      <c r="AH1107" s="21"/>
      <c r="AI1107" s="21"/>
      <c r="AJ1107" s="21">
        <v>20</v>
      </c>
      <c r="AK1107" s="21"/>
      <c r="AL1107" s="21"/>
      <c r="AM1107" s="21"/>
      <c r="AN1107" s="21">
        <v>85</v>
      </c>
      <c r="AO1107" s="21"/>
      <c r="AP1107" s="21"/>
      <c r="AQ1107" s="21"/>
      <c r="AR1107" s="21"/>
      <c r="AS1107" s="21"/>
      <c r="AT1107" s="12" t="str">
        <f>HYPERLINK("http://www.openstreetmap.org/?mlat=36.8031&amp;mlon=42.7746&amp;zoom=12#map=12/36.8031/42.7746","Maplink1")</f>
        <v>Maplink1</v>
      </c>
      <c r="AU1107" s="12" t="str">
        <f>HYPERLINK("https://www.google.iq/maps/search/+36.8031,42.7746/@36.8031,42.7746,14z?hl=en","Maplink2")</f>
        <v>Maplink2</v>
      </c>
      <c r="AV1107" s="12" t="str">
        <f>HYPERLINK("http://www.bing.com/maps/?lvl=14&amp;sty=h&amp;cp=36.8031~42.7746&amp;sp=point.36.8031_42.7746","Maplink3")</f>
        <v>Maplink3</v>
      </c>
    </row>
    <row r="1108" spans="1:48" ht="15" customHeight="1" x14ac:dyDescent="0.25">
      <c r="A1108" s="19">
        <v>27125</v>
      </c>
      <c r="B1108" s="20" t="s">
        <v>13</v>
      </c>
      <c r="C1108" s="20" t="s">
        <v>2082</v>
      </c>
      <c r="D1108" s="20" t="s">
        <v>2138</v>
      </c>
      <c r="E1108" s="20" t="s">
        <v>2139</v>
      </c>
      <c r="F1108" s="20">
        <v>36.820116370000001</v>
      </c>
      <c r="G1108" s="20">
        <v>42.807874490000003</v>
      </c>
      <c r="H1108" s="22">
        <v>199</v>
      </c>
      <c r="I1108" s="22">
        <v>1194</v>
      </c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>
        <v>199</v>
      </c>
      <c r="W1108" s="21"/>
      <c r="X1108" s="21"/>
      <c r="Y1108" s="21"/>
      <c r="Z1108" s="21"/>
      <c r="AA1108" s="21"/>
      <c r="AB1108" s="21"/>
      <c r="AC1108" s="21">
        <v>8</v>
      </c>
      <c r="AD1108" s="21"/>
      <c r="AE1108" s="21">
        <v>25</v>
      </c>
      <c r="AF1108" s="21"/>
      <c r="AG1108" s="21"/>
      <c r="AH1108" s="21">
        <v>5</v>
      </c>
      <c r="AI1108" s="21"/>
      <c r="AJ1108" s="21">
        <v>161</v>
      </c>
      <c r="AK1108" s="21"/>
      <c r="AL1108" s="21"/>
      <c r="AM1108" s="21"/>
      <c r="AN1108" s="21">
        <v>199</v>
      </c>
      <c r="AO1108" s="21"/>
      <c r="AP1108" s="21"/>
      <c r="AQ1108" s="21"/>
      <c r="AR1108" s="21"/>
      <c r="AS1108" s="21"/>
      <c r="AT1108" s="12" t="str">
        <f>HYPERLINK("http://www.openstreetmap.org/?mlat=36.8201&amp;mlon=42.8079&amp;zoom=12#map=12/36.8201/42.8079","Maplink1")</f>
        <v>Maplink1</v>
      </c>
      <c r="AU1108" s="12" t="str">
        <f>HYPERLINK("https://www.google.iq/maps/search/+36.8201,42.8079/@36.8201,42.8079,14z?hl=en","Maplink2")</f>
        <v>Maplink2</v>
      </c>
      <c r="AV1108" s="12" t="str">
        <f>HYPERLINK("http://www.bing.com/maps/?lvl=14&amp;sty=h&amp;cp=36.8201~42.8079&amp;sp=point.36.8201_42.8079","Maplink3")</f>
        <v>Maplink3</v>
      </c>
    </row>
    <row r="1109" spans="1:48" ht="15" customHeight="1" x14ac:dyDescent="0.25">
      <c r="A1109" s="19">
        <v>27130</v>
      </c>
      <c r="B1109" s="20" t="s">
        <v>13</v>
      </c>
      <c r="C1109" s="20" t="s">
        <v>2082</v>
      </c>
      <c r="D1109" s="20" t="s">
        <v>2140</v>
      </c>
      <c r="E1109" s="20" t="s">
        <v>2141</v>
      </c>
      <c r="F1109" s="20">
        <v>36.806552480000001</v>
      </c>
      <c r="G1109" s="20">
        <v>42.82508464</v>
      </c>
      <c r="H1109" s="22">
        <v>68</v>
      </c>
      <c r="I1109" s="22">
        <v>408</v>
      </c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>
        <v>68</v>
      </c>
      <c r="W1109" s="21"/>
      <c r="X1109" s="21"/>
      <c r="Y1109" s="21"/>
      <c r="Z1109" s="21"/>
      <c r="AA1109" s="21"/>
      <c r="AB1109" s="21"/>
      <c r="AC1109" s="21">
        <v>20</v>
      </c>
      <c r="AD1109" s="21"/>
      <c r="AE1109" s="21"/>
      <c r="AF1109" s="21"/>
      <c r="AG1109" s="21"/>
      <c r="AH1109" s="21">
        <v>10</v>
      </c>
      <c r="AI1109" s="21"/>
      <c r="AJ1109" s="21">
        <v>38</v>
      </c>
      <c r="AK1109" s="21"/>
      <c r="AL1109" s="21"/>
      <c r="AM1109" s="21"/>
      <c r="AN1109" s="21">
        <v>68</v>
      </c>
      <c r="AO1109" s="21"/>
      <c r="AP1109" s="21"/>
      <c r="AQ1109" s="21"/>
      <c r="AR1109" s="21"/>
      <c r="AS1109" s="21"/>
      <c r="AT1109" s="12" t="str">
        <f>HYPERLINK("http://www.openstreetmap.org/?mlat=36.8066&amp;mlon=42.8251&amp;zoom=12#map=12/36.8066/42.8251","Maplink1")</f>
        <v>Maplink1</v>
      </c>
      <c r="AU1109" s="12" t="str">
        <f>HYPERLINK("https://www.google.iq/maps/search/+36.8066,42.8251/@36.8066,42.8251,14z?hl=en","Maplink2")</f>
        <v>Maplink2</v>
      </c>
      <c r="AV1109" s="12" t="str">
        <f>HYPERLINK("http://www.bing.com/maps/?lvl=14&amp;sty=h&amp;cp=36.8066~42.8251&amp;sp=point.36.8066_42.8251","Maplink3")</f>
        <v>Maplink3</v>
      </c>
    </row>
    <row r="1110" spans="1:48" ht="15" customHeight="1" x14ac:dyDescent="0.25">
      <c r="A1110" s="19">
        <v>27123</v>
      </c>
      <c r="B1110" s="20" t="s">
        <v>13</v>
      </c>
      <c r="C1110" s="20" t="s">
        <v>2082</v>
      </c>
      <c r="D1110" s="20" t="s">
        <v>2142</v>
      </c>
      <c r="E1110" s="20" t="s">
        <v>2143</v>
      </c>
      <c r="F1110" s="20">
        <v>36.77729515</v>
      </c>
      <c r="G1110" s="20">
        <v>42.793805390000003</v>
      </c>
      <c r="H1110" s="22">
        <v>214</v>
      </c>
      <c r="I1110" s="22">
        <v>1284</v>
      </c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>
        <v>214</v>
      </c>
      <c r="W1110" s="21"/>
      <c r="X1110" s="21"/>
      <c r="Y1110" s="21"/>
      <c r="Z1110" s="21"/>
      <c r="AA1110" s="21"/>
      <c r="AB1110" s="21"/>
      <c r="AC1110" s="21">
        <v>47</v>
      </c>
      <c r="AD1110" s="21"/>
      <c r="AE1110" s="21"/>
      <c r="AF1110" s="21"/>
      <c r="AG1110" s="21"/>
      <c r="AH1110" s="21">
        <v>12</v>
      </c>
      <c r="AI1110" s="21"/>
      <c r="AJ1110" s="21">
        <v>155</v>
      </c>
      <c r="AK1110" s="21"/>
      <c r="AL1110" s="21"/>
      <c r="AM1110" s="21"/>
      <c r="AN1110" s="21">
        <v>214</v>
      </c>
      <c r="AO1110" s="21"/>
      <c r="AP1110" s="21"/>
      <c r="AQ1110" s="21"/>
      <c r="AR1110" s="21"/>
      <c r="AS1110" s="21"/>
      <c r="AT1110" s="12" t="str">
        <f>HYPERLINK("http://www.openstreetmap.org/?mlat=36.7773&amp;mlon=42.7938&amp;zoom=12#map=12/36.7773/42.7938","Maplink1")</f>
        <v>Maplink1</v>
      </c>
      <c r="AU1110" s="12" t="str">
        <f>HYPERLINK("https://www.google.iq/maps/search/+36.7773,42.7938/@36.7773,42.7938,14z?hl=en","Maplink2")</f>
        <v>Maplink2</v>
      </c>
      <c r="AV1110" s="12" t="str">
        <f>HYPERLINK("http://www.bing.com/maps/?lvl=14&amp;sty=h&amp;cp=36.7773~42.7938&amp;sp=point.36.7773_42.7938","Maplink3")</f>
        <v>Maplink3</v>
      </c>
    </row>
    <row r="1111" spans="1:48" ht="15" customHeight="1" x14ac:dyDescent="0.25">
      <c r="A1111" s="19">
        <v>8582</v>
      </c>
      <c r="B1111" s="20" t="s">
        <v>13</v>
      </c>
      <c r="C1111" s="20" t="s">
        <v>2082</v>
      </c>
      <c r="D1111" s="20" t="s">
        <v>2144</v>
      </c>
      <c r="E1111" s="20" t="s">
        <v>2145</v>
      </c>
      <c r="F1111" s="20">
        <v>36.787958949999997</v>
      </c>
      <c r="G1111" s="20">
        <v>42.788280450000002</v>
      </c>
      <c r="H1111" s="22">
        <v>567</v>
      </c>
      <c r="I1111" s="22">
        <v>3402</v>
      </c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>
        <v>567</v>
      </c>
      <c r="W1111" s="21"/>
      <c r="X1111" s="21"/>
      <c r="Y1111" s="21"/>
      <c r="Z1111" s="21"/>
      <c r="AA1111" s="21"/>
      <c r="AB1111" s="21"/>
      <c r="AC1111" s="21">
        <v>30</v>
      </c>
      <c r="AD1111" s="21"/>
      <c r="AE1111" s="21">
        <v>356</v>
      </c>
      <c r="AF1111" s="21"/>
      <c r="AG1111" s="21"/>
      <c r="AH1111" s="21">
        <v>21</v>
      </c>
      <c r="AI1111" s="21"/>
      <c r="AJ1111" s="21">
        <v>160</v>
      </c>
      <c r="AK1111" s="21"/>
      <c r="AL1111" s="21"/>
      <c r="AM1111" s="21"/>
      <c r="AN1111" s="21">
        <v>567</v>
      </c>
      <c r="AO1111" s="21"/>
      <c r="AP1111" s="21"/>
      <c r="AQ1111" s="21"/>
      <c r="AR1111" s="21"/>
      <c r="AS1111" s="21"/>
      <c r="AT1111" s="12" t="str">
        <f>HYPERLINK("http://www.openstreetmap.org/?mlat=36.788&amp;mlon=42.7883&amp;zoom=12#map=12/36.788/42.7883","Maplink1")</f>
        <v>Maplink1</v>
      </c>
      <c r="AU1111" s="12" t="str">
        <f>HYPERLINK("https://www.google.iq/maps/search/+36.788,42.7883/@36.788,42.7883,14z?hl=en","Maplink2")</f>
        <v>Maplink2</v>
      </c>
      <c r="AV1111" s="12" t="str">
        <f>HYPERLINK("http://www.bing.com/maps/?lvl=14&amp;sty=h&amp;cp=36.788~42.7883&amp;sp=point.36.788_42.7883","Maplink3")</f>
        <v>Maplink3</v>
      </c>
    </row>
    <row r="1112" spans="1:48" ht="15" customHeight="1" x14ac:dyDescent="0.25">
      <c r="A1112" s="19">
        <v>25776</v>
      </c>
      <c r="B1112" s="20" t="s">
        <v>13</v>
      </c>
      <c r="C1112" s="20" t="s">
        <v>2082</v>
      </c>
      <c r="D1112" s="20" t="s">
        <v>2146</v>
      </c>
      <c r="E1112" s="20" t="s">
        <v>2147</v>
      </c>
      <c r="F1112" s="20">
        <v>36.862482999999997</v>
      </c>
      <c r="G1112" s="20">
        <v>42.898432999999997</v>
      </c>
      <c r="H1112" s="22">
        <v>121</v>
      </c>
      <c r="I1112" s="22">
        <v>726</v>
      </c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>
        <v>121</v>
      </c>
      <c r="W1112" s="21"/>
      <c r="X1112" s="21"/>
      <c r="Y1112" s="21"/>
      <c r="Z1112" s="21"/>
      <c r="AA1112" s="21"/>
      <c r="AB1112" s="21"/>
      <c r="AC1112" s="21">
        <v>20</v>
      </c>
      <c r="AD1112" s="21"/>
      <c r="AE1112" s="21"/>
      <c r="AF1112" s="21"/>
      <c r="AG1112" s="21"/>
      <c r="AH1112" s="21">
        <v>101</v>
      </c>
      <c r="AI1112" s="21"/>
      <c r="AJ1112" s="21"/>
      <c r="AK1112" s="21"/>
      <c r="AL1112" s="21"/>
      <c r="AM1112" s="21">
        <v>57</v>
      </c>
      <c r="AN1112" s="21">
        <v>64</v>
      </c>
      <c r="AO1112" s="21"/>
      <c r="AP1112" s="21"/>
      <c r="AQ1112" s="21"/>
      <c r="AR1112" s="21"/>
      <c r="AS1112" s="21"/>
      <c r="AT1112" s="12" t="str">
        <f>HYPERLINK("http://www.openstreetmap.org/?mlat=36.8625&amp;mlon=42.8984&amp;zoom=12#map=12/36.8625/42.8984","Maplink1")</f>
        <v>Maplink1</v>
      </c>
      <c r="AU1112" s="12" t="str">
        <f>HYPERLINK("https://www.google.iq/maps/search/+36.8625,42.8984/@36.8625,42.8984,14z?hl=en","Maplink2")</f>
        <v>Maplink2</v>
      </c>
      <c r="AV1112" s="12" t="str">
        <f>HYPERLINK("http://www.bing.com/maps/?lvl=14&amp;sty=h&amp;cp=36.8625~42.8984&amp;sp=point.36.8625_42.8984","Maplink3")</f>
        <v>Maplink3</v>
      </c>
    </row>
    <row r="1113" spans="1:48" ht="15" customHeight="1" x14ac:dyDescent="0.25">
      <c r="A1113" s="19">
        <v>8366</v>
      </c>
      <c r="B1113" s="20" t="s">
        <v>13</v>
      </c>
      <c r="C1113" s="20" t="s">
        <v>2082</v>
      </c>
      <c r="D1113" s="20" t="s">
        <v>2148</v>
      </c>
      <c r="E1113" s="20" t="s">
        <v>2149</v>
      </c>
      <c r="F1113" s="20">
        <v>36.783017520000001</v>
      </c>
      <c r="G1113" s="20">
        <v>42.786480939999997</v>
      </c>
      <c r="H1113" s="22">
        <v>255</v>
      </c>
      <c r="I1113" s="22">
        <v>1530</v>
      </c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>
        <v>255</v>
      </c>
      <c r="W1113" s="21"/>
      <c r="X1113" s="21"/>
      <c r="Y1113" s="21"/>
      <c r="Z1113" s="21"/>
      <c r="AA1113" s="21"/>
      <c r="AB1113" s="21"/>
      <c r="AC1113" s="21">
        <v>27</v>
      </c>
      <c r="AD1113" s="21"/>
      <c r="AE1113" s="21"/>
      <c r="AF1113" s="21"/>
      <c r="AG1113" s="21"/>
      <c r="AH1113" s="21">
        <v>58</v>
      </c>
      <c r="AI1113" s="21"/>
      <c r="AJ1113" s="21">
        <v>170</v>
      </c>
      <c r="AK1113" s="21"/>
      <c r="AL1113" s="21"/>
      <c r="AM1113" s="21"/>
      <c r="AN1113" s="21">
        <v>255</v>
      </c>
      <c r="AO1113" s="21"/>
      <c r="AP1113" s="21"/>
      <c r="AQ1113" s="21"/>
      <c r="AR1113" s="21"/>
      <c r="AS1113" s="21"/>
      <c r="AT1113" s="12" t="str">
        <f>HYPERLINK("http://www.openstreetmap.org/?mlat=36.783&amp;mlon=42.7865&amp;zoom=12#map=12/36.783/42.7865","Maplink1")</f>
        <v>Maplink1</v>
      </c>
      <c r="AU1113" s="12" t="str">
        <f>HYPERLINK("https://www.google.iq/maps/search/+36.783,42.7865/@36.783,42.7865,14z?hl=en","Maplink2")</f>
        <v>Maplink2</v>
      </c>
      <c r="AV1113" s="12" t="str">
        <f>HYPERLINK("http://www.bing.com/maps/?lvl=14&amp;sty=h&amp;cp=36.783~42.7865&amp;sp=point.36.783_42.7865","Maplink3")</f>
        <v>Maplink3</v>
      </c>
    </row>
    <row r="1114" spans="1:48" ht="15" customHeight="1" x14ac:dyDescent="0.25">
      <c r="A1114" s="19">
        <v>24791</v>
      </c>
      <c r="B1114" s="20" t="s">
        <v>13</v>
      </c>
      <c r="C1114" s="20" t="s">
        <v>2082</v>
      </c>
      <c r="D1114" s="20" t="s">
        <v>2150</v>
      </c>
      <c r="E1114" s="20" t="s">
        <v>2151</v>
      </c>
      <c r="F1114" s="20">
        <v>37.056184999999999</v>
      </c>
      <c r="G1114" s="20">
        <v>42.617054000000003</v>
      </c>
      <c r="H1114" s="22">
        <v>2637</v>
      </c>
      <c r="I1114" s="22">
        <v>15822</v>
      </c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>
        <v>2637</v>
      </c>
      <c r="W1114" s="21"/>
      <c r="X1114" s="21"/>
      <c r="Y1114" s="21"/>
      <c r="Z1114" s="21"/>
      <c r="AA1114" s="21"/>
      <c r="AB1114" s="21">
        <v>2637</v>
      </c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  <c r="AN1114" s="21">
        <v>2637</v>
      </c>
      <c r="AO1114" s="21"/>
      <c r="AP1114" s="21"/>
      <c r="AQ1114" s="21"/>
      <c r="AR1114" s="21"/>
      <c r="AS1114" s="21"/>
      <c r="AT1114" s="12" t="str">
        <f>HYPERLINK("http://www.openstreetmap.org/?mlat=37.0562&amp;mlon=42.6171&amp;zoom=12#map=12/37.0562/42.6171","Maplink1")</f>
        <v>Maplink1</v>
      </c>
      <c r="AU1114" s="12" t="str">
        <f>HYPERLINK("https://www.google.iq/maps/search/+37.0562,42.6171/@37.0562,42.6171,14z?hl=en","Maplink2")</f>
        <v>Maplink2</v>
      </c>
      <c r="AV1114" s="12" t="str">
        <f>HYPERLINK("http://www.bing.com/maps/?lvl=14&amp;sty=h&amp;cp=37.0562~42.6171&amp;sp=point.37.0562_42.6171","Maplink3")</f>
        <v>Maplink3</v>
      </c>
    </row>
    <row r="1115" spans="1:48" ht="15" customHeight="1" x14ac:dyDescent="0.25">
      <c r="A1115" s="19">
        <v>7989</v>
      </c>
      <c r="B1115" s="20" t="s">
        <v>13</v>
      </c>
      <c r="C1115" s="20" t="s">
        <v>2082</v>
      </c>
      <c r="D1115" s="20" t="s">
        <v>2152</v>
      </c>
      <c r="E1115" s="20" t="s">
        <v>2153</v>
      </c>
      <c r="F1115" s="20">
        <v>36.911854380000001</v>
      </c>
      <c r="G1115" s="20">
        <v>42.885406840000002</v>
      </c>
      <c r="H1115" s="22">
        <v>586</v>
      </c>
      <c r="I1115" s="22">
        <v>3516</v>
      </c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>
        <v>586</v>
      </c>
      <c r="W1115" s="21"/>
      <c r="X1115" s="21"/>
      <c r="Y1115" s="21"/>
      <c r="Z1115" s="21"/>
      <c r="AA1115" s="21"/>
      <c r="AB1115" s="21"/>
      <c r="AC1115" s="21">
        <v>25</v>
      </c>
      <c r="AD1115" s="21"/>
      <c r="AE1115" s="21">
        <v>25</v>
      </c>
      <c r="AF1115" s="21"/>
      <c r="AG1115" s="21"/>
      <c r="AH1115" s="21">
        <v>90</v>
      </c>
      <c r="AI1115" s="21"/>
      <c r="AJ1115" s="21">
        <v>446</v>
      </c>
      <c r="AK1115" s="21"/>
      <c r="AL1115" s="21"/>
      <c r="AM1115" s="21">
        <v>42</v>
      </c>
      <c r="AN1115" s="21">
        <v>544</v>
      </c>
      <c r="AO1115" s="21"/>
      <c r="AP1115" s="21"/>
      <c r="AQ1115" s="21"/>
      <c r="AR1115" s="21"/>
      <c r="AS1115" s="21"/>
      <c r="AT1115" s="12" t="str">
        <f>HYPERLINK("http://www.openstreetmap.org/?mlat=36.9119&amp;mlon=42.8854&amp;zoom=12#map=12/36.9119/42.8854","Maplink1")</f>
        <v>Maplink1</v>
      </c>
      <c r="AU1115" s="12" t="str">
        <f>HYPERLINK("https://www.google.iq/maps/search/+36.9119,42.8854/@36.9119,42.8854,14z?hl=en","Maplink2")</f>
        <v>Maplink2</v>
      </c>
      <c r="AV1115" s="12" t="str">
        <f>HYPERLINK("http://www.bing.com/maps/?lvl=14&amp;sty=h&amp;cp=36.9119~42.8854&amp;sp=point.36.9119_42.8854","Maplink3")</f>
        <v>Maplink3</v>
      </c>
    </row>
    <row r="1116" spans="1:48" ht="15" customHeight="1" x14ac:dyDescent="0.25">
      <c r="A1116" s="19">
        <v>8336</v>
      </c>
      <c r="B1116" s="20" t="s">
        <v>13</v>
      </c>
      <c r="C1116" s="20" t="s">
        <v>2082</v>
      </c>
      <c r="D1116" s="20" t="s">
        <v>2154</v>
      </c>
      <c r="E1116" s="20" t="s">
        <v>2155</v>
      </c>
      <c r="F1116" s="20">
        <v>36.856964699999999</v>
      </c>
      <c r="G1116" s="20">
        <v>42.857197339999999</v>
      </c>
      <c r="H1116" s="22">
        <v>1076</v>
      </c>
      <c r="I1116" s="22">
        <v>6456</v>
      </c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>
        <v>1075</v>
      </c>
      <c r="W1116" s="21"/>
      <c r="X1116" s="21">
        <v>1</v>
      </c>
      <c r="Y1116" s="21"/>
      <c r="Z1116" s="21"/>
      <c r="AA1116" s="21"/>
      <c r="AB1116" s="21"/>
      <c r="AC1116" s="21">
        <v>230</v>
      </c>
      <c r="AD1116" s="21"/>
      <c r="AE1116" s="21"/>
      <c r="AF1116" s="21"/>
      <c r="AG1116" s="21"/>
      <c r="AH1116" s="21">
        <v>806</v>
      </c>
      <c r="AI1116" s="21"/>
      <c r="AJ1116" s="21">
        <v>40</v>
      </c>
      <c r="AK1116" s="21"/>
      <c r="AL1116" s="21"/>
      <c r="AM1116" s="21">
        <v>765</v>
      </c>
      <c r="AN1116" s="21">
        <v>271</v>
      </c>
      <c r="AO1116" s="21"/>
      <c r="AP1116" s="21"/>
      <c r="AQ1116" s="21"/>
      <c r="AR1116" s="21"/>
      <c r="AS1116" s="21">
        <v>40</v>
      </c>
      <c r="AT1116" s="12" t="str">
        <f>HYPERLINK("http://www.openstreetmap.org/?mlat=36.857&amp;mlon=42.8572&amp;zoom=12#map=12/36.857/42.8572","Maplink1")</f>
        <v>Maplink1</v>
      </c>
      <c r="AU1116" s="12" t="str">
        <f>HYPERLINK("https://www.google.iq/maps/search/+36.857,42.8572/@36.857,42.8572,14z?hl=en","Maplink2")</f>
        <v>Maplink2</v>
      </c>
      <c r="AV1116" s="12" t="str">
        <f>HYPERLINK("http://www.bing.com/maps/?lvl=14&amp;sty=h&amp;cp=36.857~42.8572&amp;sp=point.36.857_42.8572","Maplink3")</f>
        <v>Maplink3</v>
      </c>
    </row>
    <row r="1117" spans="1:48" ht="15" customHeight="1" x14ac:dyDescent="0.25">
      <c r="A1117" s="19">
        <v>8369</v>
      </c>
      <c r="B1117" s="20" t="s">
        <v>13</v>
      </c>
      <c r="C1117" s="20" t="s">
        <v>2082</v>
      </c>
      <c r="D1117" s="20" t="s">
        <v>2156</v>
      </c>
      <c r="E1117" s="20" t="s">
        <v>2157</v>
      </c>
      <c r="F1117" s="20">
        <v>36.790334430000001</v>
      </c>
      <c r="G1117" s="20">
        <v>42.972607029999999</v>
      </c>
      <c r="H1117" s="22">
        <v>4451</v>
      </c>
      <c r="I1117" s="22">
        <v>26706</v>
      </c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>
        <v>4451</v>
      </c>
      <c r="W1117" s="21"/>
      <c r="X1117" s="21"/>
      <c r="Y1117" s="21"/>
      <c r="Z1117" s="21"/>
      <c r="AA1117" s="21"/>
      <c r="AB1117" s="21"/>
      <c r="AC1117" s="21">
        <v>120</v>
      </c>
      <c r="AD1117" s="21"/>
      <c r="AE1117" s="21">
        <v>1459</v>
      </c>
      <c r="AF1117" s="21"/>
      <c r="AG1117" s="21"/>
      <c r="AH1117" s="21">
        <v>1207</v>
      </c>
      <c r="AI1117" s="21"/>
      <c r="AJ1117" s="21">
        <v>1665</v>
      </c>
      <c r="AK1117" s="21"/>
      <c r="AL1117" s="21"/>
      <c r="AM1117" s="21"/>
      <c r="AN1117" s="21">
        <v>4301</v>
      </c>
      <c r="AO1117" s="21"/>
      <c r="AP1117" s="21"/>
      <c r="AQ1117" s="21"/>
      <c r="AR1117" s="21"/>
      <c r="AS1117" s="21">
        <v>150</v>
      </c>
      <c r="AT1117" s="12" t="str">
        <f>HYPERLINK("http://www.openstreetmap.org/?mlat=36.7903&amp;mlon=42.9726&amp;zoom=12#map=12/36.7903/42.9726","Maplink1")</f>
        <v>Maplink1</v>
      </c>
      <c r="AU1117" s="12" t="str">
        <f>HYPERLINK("https://www.google.iq/maps/search/+36.7903,42.9726/@36.7903,42.9726,14z?hl=en","Maplink2")</f>
        <v>Maplink2</v>
      </c>
      <c r="AV1117" s="12" t="str">
        <f>HYPERLINK("http://www.bing.com/maps/?lvl=14&amp;sty=h&amp;cp=36.7903~42.9726&amp;sp=point.36.7903_42.9726","Maplink3")</f>
        <v>Maplink3</v>
      </c>
    </row>
    <row r="1118" spans="1:48" ht="15" customHeight="1" x14ac:dyDescent="0.25">
      <c r="A1118" s="19">
        <v>24827</v>
      </c>
      <c r="B1118" s="20" t="s">
        <v>13</v>
      </c>
      <c r="C1118" s="20" t="s">
        <v>2082</v>
      </c>
      <c r="D1118" s="20" t="s">
        <v>2158</v>
      </c>
      <c r="E1118" s="20" t="s">
        <v>2159</v>
      </c>
      <c r="F1118" s="20">
        <v>36.793886000000001</v>
      </c>
      <c r="G1118" s="20">
        <v>42.964505000000003</v>
      </c>
      <c r="H1118" s="22">
        <v>3102</v>
      </c>
      <c r="I1118" s="22">
        <v>18612</v>
      </c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>
        <v>3102</v>
      </c>
      <c r="W1118" s="21"/>
      <c r="X1118" s="21"/>
      <c r="Y1118" s="21"/>
      <c r="Z1118" s="21"/>
      <c r="AA1118" s="21"/>
      <c r="AB1118" s="21">
        <v>3102</v>
      </c>
      <c r="AC1118" s="21"/>
      <c r="AD1118" s="21"/>
      <c r="AE1118" s="21"/>
      <c r="AF1118" s="21"/>
      <c r="AG1118" s="21"/>
      <c r="AH1118" s="21"/>
      <c r="AI1118" s="21"/>
      <c r="AJ1118" s="21"/>
      <c r="AK1118" s="21"/>
      <c r="AL1118" s="21"/>
      <c r="AM1118" s="21"/>
      <c r="AN1118" s="21">
        <v>3097</v>
      </c>
      <c r="AO1118" s="21"/>
      <c r="AP1118" s="21"/>
      <c r="AQ1118" s="21"/>
      <c r="AR1118" s="21"/>
      <c r="AS1118" s="21">
        <v>5</v>
      </c>
      <c r="AT1118" s="12" t="str">
        <f>HYPERLINK("http://www.openstreetmap.org/?mlat=36.7939&amp;mlon=42.9645&amp;zoom=12#map=12/36.7939/42.9645","Maplink1")</f>
        <v>Maplink1</v>
      </c>
      <c r="AU1118" s="12" t="str">
        <f>HYPERLINK("https://www.google.iq/maps/search/+36.7939,42.9645/@36.7939,42.9645,14z?hl=en","Maplink2")</f>
        <v>Maplink2</v>
      </c>
      <c r="AV1118" s="12" t="str">
        <f>HYPERLINK("http://www.bing.com/maps/?lvl=14&amp;sty=h&amp;cp=36.7939~42.9645&amp;sp=point.36.7939_42.9645","Maplink3")</f>
        <v>Maplink3</v>
      </c>
    </row>
    <row r="1119" spans="1:48" ht="15" customHeight="1" x14ac:dyDescent="0.25">
      <c r="A1119" s="19">
        <v>27122</v>
      </c>
      <c r="B1119" s="20" t="s">
        <v>13</v>
      </c>
      <c r="C1119" s="20" t="s">
        <v>2082</v>
      </c>
      <c r="D1119" s="20" t="s">
        <v>2160</v>
      </c>
      <c r="E1119" s="20" t="s">
        <v>2161</v>
      </c>
      <c r="F1119" s="20">
        <v>36.78429182</v>
      </c>
      <c r="G1119" s="20">
        <v>42.790174759999999</v>
      </c>
      <c r="H1119" s="22">
        <v>141</v>
      </c>
      <c r="I1119" s="22">
        <v>846</v>
      </c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>
        <v>141</v>
      </c>
      <c r="W1119" s="21"/>
      <c r="X1119" s="21"/>
      <c r="Y1119" s="21"/>
      <c r="Z1119" s="21"/>
      <c r="AA1119" s="21"/>
      <c r="AB1119" s="21"/>
      <c r="AC1119" s="21">
        <v>20</v>
      </c>
      <c r="AD1119" s="21"/>
      <c r="AE1119" s="21"/>
      <c r="AF1119" s="21"/>
      <c r="AG1119" s="21"/>
      <c r="AH1119" s="21">
        <v>100</v>
      </c>
      <c r="AI1119" s="21"/>
      <c r="AJ1119" s="21">
        <v>21</v>
      </c>
      <c r="AK1119" s="21"/>
      <c r="AL1119" s="21"/>
      <c r="AM1119" s="21"/>
      <c r="AN1119" s="21">
        <v>141</v>
      </c>
      <c r="AO1119" s="21"/>
      <c r="AP1119" s="21"/>
      <c r="AQ1119" s="21"/>
      <c r="AR1119" s="21"/>
      <c r="AS1119" s="21"/>
      <c r="AT1119" s="12" t="str">
        <f>HYPERLINK("http://www.openstreetmap.org/?mlat=36.7843&amp;mlon=42.7902&amp;zoom=12#map=12/36.7843/42.7902","Maplink1")</f>
        <v>Maplink1</v>
      </c>
      <c r="AU1119" s="12" t="str">
        <f>HYPERLINK("https://www.google.iq/maps/search/+36.7843,42.7902/@36.7843,42.7902,14z?hl=en","Maplink2")</f>
        <v>Maplink2</v>
      </c>
      <c r="AV1119" s="12" t="str">
        <f>HYPERLINK("http://www.bing.com/maps/?lvl=14&amp;sty=h&amp;cp=36.7843~42.7902&amp;sp=point.36.7843_42.7902","Maplink3")</f>
        <v>Maplink3</v>
      </c>
    </row>
    <row r="1120" spans="1:48" ht="15" customHeight="1" x14ac:dyDescent="0.25">
      <c r="A1120" s="19">
        <v>27129</v>
      </c>
      <c r="B1120" s="20" t="s">
        <v>13</v>
      </c>
      <c r="C1120" s="20" t="s">
        <v>2082</v>
      </c>
      <c r="D1120" s="20" t="s">
        <v>2162</v>
      </c>
      <c r="E1120" s="20" t="s">
        <v>2163</v>
      </c>
      <c r="F1120" s="20">
        <v>36.779870000000003</v>
      </c>
      <c r="G1120" s="20">
        <v>42.786270000000002</v>
      </c>
      <c r="H1120" s="22">
        <v>76</v>
      </c>
      <c r="I1120" s="22">
        <v>456</v>
      </c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>
        <v>76</v>
      </c>
      <c r="W1120" s="21"/>
      <c r="X1120" s="21"/>
      <c r="Y1120" s="21"/>
      <c r="Z1120" s="21"/>
      <c r="AA1120" s="21"/>
      <c r="AB1120" s="21"/>
      <c r="AC1120" s="21">
        <v>4</v>
      </c>
      <c r="AD1120" s="21"/>
      <c r="AE1120" s="21">
        <v>17</v>
      </c>
      <c r="AF1120" s="21"/>
      <c r="AG1120" s="21"/>
      <c r="AH1120" s="21">
        <v>5</v>
      </c>
      <c r="AI1120" s="21"/>
      <c r="AJ1120" s="21">
        <v>50</v>
      </c>
      <c r="AK1120" s="21"/>
      <c r="AL1120" s="21"/>
      <c r="AM1120" s="21"/>
      <c r="AN1120" s="21">
        <v>76</v>
      </c>
      <c r="AO1120" s="21"/>
      <c r="AP1120" s="21"/>
      <c r="AQ1120" s="21"/>
      <c r="AR1120" s="21"/>
      <c r="AS1120" s="21"/>
      <c r="AT1120" s="12" t="str">
        <f>HYPERLINK("http://www.openstreetmap.org/?mlat=36.7799&amp;mlon=42.7863&amp;zoom=12#map=12/36.7799/42.7863","Maplink1")</f>
        <v>Maplink1</v>
      </c>
      <c r="AU1120" s="12" t="str">
        <f>HYPERLINK("https://www.google.iq/maps/search/+36.7799,42.7863/@36.7799,42.7863,14z?hl=en","Maplink2")</f>
        <v>Maplink2</v>
      </c>
      <c r="AV1120" s="12" t="str">
        <f>HYPERLINK("http://www.bing.com/maps/?lvl=14&amp;sty=h&amp;cp=36.7799~42.7863&amp;sp=point.36.7799_42.7863","Maplink3")</f>
        <v>Maplink3</v>
      </c>
    </row>
    <row r="1121" spans="1:48" ht="15" customHeight="1" x14ac:dyDescent="0.25">
      <c r="A1121" s="19">
        <v>8476</v>
      </c>
      <c r="B1121" s="20" t="s">
        <v>13</v>
      </c>
      <c r="C1121" s="20" t="s">
        <v>2082</v>
      </c>
      <c r="D1121" s="20" t="s">
        <v>2164</v>
      </c>
      <c r="E1121" s="20" t="s">
        <v>2165</v>
      </c>
      <c r="F1121" s="20">
        <v>37.002947589999998</v>
      </c>
      <c r="G1121" s="20">
        <v>42.48518515</v>
      </c>
      <c r="H1121" s="22">
        <v>91</v>
      </c>
      <c r="I1121" s="22">
        <v>546</v>
      </c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>
        <v>91</v>
      </c>
      <c r="W1121" s="21"/>
      <c r="X1121" s="21"/>
      <c r="Y1121" s="21"/>
      <c r="Z1121" s="21"/>
      <c r="AA1121" s="21"/>
      <c r="AB1121" s="21"/>
      <c r="AC1121" s="21">
        <v>90</v>
      </c>
      <c r="AD1121" s="21"/>
      <c r="AE1121" s="21"/>
      <c r="AF1121" s="21"/>
      <c r="AG1121" s="21"/>
      <c r="AH1121" s="21"/>
      <c r="AI1121" s="21"/>
      <c r="AJ1121" s="21">
        <v>1</v>
      </c>
      <c r="AK1121" s="21"/>
      <c r="AL1121" s="21"/>
      <c r="AM1121" s="21"/>
      <c r="AN1121" s="21">
        <v>91</v>
      </c>
      <c r="AO1121" s="21"/>
      <c r="AP1121" s="21"/>
      <c r="AQ1121" s="21"/>
      <c r="AR1121" s="21"/>
      <c r="AS1121" s="21"/>
      <c r="AT1121" s="12" t="str">
        <f>HYPERLINK("http://www.openstreetmap.org/?mlat=37.0029&amp;mlon=42.4852&amp;zoom=12#map=12/37.0029/42.4852","Maplink1")</f>
        <v>Maplink1</v>
      </c>
      <c r="AU1121" s="12" t="str">
        <f>HYPERLINK("https://www.google.iq/maps/search/+37.0029,42.4852/@37.0029,42.4852,14z?hl=en","Maplink2")</f>
        <v>Maplink2</v>
      </c>
      <c r="AV1121" s="12" t="str">
        <f>HYPERLINK("http://www.bing.com/maps/?lvl=14&amp;sty=h&amp;cp=37.0029~42.4852&amp;sp=point.37.0029_42.4852","Maplink3")</f>
        <v>Maplink3</v>
      </c>
    </row>
    <row r="1122" spans="1:48" ht="15" customHeight="1" x14ac:dyDescent="0.25">
      <c r="A1122" s="19">
        <v>24596</v>
      </c>
      <c r="B1122" s="20" t="s">
        <v>13</v>
      </c>
      <c r="C1122" s="20" t="s">
        <v>2082</v>
      </c>
      <c r="D1122" s="20" t="s">
        <v>2166</v>
      </c>
      <c r="E1122" s="20" t="s">
        <v>2167</v>
      </c>
      <c r="F1122" s="20">
        <v>36.857589160000003</v>
      </c>
      <c r="G1122" s="20">
        <v>42.904670179999997</v>
      </c>
      <c r="H1122" s="22">
        <v>207</v>
      </c>
      <c r="I1122" s="22">
        <v>1242</v>
      </c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>
        <v>207</v>
      </c>
      <c r="W1122" s="21"/>
      <c r="X1122" s="21"/>
      <c r="Y1122" s="21"/>
      <c r="Z1122" s="21"/>
      <c r="AA1122" s="21"/>
      <c r="AB1122" s="21"/>
      <c r="AC1122" s="21">
        <v>2</v>
      </c>
      <c r="AD1122" s="21"/>
      <c r="AE1122" s="21"/>
      <c r="AF1122" s="21"/>
      <c r="AG1122" s="21"/>
      <c r="AH1122" s="21">
        <v>147</v>
      </c>
      <c r="AI1122" s="21"/>
      <c r="AJ1122" s="21">
        <v>58</v>
      </c>
      <c r="AK1122" s="21"/>
      <c r="AL1122" s="21"/>
      <c r="AM1122" s="21">
        <v>120</v>
      </c>
      <c r="AN1122" s="21">
        <v>87</v>
      </c>
      <c r="AO1122" s="21"/>
      <c r="AP1122" s="21"/>
      <c r="AQ1122" s="21"/>
      <c r="AR1122" s="21"/>
      <c r="AS1122" s="21"/>
      <c r="AT1122" s="12" t="str">
        <f>HYPERLINK("http://www.openstreetmap.org/?mlat=36.8576&amp;mlon=42.9047&amp;zoom=12#map=12/36.8576/42.9047","Maplink1")</f>
        <v>Maplink1</v>
      </c>
      <c r="AU1122" s="12" t="str">
        <f>HYPERLINK("https://www.google.iq/maps/search/+36.8576,42.9047/@36.8576,42.9047,14z?hl=en","Maplink2")</f>
        <v>Maplink2</v>
      </c>
      <c r="AV1122" s="12" t="str">
        <f>HYPERLINK("http://www.bing.com/maps/?lvl=14&amp;sty=h&amp;cp=36.8576~42.9047&amp;sp=point.36.8576_42.9047","Maplink3")</f>
        <v>Maplink3</v>
      </c>
    </row>
    <row r="1123" spans="1:48" ht="15" customHeight="1" x14ac:dyDescent="0.25">
      <c r="A1123" s="19">
        <v>25623</v>
      </c>
      <c r="B1123" s="20" t="s">
        <v>13</v>
      </c>
      <c r="C1123" s="20" t="s">
        <v>2082</v>
      </c>
      <c r="D1123" s="20" t="s">
        <v>2168</v>
      </c>
      <c r="E1123" s="20" t="s">
        <v>2169</v>
      </c>
      <c r="F1123" s="20">
        <v>36.801596490000001</v>
      </c>
      <c r="G1123" s="20">
        <v>42.910885409999999</v>
      </c>
      <c r="H1123" s="22">
        <v>407</v>
      </c>
      <c r="I1123" s="22">
        <v>2442</v>
      </c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>
        <v>396</v>
      </c>
      <c r="W1123" s="21"/>
      <c r="X1123" s="21">
        <v>11</v>
      </c>
      <c r="Y1123" s="21"/>
      <c r="Z1123" s="21"/>
      <c r="AA1123" s="21"/>
      <c r="AB1123" s="21"/>
      <c r="AC1123" s="21">
        <v>7</v>
      </c>
      <c r="AD1123" s="21"/>
      <c r="AE1123" s="21"/>
      <c r="AF1123" s="21"/>
      <c r="AG1123" s="21"/>
      <c r="AH1123" s="21">
        <v>397</v>
      </c>
      <c r="AI1123" s="21"/>
      <c r="AJ1123" s="21">
        <v>3</v>
      </c>
      <c r="AK1123" s="21"/>
      <c r="AL1123" s="21"/>
      <c r="AM1123" s="21">
        <v>295</v>
      </c>
      <c r="AN1123" s="21">
        <v>112</v>
      </c>
      <c r="AO1123" s="21"/>
      <c r="AP1123" s="21"/>
      <c r="AQ1123" s="21"/>
      <c r="AR1123" s="21"/>
      <c r="AS1123" s="21"/>
      <c r="AT1123" s="12" t="str">
        <f>HYPERLINK("http://www.openstreetmap.org/?mlat=36.8016&amp;mlon=42.9109&amp;zoom=12#map=12/36.8016/42.9109","Maplink1")</f>
        <v>Maplink1</v>
      </c>
      <c r="AU1123" s="12" t="str">
        <f>HYPERLINK("https://www.google.iq/maps/search/+36.8016,42.9109/@36.8016,42.9109,14z?hl=en","Maplink2")</f>
        <v>Maplink2</v>
      </c>
      <c r="AV1123" s="12" t="str">
        <f>HYPERLINK("http://www.bing.com/maps/?lvl=14&amp;sty=h&amp;cp=36.8016~42.9109&amp;sp=point.36.8016_42.9109","Maplink3")</f>
        <v>Maplink3</v>
      </c>
    </row>
    <row r="1124" spans="1:48" ht="15" customHeight="1" x14ac:dyDescent="0.25">
      <c r="A1124" s="19">
        <v>23645</v>
      </c>
      <c r="B1124" s="20" t="s">
        <v>13</v>
      </c>
      <c r="C1124" s="20" t="s">
        <v>2082</v>
      </c>
      <c r="D1124" s="20" t="s">
        <v>2170</v>
      </c>
      <c r="E1124" s="20" t="s">
        <v>2171</v>
      </c>
      <c r="F1124" s="20">
        <v>36.77604393</v>
      </c>
      <c r="G1124" s="20">
        <v>42.92201507</v>
      </c>
      <c r="H1124" s="22">
        <v>309</v>
      </c>
      <c r="I1124" s="22">
        <v>1854</v>
      </c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>
        <v>306</v>
      </c>
      <c r="W1124" s="21"/>
      <c r="X1124" s="21">
        <v>3</v>
      </c>
      <c r="Y1124" s="21"/>
      <c r="Z1124" s="21"/>
      <c r="AA1124" s="21"/>
      <c r="AB1124" s="21"/>
      <c r="AC1124" s="21">
        <v>29</v>
      </c>
      <c r="AD1124" s="21"/>
      <c r="AE1124" s="21"/>
      <c r="AF1124" s="21"/>
      <c r="AG1124" s="21"/>
      <c r="AH1124" s="21">
        <v>280</v>
      </c>
      <c r="AI1124" s="21"/>
      <c r="AJ1124" s="21"/>
      <c r="AK1124" s="21"/>
      <c r="AL1124" s="21"/>
      <c r="AM1124" s="21">
        <v>122</v>
      </c>
      <c r="AN1124" s="21">
        <v>187</v>
      </c>
      <c r="AO1124" s="21"/>
      <c r="AP1124" s="21"/>
      <c r="AQ1124" s="21"/>
      <c r="AR1124" s="21"/>
      <c r="AS1124" s="21"/>
      <c r="AT1124" s="12" t="str">
        <f>HYPERLINK("http://www.openstreetmap.org/?mlat=36.776&amp;mlon=42.922&amp;zoom=12#map=12/36.776/42.922","Maplink1")</f>
        <v>Maplink1</v>
      </c>
      <c r="AU1124" s="12" t="str">
        <f>HYPERLINK("https://www.google.iq/maps/search/+36.776,42.922/@36.776,42.922,14z?hl=en","Maplink2")</f>
        <v>Maplink2</v>
      </c>
      <c r="AV1124" s="12" t="str">
        <f>HYPERLINK("http://www.bing.com/maps/?lvl=14&amp;sty=h&amp;cp=36.776~42.922&amp;sp=point.36.776_42.922","Maplink3")</f>
        <v>Maplink3</v>
      </c>
    </row>
    <row r="1125" spans="1:48" ht="15" customHeight="1" x14ac:dyDescent="0.25">
      <c r="A1125" s="19">
        <v>32031</v>
      </c>
      <c r="B1125" s="20" t="s">
        <v>13</v>
      </c>
      <c r="C1125" s="20" t="s">
        <v>2172</v>
      </c>
      <c r="D1125" s="20" t="s">
        <v>2173</v>
      </c>
      <c r="E1125" s="20" t="s">
        <v>2174</v>
      </c>
      <c r="F1125" s="20">
        <v>37.145383000000002</v>
      </c>
      <c r="G1125" s="20">
        <v>42.703558000000001</v>
      </c>
      <c r="H1125" s="22">
        <v>1023</v>
      </c>
      <c r="I1125" s="22">
        <v>6138</v>
      </c>
      <c r="J1125" s="21">
        <v>2</v>
      </c>
      <c r="K1125" s="21"/>
      <c r="L1125" s="21"/>
      <c r="M1125" s="21"/>
      <c r="N1125" s="21"/>
      <c r="O1125" s="21"/>
      <c r="P1125" s="21"/>
      <c r="Q1125" s="21"/>
      <c r="R1125" s="21">
        <v>1</v>
      </c>
      <c r="S1125" s="21"/>
      <c r="T1125" s="21"/>
      <c r="U1125" s="21"/>
      <c r="V1125" s="21">
        <v>1020</v>
      </c>
      <c r="W1125" s="21"/>
      <c r="X1125" s="21"/>
      <c r="Y1125" s="21"/>
      <c r="Z1125" s="21"/>
      <c r="AA1125" s="21"/>
      <c r="AB1125" s="21"/>
      <c r="AC1125" s="21">
        <v>8</v>
      </c>
      <c r="AD1125" s="21"/>
      <c r="AE1125" s="21"/>
      <c r="AF1125" s="21"/>
      <c r="AG1125" s="21">
        <v>1</v>
      </c>
      <c r="AH1125" s="21">
        <v>984</v>
      </c>
      <c r="AI1125" s="21"/>
      <c r="AJ1125" s="21">
        <v>30</v>
      </c>
      <c r="AK1125" s="21"/>
      <c r="AL1125" s="21">
        <v>2</v>
      </c>
      <c r="AM1125" s="21">
        <v>327</v>
      </c>
      <c r="AN1125" s="21">
        <v>523</v>
      </c>
      <c r="AO1125" s="21"/>
      <c r="AP1125" s="21">
        <v>11</v>
      </c>
      <c r="AQ1125" s="21"/>
      <c r="AR1125" s="21"/>
      <c r="AS1125" s="21">
        <v>160</v>
      </c>
      <c r="AT1125" s="12" t="str">
        <f>HYPERLINK("http://www.openstreetmap.org/?mlat=37.1454&amp;mlon=42.7036&amp;zoom=12#map=12/37.1454/42.7036","Maplink1")</f>
        <v>Maplink1</v>
      </c>
      <c r="AU1125" s="12" t="str">
        <f>HYPERLINK("https://www.google.iq/maps/search/+37.1454,42.7036/@37.1454,42.7036,14z?hl=en","Maplink2")</f>
        <v>Maplink2</v>
      </c>
      <c r="AV1125" s="12" t="str">
        <f>HYPERLINK("http://www.bing.com/maps/?lvl=14&amp;sty=h&amp;cp=37.1454~42.7036&amp;sp=point.37.1454_42.7036","Maplink3")</f>
        <v>Maplink3</v>
      </c>
    </row>
    <row r="1126" spans="1:48" ht="15" customHeight="1" x14ac:dyDescent="0.25">
      <c r="A1126" s="19">
        <v>8119</v>
      </c>
      <c r="B1126" s="20" t="s">
        <v>13</v>
      </c>
      <c r="C1126" s="20" t="s">
        <v>2172</v>
      </c>
      <c r="D1126" s="20" t="s">
        <v>2175</v>
      </c>
      <c r="E1126" s="20" t="s">
        <v>2176</v>
      </c>
      <c r="F1126" s="20">
        <v>37.137511349999997</v>
      </c>
      <c r="G1126" s="20">
        <v>42.659486649999998</v>
      </c>
      <c r="H1126" s="22">
        <v>15</v>
      </c>
      <c r="I1126" s="22">
        <v>90</v>
      </c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>
        <v>15</v>
      </c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>
        <v>15</v>
      </c>
      <c r="AI1126" s="21"/>
      <c r="AJ1126" s="21"/>
      <c r="AK1126" s="21"/>
      <c r="AL1126" s="21"/>
      <c r="AM1126" s="21"/>
      <c r="AN1126" s="21">
        <v>15</v>
      </c>
      <c r="AO1126" s="21"/>
      <c r="AP1126" s="21"/>
      <c r="AQ1126" s="21"/>
      <c r="AR1126" s="21"/>
      <c r="AS1126" s="21"/>
      <c r="AT1126" s="12" t="str">
        <f>HYPERLINK("http://www.openstreetmap.org/?mlat=37.1375&amp;mlon=42.6595&amp;zoom=12#map=12/37.1375/42.6595","Maplink1")</f>
        <v>Maplink1</v>
      </c>
      <c r="AU1126" s="12" t="str">
        <f>HYPERLINK("https://www.google.iq/maps/search/+37.1375,42.6595/@37.1375,42.6595,14z?hl=en","Maplink2")</f>
        <v>Maplink2</v>
      </c>
      <c r="AV1126" s="12" t="str">
        <f>HYPERLINK("http://www.bing.com/maps/?lvl=14&amp;sty=h&amp;cp=37.1375~42.6595&amp;sp=point.37.1375_42.6595","Maplink3")</f>
        <v>Maplink3</v>
      </c>
    </row>
    <row r="1127" spans="1:48" ht="15" customHeight="1" x14ac:dyDescent="0.25">
      <c r="A1127" s="19">
        <v>32024</v>
      </c>
      <c r="B1127" s="20" t="s">
        <v>13</v>
      </c>
      <c r="C1127" s="20" t="s">
        <v>2172</v>
      </c>
      <c r="D1127" s="20" t="s">
        <v>2177</v>
      </c>
      <c r="E1127" s="20" t="s">
        <v>2178</v>
      </c>
      <c r="F1127" s="20">
        <v>37.146816999999999</v>
      </c>
      <c r="G1127" s="20">
        <v>42.674849999999999</v>
      </c>
      <c r="H1127" s="22">
        <v>412</v>
      </c>
      <c r="I1127" s="22">
        <v>2472</v>
      </c>
      <c r="J1127" s="21"/>
      <c r="K1127" s="21"/>
      <c r="L1127" s="21"/>
      <c r="M1127" s="21"/>
      <c r="N1127" s="21"/>
      <c r="O1127" s="21"/>
      <c r="P1127" s="21"/>
      <c r="Q1127" s="21"/>
      <c r="R1127" s="21">
        <v>1</v>
      </c>
      <c r="S1127" s="21"/>
      <c r="T1127" s="21"/>
      <c r="U1127" s="21"/>
      <c r="V1127" s="21">
        <v>404</v>
      </c>
      <c r="W1127" s="21"/>
      <c r="X1127" s="21">
        <v>7</v>
      </c>
      <c r="Y1127" s="21"/>
      <c r="Z1127" s="21"/>
      <c r="AA1127" s="21"/>
      <c r="AB1127" s="21"/>
      <c r="AC1127" s="21">
        <v>10</v>
      </c>
      <c r="AD1127" s="21"/>
      <c r="AE1127" s="21"/>
      <c r="AF1127" s="21"/>
      <c r="AG1127" s="21"/>
      <c r="AH1127" s="21">
        <v>387</v>
      </c>
      <c r="AI1127" s="21"/>
      <c r="AJ1127" s="21">
        <v>15</v>
      </c>
      <c r="AK1127" s="21"/>
      <c r="AL1127" s="21"/>
      <c r="AM1127" s="21">
        <v>221</v>
      </c>
      <c r="AN1127" s="21">
        <v>131</v>
      </c>
      <c r="AO1127" s="21"/>
      <c r="AP1127" s="21"/>
      <c r="AQ1127" s="21"/>
      <c r="AR1127" s="21"/>
      <c r="AS1127" s="21">
        <v>60</v>
      </c>
      <c r="AT1127" s="12" t="str">
        <f>HYPERLINK("http://www.openstreetmap.org/?mlat=37.1468&amp;mlon=42.6748&amp;zoom=12#map=12/37.1468/42.6748","Maplink1")</f>
        <v>Maplink1</v>
      </c>
      <c r="AU1127" s="12" t="str">
        <f>HYPERLINK("https://www.google.iq/maps/search/+37.1468,42.6748/@37.1468,42.6748,14z?hl=en","Maplink2")</f>
        <v>Maplink2</v>
      </c>
      <c r="AV1127" s="12" t="str">
        <f>HYPERLINK("http://www.bing.com/maps/?lvl=14&amp;sty=h&amp;cp=37.1468~42.6748&amp;sp=point.37.1468_42.6748","Maplink3")</f>
        <v>Maplink3</v>
      </c>
    </row>
    <row r="1128" spans="1:48" ht="15" customHeight="1" x14ac:dyDescent="0.25">
      <c r="A1128" s="19">
        <v>33579</v>
      </c>
      <c r="B1128" s="20" t="s">
        <v>13</v>
      </c>
      <c r="C1128" s="20" t="s">
        <v>2172</v>
      </c>
      <c r="D1128" s="20" t="s">
        <v>6114</v>
      </c>
      <c r="E1128" s="20" t="s">
        <v>6115</v>
      </c>
      <c r="F1128" s="20">
        <v>37.137386999999997</v>
      </c>
      <c r="G1128" s="20">
        <v>42.547082000000003</v>
      </c>
      <c r="H1128" s="22">
        <v>265</v>
      </c>
      <c r="I1128" s="22">
        <v>1590</v>
      </c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>
        <v>265</v>
      </c>
      <c r="W1128" s="21"/>
      <c r="X1128" s="21"/>
      <c r="Y1128" s="21"/>
      <c r="Z1128" s="21"/>
      <c r="AA1128" s="21"/>
      <c r="AB1128" s="21"/>
      <c r="AC1128" s="21">
        <v>35</v>
      </c>
      <c r="AD1128" s="21"/>
      <c r="AE1128" s="21"/>
      <c r="AF1128" s="21"/>
      <c r="AG1128" s="21"/>
      <c r="AH1128" s="21">
        <v>105</v>
      </c>
      <c r="AI1128" s="21"/>
      <c r="AJ1128" s="21">
        <v>125</v>
      </c>
      <c r="AK1128" s="21"/>
      <c r="AL1128" s="21"/>
      <c r="AM1128" s="21">
        <v>6</v>
      </c>
      <c r="AN1128" s="21">
        <v>139</v>
      </c>
      <c r="AO1128" s="21"/>
      <c r="AP1128" s="21"/>
      <c r="AQ1128" s="21"/>
      <c r="AR1128" s="21"/>
      <c r="AS1128" s="21">
        <v>120</v>
      </c>
      <c r="AT1128" s="12" t="str">
        <f>HYPERLINK("http://www.openstreetmap.org/?mlat=37.1374&amp;mlon=42.5471&amp;zoom=12#map=12/37.1374/42.5471","Maplink1")</f>
        <v>Maplink1</v>
      </c>
      <c r="AU1128" s="12" t="str">
        <f>HYPERLINK("https://www.google.iq/maps/search/+37.1374,42.5471/@37.1374,42.5471,14z?hl=en","Maplink2")</f>
        <v>Maplink2</v>
      </c>
      <c r="AV1128" s="12" t="str">
        <f>HYPERLINK("http://www.bing.com/maps/?lvl=14&amp;sty=h&amp;cp=37.1374~42.5471&amp;sp=point.37.1374_42.5471","Maplink3")</f>
        <v>Maplink3</v>
      </c>
    </row>
    <row r="1129" spans="1:48" ht="15" customHeight="1" x14ac:dyDescent="0.25">
      <c r="A1129" s="19">
        <v>33581</v>
      </c>
      <c r="B1129" s="20" t="s">
        <v>13</v>
      </c>
      <c r="C1129" s="20" t="s">
        <v>2172</v>
      </c>
      <c r="D1129" s="20" t="s">
        <v>6116</v>
      </c>
      <c r="E1129" s="20" t="s">
        <v>6117</v>
      </c>
      <c r="F1129" s="20">
        <v>37.138888999999999</v>
      </c>
      <c r="G1129" s="20">
        <v>42.597222000000002</v>
      </c>
      <c r="H1129" s="22">
        <v>16</v>
      </c>
      <c r="I1129" s="22">
        <v>96</v>
      </c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>
        <v>16</v>
      </c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>
        <v>16</v>
      </c>
      <c r="AI1129" s="21"/>
      <c r="AJ1129" s="21"/>
      <c r="AK1129" s="21"/>
      <c r="AL1129" s="21"/>
      <c r="AM1129" s="21"/>
      <c r="AN1129" s="21">
        <v>9</v>
      </c>
      <c r="AO1129" s="21"/>
      <c r="AP1129" s="21"/>
      <c r="AQ1129" s="21"/>
      <c r="AR1129" s="21"/>
      <c r="AS1129" s="21">
        <v>7</v>
      </c>
      <c r="AT1129" s="12" t="str">
        <f>HYPERLINK("http://www.openstreetmap.org/?mlat=37.1389&amp;mlon=42.5972&amp;zoom=12#map=12/37.1389/42.5972","Maplink1")</f>
        <v>Maplink1</v>
      </c>
      <c r="AU1129" s="12" t="str">
        <f>HYPERLINK("https://www.google.iq/maps/search/+37.1389,42.5972/@37.1389,42.5972,14z?hl=en","Maplink2")</f>
        <v>Maplink2</v>
      </c>
      <c r="AV1129" s="12" t="str">
        <f>HYPERLINK("http://www.bing.com/maps/?lvl=14&amp;sty=h&amp;cp=37.1389~42.5972&amp;sp=point.37.1389_42.5972","Maplink3")</f>
        <v>Maplink3</v>
      </c>
    </row>
    <row r="1130" spans="1:48" ht="15" customHeight="1" x14ac:dyDescent="0.25">
      <c r="A1130" s="19">
        <v>8849</v>
      </c>
      <c r="B1130" s="20" t="s">
        <v>13</v>
      </c>
      <c r="C1130" s="20" t="s">
        <v>2172</v>
      </c>
      <c r="D1130" s="20" t="s">
        <v>2179</v>
      </c>
      <c r="E1130" s="20" t="s">
        <v>2180</v>
      </c>
      <c r="F1130" s="20">
        <v>37.174467630000002</v>
      </c>
      <c r="G1130" s="20">
        <v>43.011914539999999</v>
      </c>
      <c r="H1130" s="22">
        <v>300</v>
      </c>
      <c r="I1130" s="22">
        <v>1800</v>
      </c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>
        <v>300</v>
      </c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>
        <v>247</v>
      </c>
      <c r="AI1130" s="21"/>
      <c r="AJ1130" s="21">
        <v>53</v>
      </c>
      <c r="AK1130" s="21"/>
      <c r="AL1130" s="21"/>
      <c r="AM1130" s="21">
        <v>28</v>
      </c>
      <c r="AN1130" s="21">
        <v>250</v>
      </c>
      <c r="AO1130" s="21"/>
      <c r="AP1130" s="21">
        <v>20</v>
      </c>
      <c r="AQ1130" s="21"/>
      <c r="AR1130" s="21"/>
      <c r="AS1130" s="21">
        <v>2</v>
      </c>
      <c r="AT1130" s="12" t="str">
        <f>HYPERLINK("http://www.openstreetmap.org/?mlat=37.1745&amp;mlon=43.0119&amp;zoom=12#map=12/37.1745/43.0119","Maplink1")</f>
        <v>Maplink1</v>
      </c>
      <c r="AU1130" s="12" t="str">
        <f>HYPERLINK("https://www.google.iq/maps/search/+37.1745,43.0119/@37.1745,43.0119,14z?hl=en","Maplink2")</f>
        <v>Maplink2</v>
      </c>
      <c r="AV1130" s="12" t="str">
        <f>HYPERLINK("http://www.bing.com/maps/?lvl=14&amp;sty=h&amp;cp=37.1745~43.0119&amp;sp=point.37.1745_43.0119","Maplink3")</f>
        <v>Maplink3</v>
      </c>
    </row>
    <row r="1131" spans="1:48" ht="15" customHeight="1" x14ac:dyDescent="0.25">
      <c r="A1131" s="19">
        <v>32025</v>
      </c>
      <c r="B1131" s="20" t="s">
        <v>13</v>
      </c>
      <c r="C1131" s="20" t="s">
        <v>2172</v>
      </c>
      <c r="D1131" s="20" t="s">
        <v>2181</v>
      </c>
      <c r="E1131" s="20" t="s">
        <v>2182</v>
      </c>
      <c r="F1131" s="20">
        <v>37.14235</v>
      </c>
      <c r="G1131" s="20">
        <v>42.683017</v>
      </c>
      <c r="H1131" s="22">
        <v>284</v>
      </c>
      <c r="I1131" s="22">
        <v>1704</v>
      </c>
      <c r="J1131" s="21"/>
      <c r="K1131" s="21"/>
      <c r="L1131" s="21"/>
      <c r="M1131" s="21"/>
      <c r="N1131" s="21"/>
      <c r="O1131" s="21"/>
      <c r="P1131" s="21"/>
      <c r="Q1131" s="21"/>
      <c r="R1131" s="21">
        <v>1</v>
      </c>
      <c r="S1131" s="21"/>
      <c r="T1131" s="21"/>
      <c r="U1131" s="21"/>
      <c r="V1131" s="21">
        <v>282</v>
      </c>
      <c r="W1131" s="21"/>
      <c r="X1131" s="21">
        <v>1</v>
      </c>
      <c r="Y1131" s="21"/>
      <c r="Z1131" s="21"/>
      <c r="AA1131" s="21"/>
      <c r="AB1131" s="21"/>
      <c r="AC1131" s="21">
        <v>15</v>
      </c>
      <c r="AD1131" s="21"/>
      <c r="AE1131" s="21"/>
      <c r="AF1131" s="21"/>
      <c r="AG1131" s="21"/>
      <c r="AH1131" s="21">
        <v>254</v>
      </c>
      <c r="AI1131" s="21"/>
      <c r="AJ1131" s="21">
        <v>15</v>
      </c>
      <c r="AK1131" s="21"/>
      <c r="AL1131" s="21"/>
      <c r="AM1131" s="21">
        <v>149</v>
      </c>
      <c r="AN1131" s="21">
        <v>100</v>
      </c>
      <c r="AO1131" s="21"/>
      <c r="AP1131" s="21"/>
      <c r="AQ1131" s="21"/>
      <c r="AR1131" s="21"/>
      <c r="AS1131" s="21">
        <v>35</v>
      </c>
      <c r="AT1131" s="12" t="str">
        <f>HYPERLINK("http://www.openstreetmap.org/?mlat=37.1424&amp;mlon=42.683&amp;zoom=12#map=12/37.1424/42.683","Maplink1")</f>
        <v>Maplink1</v>
      </c>
      <c r="AU1131" s="12" t="str">
        <f>HYPERLINK("https://www.google.iq/maps/search/+37.1424,42.683/@37.1424,42.683,14z?hl=en","Maplink2")</f>
        <v>Maplink2</v>
      </c>
      <c r="AV1131" s="12" t="str">
        <f>HYPERLINK("http://www.bing.com/maps/?lvl=14&amp;sty=h&amp;cp=37.1424~42.683&amp;sp=point.37.1424_42.683","Maplink3")</f>
        <v>Maplink3</v>
      </c>
    </row>
    <row r="1132" spans="1:48" ht="15" customHeight="1" x14ac:dyDescent="0.25">
      <c r="A1132" s="19">
        <v>32027</v>
      </c>
      <c r="B1132" s="20" t="s">
        <v>13</v>
      </c>
      <c r="C1132" s="20" t="s">
        <v>2172</v>
      </c>
      <c r="D1132" s="20" t="s">
        <v>2183</v>
      </c>
      <c r="E1132" s="20" t="s">
        <v>2184</v>
      </c>
      <c r="F1132" s="20">
        <v>37.145617000000001</v>
      </c>
      <c r="G1132" s="20">
        <v>42.656706</v>
      </c>
      <c r="H1132" s="22">
        <v>1268</v>
      </c>
      <c r="I1132" s="22">
        <v>7608</v>
      </c>
      <c r="J1132" s="21">
        <v>6</v>
      </c>
      <c r="K1132" s="21"/>
      <c r="L1132" s="21"/>
      <c r="M1132" s="21"/>
      <c r="N1132" s="21"/>
      <c r="O1132" s="21"/>
      <c r="P1132" s="21"/>
      <c r="Q1132" s="21"/>
      <c r="R1132" s="21">
        <v>5</v>
      </c>
      <c r="S1132" s="21"/>
      <c r="T1132" s="21"/>
      <c r="U1132" s="21"/>
      <c r="V1132" s="21">
        <v>1257</v>
      </c>
      <c r="W1132" s="21"/>
      <c r="X1132" s="21"/>
      <c r="Y1132" s="21"/>
      <c r="Z1132" s="21"/>
      <c r="AA1132" s="21"/>
      <c r="AB1132" s="21"/>
      <c r="AC1132" s="21">
        <v>20</v>
      </c>
      <c r="AD1132" s="21"/>
      <c r="AE1132" s="21"/>
      <c r="AF1132" s="21"/>
      <c r="AG1132" s="21"/>
      <c r="AH1132" s="21">
        <v>1106</v>
      </c>
      <c r="AI1132" s="21"/>
      <c r="AJ1132" s="21">
        <v>142</v>
      </c>
      <c r="AK1132" s="21"/>
      <c r="AL1132" s="21">
        <v>6</v>
      </c>
      <c r="AM1132" s="21">
        <v>272</v>
      </c>
      <c r="AN1132" s="21">
        <v>300</v>
      </c>
      <c r="AO1132" s="21"/>
      <c r="AP1132" s="21"/>
      <c r="AQ1132" s="21"/>
      <c r="AR1132" s="21"/>
      <c r="AS1132" s="21">
        <v>690</v>
      </c>
      <c r="AT1132" s="12" t="str">
        <f>HYPERLINK("http://www.openstreetmap.org/?mlat=37.1456&amp;mlon=42.6567&amp;zoom=12#map=12/37.1456/42.6567","Maplink1")</f>
        <v>Maplink1</v>
      </c>
      <c r="AU1132" s="12" t="str">
        <f>HYPERLINK("https://www.google.iq/maps/search/+37.1456,42.6567/@37.1456,42.6567,14z?hl=en","Maplink2")</f>
        <v>Maplink2</v>
      </c>
      <c r="AV1132" s="12" t="str">
        <f>HYPERLINK("http://www.bing.com/maps/?lvl=14&amp;sty=h&amp;cp=37.1456~42.6567&amp;sp=point.37.1456_42.6567","Maplink3")</f>
        <v>Maplink3</v>
      </c>
    </row>
    <row r="1133" spans="1:48" ht="15" customHeight="1" x14ac:dyDescent="0.25">
      <c r="A1133" s="19">
        <v>24789</v>
      </c>
      <c r="B1133" s="20" t="s">
        <v>13</v>
      </c>
      <c r="C1133" s="20" t="s">
        <v>2172</v>
      </c>
      <c r="D1133" s="20" t="s">
        <v>6118</v>
      </c>
      <c r="E1133" s="20" t="s">
        <v>2185</v>
      </c>
      <c r="F1133" s="20">
        <v>37.179825999999998</v>
      </c>
      <c r="G1133" s="20">
        <v>42.856900000000003</v>
      </c>
      <c r="H1133" s="22">
        <v>1471</v>
      </c>
      <c r="I1133" s="22">
        <v>8826</v>
      </c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>
        <v>1471</v>
      </c>
      <c r="W1133" s="21"/>
      <c r="X1133" s="21"/>
      <c r="Y1133" s="21"/>
      <c r="Z1133" s="21"/>
      <c r="AA1133" s="21"/>
      <c r="AB1133" s="21">
        <v>1471</v>
      </c>
      <c r="AC1133" s="21"/>
      <c r="AD1133" s="21"/>
      <c r="AE1133" s="21"/>
      <c r="AF1133" s="21"/>
      <c r="AG1133" s="21"/>
      <c r="AH1133" s="21"/>
      <c r="AI1133" s="21"/>
      <c r="AJ1133" s="21"/>
      <c r="AK1133" s="21"/>
      <c r="AL1133" s="21"/>
      <c r="AM1133" s="21">
        <v>26</v>
      </c>
      <c r="AN1133" s="21">
        <v>1430</v>
      </c>
      <c r="AO1133" s="21"/>
      <c r="AP1133" s="21">
        <v>15</v>
      </c>
      <c r="AQ1133" s="21"/>
      <c r="AR1133" s="21"/>
      <c r="AS1133" s="21"/>
      <c r="AT1133" s="12" t="str">
        <f>HYPERLINK("http://www.openstreetmap.org/?mlat=37.1798&amp;mlon=42.8569&amp;zoom=12#map=12/37.1798/42.8569","Maplink1")</f>
        <v>Maplink1</v>
      </c>
      <c r="AU1133" s="12" t="str">
        <f>HYPERLINK("https://www.google.iq/maps/search/+37.1798,42.8569/@37.1798,42.8569,14z?hl=en","Maplink2")</f>
        <v>Maplink2</v>
      </c>
      <c r="AV1133" s="12" t="str">
        <f>HYPERLINK("http://www.bing.com/maps/?lvl=14&amp;sty=h&amp;cp=37.1798~42.8569&amp;sp=point.37.1798_42.8569","Maplink3")</f>
        <v>Maplink3</v>
      </c>
    </row>
    <row r="1134" spans="1:48" ht="15" customHeight="1" x14ac:dyDescent="0.25">
      <c r="A1134" s="19">
        <v>24792</v>
      </c>
      <c r="B1134" s="20" t="s">
        <v>13</v>
      </c>
      <c r="C1134" s="20" t="s">
        <v>2172</v>
      </c>
      <c r="D1134" s="20" t="s">
        <v>6119</v>
      </c>
      <c r="E1134" s="20" t="s">
        <v>2186</v>
      </c>
      <c r="F1134" s="20">
        <v>37.180413999999999</v>
      </c>
      <c r="G1134" s="20">
        <v>42.861567999999998</v>
      </c>
      <c r="H1134" s="22">
        <v>1748</v>
      </c>
      <c r="I1134" s="22">
        <v>10488</v>
      </c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>
        <v>1748</v>
      </c>
      <c r="W1134" s="21"/>
      <c r="X1134" s="21"/>
      <c r="Y1134" s="21"/>
      <c r="Z1134" s="21"/>
      <c r="AA1134" s="21"/>
      <c r="AB1134" s="21">
        <v>1748</v>
      </c>
      <c r="AC1134" s="21"/>
      <c r="AD1134" s="21"/>
      <c r="AE1134" s="21"/>
      <c r="AF1134" s="21"/>
      <c r="AG1134" s="21"/>
      <c r="AH1134" s="21"/>
      <c r="AI1134" s="21"/>
      <c r="AJ1134" s="21"/>
      <c r="AK1134" s="21"/>
      <c r="AL1134" s="21"/>
      <c r="AM1134" s="21"/>
      <c r="AN1134" s="21">
        <v>1748</v>
      </c>
      <c r="AO1134" s="21"/>
      <c r="AP1134" s="21"/>
      <c r="AQ1134" s="21"/>
      <c r="AR1134" s="21"/>
      <c r="AS1134" s="21"/>
      <c r="AT1134" s="12" t="str">
        <f>HYPERLINK("http://www.openstreetmap.org/?mlat=37.1804&amp;mlon=42.8616&amp;zoom=12#map=12/37.1804/42.8616","Maplink1")</f>
        <v>Maplink1</v>
      </c>
      <c r="AU1134" s="12" t="str">
        <f>HYPERLINK("https://www.google.iq/maps/search/+37.1804,42.8616/@37.1804,42.8616,14z?hl=en","Maplink2")</f>
        <v>Maplink2</v>
      </c>
      <c r="AV1134" s="12" t="str">
        <f>HYPERLINK("http://www.bing.com/maps/?lvl=14&amp;sty=h&amp;cp=37.1804~42.8616&amp;sp=point.37.1804_42.8616","Maplink3")</f>
        <v>Maplink3</v>
      </c>
    </row>
    <row r="1135" spans="1:48" ht="15" customHeight="1" x14ac:dyDescent="0.25">
      <c r="A1135" s="19">
        <v>8212</v>
      </c>
      <c r="B1135" s="20" t="s">
        <v>13</v>
      </c>
      <c r="C1135" s="20" t="s">
        <v>2172</v>
      </c>
      <c r="D1135" s="20" t="s">
        <v>6120</v>
      </c>
      <c r="E1135" s="20" t="s">
        <v>6121</v>
      </c>
      <c r="F1135" s="20">
        <v>37.190375000000003</v>
      </c>
      <c r="G1135" s="20">
        <v>42.856436000000002</v>
      </c>
      <c r="H1135" s="22">
        <v>67</v>
      </c>
      <c r="I1135" s="22">
        <v>402</v>
      </c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>
        <v>67</v>
      </c>
      <c r="W1135" s="21"/>
      <c r="X1135" s="21"/>
      <c r="Y1135" s="21"/>
      <c r="Z1135" s="21"/>
      <c r="AA1135" s="21"/>
      <c r="AB1135" s="21"/>
      <c r="AC1135" s="21">
        <v>10</v>
      </c>
      <c r="AD1135" s="21"/>
      <c r="AE1135" s="21"/>
      <c r="AF1135" s="21"/>
      <c r="AG1135" s="21"/>
      <c r="AH1135" s="21">
        <v>53</v>
      </c>
      <c r="AI1135" s="21"/>
      <c r="AJ1135" s="21">
        <v>4</v>
      </c>
      <c r="AK1135" s="21"/>
      <c r="AL1135" s="21"/>
      <c r="AM1135" s="21">
        <v>36</v>
      </c>
      <c r="AN1135" s="21">
        <v>31</v>
      </c>
      <c r="AO1135" s="21"/>
      <c r="AP1135" s="21"/>
      <c r="AQ1135" s="21"/>
      <c r="AR1135" s="21"/>
      <c r="AS1135" s="21"/>
      <c r="AT1135" s="12" t="str">
        <f>HYPERLINK("http://www.openstreetmap.org/?mlat=37.1904&amp;mlon=42.8564&amp;zoom=12#map=12/37.1904/42.8564","Maplink1")</f>
        <v>Maplink1</v>
      </c>
      <c r="AU1135" s="12" t="str">
        <f>HYPERLINK("https://www.google.iq/maps/search/+37.1904,42.8564/@37.1904,42.8564,14z?hl=en","Maplink2")</f>
        <v>Maplink2</v>
      </c>
      <c r="AV1135" s="12" t="str">
        <f>HYPERLINK("http://www.bing.com/maps/?lvl=14&amp;sty=h&amp;cp=37.1904~42.8564&amp;sp=point.37.1904_42.8564","Maplink3")</f>
        <v>Maplink3</v>
      </c>
    </row>
    <row r="1136" spans="1:48" ht="15" customHeight="1" x14ac:dyDescent="0.25">
      <c r="A1136" s="19">
        <v>32026</v>
      </c>
      <c r="B1136" s="20" t="s">
        <v>13</v>
      </c>
      <c r="C1136" s="20" t="s">
        <v>2172</v>
      </c>
      <c r="D1136" s="20" t="s">
        <v>2187</v>
      </c>
      <c r="E1136" s="20" t="s">
        <v>2188</v>
      </c>
      <c r="F1136" s="20">
        <v>37.059995000000001</v>
      </c>
      <c r="G1136" s="20">
        <v>42.734870999999998</v>
      </c>
      <c r="H1136" s="22">
        <v>189</v>
      </c>
      <c r="I1136" s="22">
        <v>1134</v>
      </c>
      <c r="J1136" s="21">
        <v>1</v>
      </c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>
        <v>188</v>
      </c>
      <c r="W1136" s="21"/>
      <c r="X1136" s="21"/>
      <c r="Y1136" s="21"/>
      <c r="Z1136" s="21"/>
      <c r="AA1136" s="21"/>
      <c r="AB1136" s="21"/>
      <c r="AC1136" s="21">
        <v>15</v>
      </c>
      <c r="AD1136" s="21"/>
      <c r="AE1136" s="21"/>
      <c r="AF1136" s="21"/>
      <c r="AG1136" s="21">
        <v>1</v>
      </c>
      <c r="AH1136" s="21">
        <v>159</v>
      </c>
      <c r="AI1136" s="21"/>
      <c r="AJ1136" s="21">
        <v>14</v>
      </c>
      <c r="AK1136" s="21"/>
      <c r="AL1136" s="21">
        <v>1</v>
      </c>
      <c r="AM1136" s="21">
        <v>77</v>
      </c>
      <c r="AN1136" s="21">
        <v>65</v>
      </c>
      <c r="AO1136" s="21"/>
      <c r="AP1136" s="21"/>
      <c r="AQ1136" s="21"/>
      <c r="AR1136" s="21"/>
      <c r="AS1136" s="21">
        <v>46</v>
      </c>
      <c r="AT1136" s="12" t="str">
        <f>HYPERLINK("http://www.openstreetmap.org/?mlat=37.06&amp;mlon=42.7349&amp;zoom=12#map=12/37.06/42.7349","Maplink1")</f>
        <v>Maplink1</v>
      </c>
      <c r="AU1136" s="12" t="str">
        <f>HYPERLINK("https://www.google.iq/maps/search/+37.06,42.7349/@37.06,42.7349,14z?hl=en","Maplink2")</f>
        <v>Maplink2</v>
      </c>
      <c r="AV1136" s="12" t="str">
        <f>HYPERLINK("http://www.bing.com/maps/?lvl=14&amp;sty=h&amp;cp=37.06~42.7349&amp;sp=point.37.06_42.7349","Maplink3")</f>
        <v>Maplink3</v>
      </c>
    </row>
    <row r="1137" spans="1:48" ht="15" customHeight="1" x14ac:dyDescent="0.25">
      <c r="A1137" s="19">
        <v>24793</v>
      </c>
      <c r="B1137" s="20" t="s">
        <v>13</v>
      </c>
      <c r="C1137" s="20" t="s">
        <v>2172</v>
      </c>
      <c r="D1137" s="20" t="s">
        <v>2189</v>
      </c>
      <c r="E1137" s="20" t="s">
        <v>2190</v>
      </c>
      <c r="F1137" s="20">
        <v>37.181162</v>
      </c>
      <c r="G1137" s="20">
        <v>42.679440999999997</v>
      </c>
      <c r="H1137" s="22">
        <v>5036</v>
      </c>
      <c r="I1137" s="22">
        <v>30216</v>
      </c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>
        <v>5036</v>
      </c>
      <c r="W1137" s="21"/>
      <c r="X1137" s="21"/>
      <c r="Y1137" s="21"/>
      <c r="Z1137" s="21"/>
      <c r="AA1137" s="21"/>
      <c r="AB1137" s="21">
        <v>5036</v>
      </c>
      <c r="AC1137" s="21"/>
      <c r="AD1137" s="21"/>
      <c r="AE1137" s="21"/>
      <c r="AF1137" s="21"/>
      <c r="AG1137" s="21"/>
      <c r="AH1137" s="21"/>
      <c r="AI1137" s="21"/>
      <c r="AJ1137" s="21"/>
      <c r="AK1137" s="21"/>
      <c r="AL1137" s="21"/>
      <c r="AM1137" s="21">
        <v>18</v>
      </c>
      <c r="AN1137" s="21">
        <v>5018</v>
      </c>
      <c r="AO1137" s="21"/>
      <c r="AP1137" s="21"/>
      <c r="AQ1137" s="21"/>
      <c r="AR1137" s="21"/>
      <c r="AS1137" s="21"/>
      <c r="AT1137" s="12" t="str">
        <f>HYPERLINK("http://www.openstreetmap.org/?mlat=37.1812&amp;mlon=42.6794&amp;zoom=12#map=12/37.1812/42.6794","Maplink1")</f>
        <v>Maplink1</v>
      </c>
      <c r="AU1137" s="12" t="str">
        <f>HYPERLINK("https://www.google.iq/maps/search/+37.1812,42.6794/@37.1812,42.6794,14z?hl=en","Maplink2")</f>
        <v>Maplink2</v>
      </c>
      <c r="AV1137" s="12" t="str">
        <f>HYPERLINK("http://www.bing.com/maps/?lvl=14&amp;sty=h&amp;cp=37.1812~42.6794&amp;sp=point.37.1812_42.6794","Maplink3")</f>
        <v>Maplink3</v>
      </c>
    </row>
    <row r="1138" spans="1:48" ht="15" customHeight="1" x14ac:dyDescent="0.25">
      <c r="A1138" s="19">
        <v>8766</v>
      </c>
      <c r="B1138" s="20" t="s">
        <v>13</v>
      </c>
      <c r="C1138" s="20" t="s">
        <v>2172</v>
      </c>
      <c r="D1138" s="20" t="s">
        <v>2191</v>
      </c>
      <c r="E1138" s="20" t="s">
        <v>2192</v>
      </c>
      <c r="F1138" s="20">
        <v>37.1398346</v>
      </c>
      <c r="G1138" s="20">
        <v>42.598726540000001</v>
      </c>
      <c r="H1138" s="22">
        <v>180</v>
      </c>
      <c r="I1138" s="22">
        <v>1080</v>
      </c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>
        <v>180</v>
      </c>
      <c r="W1138" s="21"/>
      <c r="X1138" s="21"/>
      <c r="Y1138" s="21"/>
      <c r="Z1138" s="21"/>
      <c r="AA1138" s="21"/>
      <c r="AB1138" s="21"/>
      <c r="AC1138" s="21">
        <v>3</v>
      </c>
      <c r="AD1138" s="21"/>
      <c r="AE1138" s="21"/>
      <c r="AF1138" s="21"/>
      <c r="AG1138" s="21"/>
      <c r="AH1138" s="21">
        <v>177</v>
      </c>
      <c r="AI1138" s="21"/>
      <c r="AJ1138" s="21"/>
      <c r="AK1138" s="21"/>
      <c r="AL1138" s="21"/>
      <c r="AM1138" s="21"/>
      <c r="AN1138" s="21">
        <v>59</v>
      </c>
      <c r="AO1138" s="21"/>
      <c r="AP1138" s="21"/>
      <c r="AQ1138" s="21"/>
      <c r="AR1138" s="21"/>
      <c r="AS1138" s="21">
        <v>121</v>
      </c>
      <c r="AT1138" s="12" t="str">
        <f>HYPERLINK("http://www.openstreetmap.org/?mlat=37.1398&amp;mlon=42.5987&amp;zoom=12#map=12/37.1398/42.5987","Maplink1")</f>
        <v>Maplink1</v>
      </c>
      <c r="AU1138" s="12" t="str">
        <f>HYPERLINK("https://www.google.iq/maps/search/+37.1398,42.5987/@37.1398,42.5987,14z?hl=en","Maplink2")</f>
        <v>Maplink2</v>
      </c>
      <c r="AV1138" s="12" t="str">
        <f>HYPERLINK("http://www.bing.com/maps/?lvl=14&amp;sty=h&amp;cp=37.1398~42.5987&amp;sp=point.37.1398_42.5987","Maplink3")</f>
        <v>Maplink3</v>
      </c>
    </row>
    <row r="1139" spans="1:48" ht="15" customHeight="1" x14ac:dyDescent="0.25">
      <c r="A1139" s="19">
        <v>8220</v>
      </c>
      <c r="B1139" s="20" t="s">
        <v>13</v>
      </c>
      <c r="C1139" s="20" t="s">
        <v>2172</v>
      </c>
      <c r="D1139" s="20" t="s">
        <v>6122</v>
      </c>
      <c r="E1139" s="20" t="s">
        <v>6123</v>
      </c>
      <c r="F1139" s="20">
        <v>37.171486999999999</v>
      </c>
      <c r="G1139" s="20">
        <v>42.750602000000001</v>
      </c>
      <c r="H1139" s="22">
        <v>10</v>
      </c>
      <c r="I1139" s="22">
        <v>60</v>
      </c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>
        <v>10</v>
      </c>
      <c r="W1139" s="21"/>
      <c r="X1139" s="21"/>
      <c r="Y1139" s="21"/>
      <c r="Z1139" s="21"/>
      <c r="AA1139" s="21"/>
      <c r="AB1139" s="21"/>
      <c r="AC1139" s="21">
        <v>10</v>
      </c>
      <c r="AD1139" s="21"/>
      <c r="AE1139" s="21"/>
      <c r="AF1139" s="21"/>
      <c r="AG1139" s="21"/>
      <c r="AH1139" s="21"/>
      <c r="AI1139" s="21"/>
      <c r="AJ1139" s="21"/>
      <c r="AK1139" s="21"/>
      <c r="AL1139" s="21"/>
      <c r="AM1139" s="21"/>
      <c r="AN1139" s="21">
        <v>10</v>
      </c>
      <c r="AO1139" s="21"/>
      <c r="AP1139" s="21"/>
      <c r="AQ1139" s="21"/>
      <c r="AR1139" s="21"/>
      <c r="AS1139" s="21"/>
      <c r="AT1139" s="12" t="str">
        <f>HYPERLINK("http://www.openstreetmap.org/?mlat=37.1715&amp;mlon=42.7506&amp;zoom=12#map=12/37.1715/42.7506","Maplink1")</f>
        <v>Maplink1</v>
      </c>
      <c r="AU1139" s="12" t="str">
        <f>HYPERLINK("https://www.google.iq/maps/search/+37.1715,42.7506/@37.1715,42.7506,14z?hl=en","Maplink2")</f>
        <v>Maplink2</v>
      </c>
      <c r="AV1139" s="12" t="str">
        <f>HYPERLINK("http://www.bing.com/maps/?lvl=14&amp;sty=h&amp;cp=37.1715~42.7506&amp;sp=point.37.1715_42.7506","Maplink3")</f>
        <v>Maplink3</v>
      </c>
    </row>
    <row r="1140" spans="1:48" ht="15" customHeight="1" x14ac:dyDescent="0.25">
      <c r="A1140" s="19">
        <v>8084</v>
      </c>
      <c r="B1140" s="20" t="s">
        <v>13</v>
      </c>
      <c r="C1140" s="20" t="s">
        <v>2172</v>
      </c>
      <c r="D1140" s="20" t="s">
        <v>2193</v>
      </c>
      <c r="E1140" s="20" t="s">
        <v>2194</v>
      </c>
      <c r="F1140" s="20">
        <v>37.196392160000002</v>
      </c>
      <c r="G1140" s="20">
        <v>42.81944043</v>
      </c>
      <c r="H1140" s="22">
        <v>301</v>
      </c>
      <c r="I1140" s="22">
        <v>1806</v>
      </c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>
        <v>301</v>
      </c>
      <c r="W1140" s="21"/>
      <c r="X1140" s="21"/>
      <c r="Y1140" s="21"/>
      <c r="Z1140" s="21"/>
      <c r="AA1140" s="21"/>
      <c r="AB1140" s="21"/>
      <c r="AC1140" s="21">
        <v>42</v>
      </c>
      <c r="AD1140" s="21"/>
      <c r="AE1140" s="21"/>
      <c r="AF1140" s="21"/>
      <c r="AG1140" s="21"/>
      <c r="AH1140" s="21">
        <v>230</v>
      </c>
      <c r="AI1140" s="21"/>
      <c r="AJ1140" s="21">
        <v>29</v>
      </c>
      <c r="AK1140" s="21"/>
      <c r="AL1140" s="21"/>
      <c r="AM1140" s="21">
        <v>27</v>
      </c>
      <c r="AN1140" s="21">
        <v>240</v>
      </c>
      <c r="AO1140" s="21"/>
      <c r="AP1140" s="21"/>
      <c r="AQ1140" s="21"/>
      <c r="AR1140" s="21"/>
      <c r="AS1140" s="21">
        <v>34</v>
      </c>
      <c r="AT1140" s="12" t="str">
        <f>HYPERLINK("http://www.openstreetmap.org/?mlat=37.1964&amp;mlon=42.8194&amp;zoom=12#map=12/37.1964/42.8194","Maplink1")</f>
        <v>Maplink1</v>
      </c>
      <c r="AU1140" s="12" t="str">
        <f>HYPERLINK("https://www.google.iq/maps/search/+37.1964,42.8194/@37.1964,42.8194,14z?hl=en","Maplink2")</f>
        <v>Maplink2</v>
      </c>
      <c r="AV1140" s="12" t="str">
        <f>HYPERLINK("http://www.bing.com/maps/?lvl=14&amp;sty=h&amp;cp=37.1964~42.8194&amp;sp=point.37.1964_42.8194","Maplink3")</f>
        <v>Maplink3</v>
      </c>
    </row>
    <row r="1141" spans="1:48" ht="15" customHeight="1" x14ac:dyDescent="0.25">
      <c r="A1141" s="19">
        <v>29568</v>
      </c>
      <c r="B1141" s="20" t="s">
        <v>13</v>
      </c>
      <c r="C1141" s="20" t="s">
        <v>2172</v>
      </c>
      <c r="D1141" s="20" t="s">
        <v>2195</v>
      </c>
      <c r="E1141" s="20" t="s">
        <v>2196</v>
      </c>
      <c r="F1141" s="20">
        <v>37.197991999999999</v>
      </c>
      <c r="G1141" s="20">
        <v>42.833177999999997</v>
      </c>
      <c r="H1141" s="22">
        <v>720</v>
      </c>
      <c r="I1141" s="22">
        <v>4320</v>
      </c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>
        <v>720</v>
      </c>
      <c r="W1141" s="21"/>
      <c r="X1141" s="21"/>
      <c r="Y1141" s="21"/>
      <c r="Z1141" s="21"/>
      <c r="AA1141" s="21"/>
      <c r="AB1141" s="21">
        <v>720</v>
      </c>
      <c r="AC1141" s="21"/>
      <c r="AD1141" s="21"/>
      <c r="AE1141" s="21"/>
      <c r="AF1141" s="21"/>
      <c r="AG1141" s="21"/>
      <c r="AH1141" s="21"/>
      <c r="AI1141" s="21"/>
      <c r="AJ1141" s="21"/>
      <c r="AK1141" s="21"/>
      <c r="AL1141" s="21"/>
      <c r="AM1141" s="21"/>
      <c r="AN1141" s="21">
        <v>720</v>
      </c>
      <c r="AO1141" s="21"/>
      <c r="AP1141" s="21"/>
      <c r="AQ1141" s="21"/>
      <c r="AR1141" s="21"/>
      <c r="AS1141" s="21"/>
      <c r="AT1141" s="12" t="str">
        <f>HYPERLINK("http://www.openstreetmap.org/?mlat=37.198&amp;mlon=42.8332&amp;zoom=12#map=12/37.198/42.8332","Maplink1")</f>
        <v>Maplink1</v>
      </c>
      <c r="AU1141" s="12" t="str">
        <f>HYPERLINK("https://www.google.iq/maps/search/+37.198,42.8332/@37.198,42.8332,14z?hl=en","Maplink2")</f>
        <v>Maplink2</v>
      </c>
      <c r="AV1141" s="12" t="str">
        <f>HYPERLINK("http://www.bing.com/maps/?lvl=14&amp;sty=h&amp;cp=37.198~42.8332&amp;sp=point.37.198_42.8332","Maplink3")</f>
        <v>Maplink3</v>
      </c>
    </row>
    <row r="1142" spans="1:48" ht="15" customHeight="1" x14ac:dyDescent="0.25">
      <c r="A1142" s="19">
        <v>25992</v>
      </c>
      <c r="B1142" s="20" t="s">
        <v>13</v>
      </c>
      <c r="C1142" s="20" t="s">
        <v>2172</v>
      </c>
      <c r="D1142" s="20" t="s">
        <v>2197</v>
      </c>
      <c r="E1142" s="20" t="s">
        <v>2198</v>
      </c>
      <c r="F1142" s="20">
        <v>37.087164829999999</v>
      </c>
      <c r="G1142" s="20">
        <v>42.428710359999997</v>
      </c>
      <c r="H1142" s="22">
        <v>544</v>
      </c>
      <c r="I1142" s="22">
        <v>3264</v>
      </c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>
        <v>544</v>
      </c>
      <c r="W1142" s="21"/>
      <c r="X1142" s="21"/>
      <c r="Y1142" s="21"/>
      <c r="Z1142" s="21"/>
      <c r="AA1142" s="21"/>
      <c r="AB1142" s="21"/>
      <c r="AC1142" s="21">
        <v>82</v>
      </c>
      <c r="AD1142" s="21"/>
      <c r="AE1142" s="21">
        <v>246</v>
      </c>
      <c r="AF1142" s="21"/>
      <c r="AG1142" s="21"/>
      <c r="AH1142" s="21">
        <v>196</v>
      </c>
      <c r="AI1142" s="21"/>
      <c r="AJ1142" s="21">
        <v>20</v>
      </c>
      <c r="AK1142" s="21"/>
      <c r="AL1142" s="21"/>
      <c r="AM1142" s="21"/>
      <c r="AN1142" s="21">
        <v>544</v>
      </c>
      <c r="AO1142" s="21"/>
      <c r="AP1142" s="21"/>
      <c r="AQ1142" s="21"/>
      <c r="AR1142" s="21"/>
      <c r="AS1142" s="21"/>
      <c r="AT1142" s="12" t="str">
        <f>HYPERLINK("http://www.openstreetmap.org/?mlat=37.0872&amp;mlon=42.4287&amp;zoom=12#map=12/37.0872/42.4287","Maplink1")</f>
        <v>Maplink1</v>
      </c>
      <c r="AU1142" s="12" t="str">
        <f>HYPERLINK("https://www.google.iq/maps/search/+37.0872,42.4287/@37.0872,42.4287,14z?hl=en","Maplink2")</f>
        <v>Maplink2</v>
      </c>
      <c r="AV1142" s="12" t="str">
        <f>HYPERLINK("http://www.bing.com/maps/?lvl=14&amp;sty=h&amp;cp=37.0872~42.4287&amp;sp=point.37.0872_42.4287","Maplink3")</f>
        <v>Maplink3</v>
      </c>
    </row>
    <row r="1143" spans="1:48" ht="15" customHeight="1" x14ac:dyDescent="0.25">
      <c r="A1143" s="19">
        <v>32032</v>
      </c>
      <c r="B1143" s="20" t="s">
        <v>13</v>
      </c>
      <c r="C1143" s="20" t="s">
        <v>2172</v>
      </c>
      <c r="D1143" s="20" t="s">
        <v>2199</v>
      </c>
      <c r="E1143" s="20" t="s">
        <v>2200</v>
      </c>
      <c r="F1143" s="20">
        <v>37.156410000000001</v>
      </c>
      <c r="G1143" s="20">
        <v>42.707458000000003</v>
      </c>
      <c r="H1143" s="22">
        <v>925</v>
      </c>
      <c r="I1143" s="22">
        <v>5550</v>
      </c>
      <c r="J1143" s="21">
        <v>2</v>
      </c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>
        <v>922</v>
      </c>
      <c r="W1143" s="21"/>
      <c r="X1143" s="21">
        <v>1</v>
      </c>
      <c r="Y1143" s="21"/>
      <c r="Z1143" s="21"/>
      <c r="AA1143" s="21"/>
      <c r="AB1143" s="21"/>
      <c r="AC1143" s="21">
        <v>10</v>
      </c>
      <c r="AD1143" s="21"/>
      <c r="AE1143" s="21"/>
      <c r="AF1143" s="21"/>
      <c r="AG1143" s="21"/>
      <c r="AH1143" s="21">
        <v>750</v>
      </c>
      <c r="AI1143" s="21"/>
      <c r="AJ1143" s="21">
        <v>165</v>
      </c>
      <c r="AK1143" s="21"/>
      <c r="AL1143" s="21">
        <v>2</v>
      </c>
      <c r="AM1143" s="21">
        <v>215</v>
      </c>
      <c r="AN1143" s="21">
        <v>493</v>
      </c>
      <c r="AO1143" s="21"/>
      <c r="AP1143" s="21">
        <v>5</v>
      </c>
      <c r="AQ1143" s="21"/>
      <c r="AR1143" s="21"/>
      <c r="AS1143" s="21">
        <v>210</v>
      </c>
      <c r="AT1143" s="12" t="str">
        <f>HYPERLINK("http://www.openstreetmap.org/?mlat=37.1564&amp;mlon=42.7075&amp;zoom=12#map=12/37.1564/42.7075","Maplink1")</f>
        <v>Maplink1</v>
      </c>
      <c r="AU1143" s="12" t="str">
        <f>HYPERLINK("https://www.google.iq/maps/search/+37.1564,42.7075/@37.1564,42.7075,14z?hl=en","Maplink2")</f>
        <v>Maplink2</v>
      </c>
      <c r="AV1143" s="12" t="str">
        <f>HYPERLINK("http://www.bing.com/maps/?lvl=14&amp;sty=h&amp;cp=37.1564~42.7075&amp;sp=point.37.1564_42.7075","Maplink3")</f>
        <v>Maplink3</v>
      </c>
    </row>
    <row r="1144" spans="1:48" ht="15" customHeight="1" x14ac:dyDescent="0.25">
      <c r="A1144" s="19">
        <v>23620</v>
      </c>
      <c r="B1144" s="20" t="s">
        <v>13</v>
      </c>
      <c r="C1144" s="20" t="s">
        <v>2172</v>
      </c>
      <c r="D1144" s="20" t="s">
        <v>5637</v>
      </c>
      <c r="E1144" s="20" t="s">
        <v>2201</v>
      </c>
      <c r="F1144" s="20">
        <v>37.06745325</v>
      </c>
      <c r="G1144" s="20">
        <v>42.37711693</v>
      </c>
      <c r="H1144" s="22">
        <v>57</v>
      </c>
      <c r="I1144" s="22">
        <v>342</v>
      </c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>
        <v>57</v>
      </c>
      <c r="W1144" s="21"/>
      <c r="X1144" s="21"/>
      <c r="Y1144" s="21"/>
      <c r="Z1144" s="21"/>
      <c r="AA1144" s="21"/>
      <c r="AB1144" s="21"/>
      <c r="AC1144" s="21">
        <v>10</v>
      </c>
      <c r="AD1144" s="21"/>
      <c r="AE1144" s="21">
        <v>11</v>
      </c>
      <c r="AF1144" s="21"/>
      <c r="AG1144" s="21"/>
      <c r="AH1144" s="21">
        <v>2</v>
      </c>
      <c r="AI1144" s="21"/>
      <c r="AJ1144" s="21">
        <v>34</v>
      </c>
      <c r="AK1144" s="21"/>
      <c r="AL1144" s="21"/>
      <c r="AM1144" s="21"/>
      <c r="AN1144" s="21">
        <v>57</v>
      </c>
      <c r="AO1144" s="21"/>
      <c r="AP1144" s="21"/>
      <c r="AQ1144" s="21"/>
      <c r="AR1144" s="21"/>
      <c r="AS1144" s="21"/>
      <c r="AT1144" s="12" t="str">
        <f>HYPERLINK("http://www.openstreetmap.org/?mlat=37.0675&amp;mlon=42.3771&amp;zoom=12#map=12/37.0675/42.3771","Maplink1")</f>
        <v>Maplink1</v>
      </c>
      <c r="AU1144" s="12" t="str">
        <f>HYPERLINK("https://www.google.iq/maps/search/+37.0675,42.3771/@37.0675,42.3771,14z?hl=en","Maplink2")</f>
        <v>Maplink2</v>
      </c>
      <c r="AV1144" s="12" t="str">
        <f>HYPERLINK("http://www.bing.com/maps/?lvl=14&amp;sty=h&amp;cp=37.0675~42.3771&amp;sp=point.37.0675_42.3771","Maplink3")</f>
        <v>Maplink3</v>
      </c>
    </row>
    <row r="1145" spans="1:48" ht="15" customHeight="1" x14ac:dyDescent="0.25">
      <c r="A1145" s="19">
        <v>8718</v>
      </c>
      <c r="B1145" s="20" t="s">
        <v>13</v>
      </c>
      <c r="C1145" s="20" t="s">
        <v>2172</v>
      </c>
      <c r="D1145" s="20" t="s">
        <v>6124</v>
      </c>
      <c r="E1145" s="20" t="s">
        <v>6125</v>
      </c>
      <c r="F1145" s="20">
        <v>37.109551000000003</v>
      </c>
      <c r="G1145" s="20">
        <v>43.057794000000001</v>
      </c>
      <c r="H1145" s="22">
        <v>22</v>
      </c>
      <c r="I1145" s="22">
        <v>132</v>
      </c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>
        <v>22</v>
      </c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>
        <v>1</v>
      </c>
      <c r="AI1145" s="21"/>
      <c r="AJ1145" s="21">
        <v>21</v>
      </c>
      <c r="AK1145" s="21"/>
      <c r="AL1145" s="21"/>
      <c r="AM1145" s="21">
        <v>8</v>
      </c>
      <c r="AN1145" s="21">
        <v>14</v>
      </c>
      <c r="AO1145" s="21"/>
      <c r="AP1145" s="21"/>
      <c r="AQ1145" s="21"/>
      <c r="AR1145" s="21"/>
      <c r="AS1145" s="21"/>
      <c r="AT1145" s="12" t="str">
        <f>HYPERLINK("http://www.openstreetmap.org/?mlat=37.1096&amp;mlon=43.0578&amp;zoom=12#map=12/37.1096/43.0578","Maplink1")</f>
        <v>Maplink1</v>
      </c>
      <c r="AU1145" s="12" t="str">
        <f>HYPERLINK("https://www.google.iq/maps/search/+37.1096,43.0578/@37.1096,43.0578,14z?hl=en","Maplink2")</f>
        <v>Maplink2</v>
      </c>
      <c r="AV1145" s="12" t="str">
        <f>HYPERLINK("http://www.bing.com/maps/?lvl=14&amp;sty=h&amp;cp=37.1096~43.0578&amp;sp=point.37.1096_43.0578","Maplink3")</f>
        <v>Maplink3</v>
      </c>
    </row>
    <row r="1146" spans="1:48" ht="15" customHeight="1" x14ac:dyDescent="0.25">
      <c r="A1146" s="19">
        <v>33580</v>
      </c>
      <c r="B1146" s="20" t="s">
        <v>13</v>
      </c>
      <c r="C1146" s="20" t="s">
        <v>2172</v>
      </c>
      <c r="D1146" s="20" t="s">
        <v>6126</v>
      </c>
      <c r="E1146" s="20" t="s">
        <v>6127</v>
      </c>
      <c r="F1146" s="20">
        <v>37.181362999999997</v>
      </c>
      <c r="G1146" s="20">
        <v>42.784084999999997</v>
      </c>
      <c r="H1146" s="22">
        <v>31</v>
      </c>
      <c r="I1146" s="22">
        <v>186</v>
      </c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>
        <v>31</v>
      </c>
      <c r="W1146" s="21"/>
      <c r="X1146" s="21"/>
      <c r="Y1146" s="21"/>
      <c r="Z1146" s="21"/>
      <c r="AA1146" s="21"/>
      <c r="AB1146" s="21"/>
      <c r="AC1146" s="21">
        <v>2</v>
      </c>
      <c r="AD1146" s="21"/>
      <c r="AE1146" s="21"/>
      <c r="AF1146" s="21"/>
      <c r="AG1146" s="21"/>
      <c r="AH1146" s="21">
        <v>27</v>
      </c>
      <c r="AI1146" s="21"/>
      <c r="AJ1146" s="21">
        <v>2</v>
      </c>
      <c r="AK1146" s="21"/>
      <c r="AL1146" s="21"/>
      <c r="AM1146" s="21">
        <v>14</v>
      </c>
      <c r="AN1146" s="21">
        <v>17</v>
      </c>
      <c r="AO1146" s="21"/>
      <c r="AP1146" s="21"/>
      <c r="AQ1146" s="21"/>
      <c r="AR1146" s="21"/>
      <c r="AS1146" s="21"/>
      <c r="AT1146" s="12" t="str">
        <f>HYPERLINK("http://www.openstreetmap.org/?mlat=37.1814&amp;mlon=42.7841&amp;zoom=12#map=12/37.1814/42.7841","Maplink1")</f>
        <v>Maplink1</v>
      </c>
      <c r="AU1146" s="12" t="str">
        <f>HYPERLINK("https://www.google.iq/maps/search/+37.1814,42.7841/@37.1814,42.7841,14z?hl=en","Maplink2")</f>
        <v>Maplink2</v>
      </c>
      <c r="AV1146" s="12" t="str">
        <f>HYPERLINK("http://www.bing.com/maps/?lvl=14&amp;sty=h&amp;cp=37.1814~42.7841&amp;sp=point.37.1814_42.7841","Maplink3")</f>
        <v>Maplink3</v>
      </c>
    </row>
    <row r="1147" spans="1:48" ht="15" customHeight="1" x14ac:dyDescent="0.25">
      <c r="A1147" s="19">
        <v>8156</v>
      </c>
      <c r="B1147" s="20" t="s">
        <v>13</v>
      </c>
      <c r="C1147" s="20" t="s">
        <v>2172</v>
      </c>
      <c r="D1147" s="20" t="s">
        <v>6128</v>
      </c>
      <c r="E1147" s="20" t="s">
        <v>6129</v>
      </c>
      <c r="F1147" s="20">
        <v>37.177743999999997</v>
      </c>
      <c r="G1147" s="20">
        <v>42.810597000000001</v>
      </c>
      <c r="H1147" s="22">
        <v>178</v>
      </c>
      <c r="I1147" s="22">
        <v>1068</v>
      </c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>
        <v>178</v>
      </c>
      <c r="W1147" s="21"/>
      <c r="X1147" s="21"/>
      <c r="Y1147" s="21"/>
      <c r="Z1147" s="21"/>
      <c r="AA1147" s="21"/>
      <c r="AB1147" s="21"/>
      <c r="AC1147" s="21">
        <v>31</v>
      </c>
      <c r="AD1147" s="21"/>
      <c r="AE1147" s="21"/>
      <c r="AF1147" s="21"/>
      <c r="AG1147" s="21"/>
      <c r="AH1147" s="21">
        <v>130</v>
      </c>
      <c r="AI1147" s="21"/>
      <c r="AJ1147" s="21">
        <v>17</v>
      </c>
      <c r="AK1147" s="21"/>
      <c r="AL1147" s="21"/>
      <c r="AM1147" s="21">
        <v>20</v>
      </c>
      <c r="AN1147" s="21">
        <v>158</v>
      </c>
      <c r="AO1147" s="21"/>
      <c r="AP1147" s="21"/>
      <c r="AQ1147" s="21"/>
      <c r="AR1147" s="21"/>
      <c r="AS1147" s="21"/>
      <c r="AT1147" s="12" t="str">
        <f>HYPERLINK("http://www.openstreetmap.org/?mlat=37.1777&amp;mlon=42.8106&amp;zoom=12#map=12/37.1777/42.8106","Maplink1")</f>
        <v>Maplink1</v>
      </c>
      <c r="AU1147" s="12" t="str">
        <f>HYPERLINK("https://www.google.iq/maps/search/+37.1777,42.8106/@37.1777,42.8106,14z?hl=en","Maplink2")</f>
        <v>Maplink2</v>
      </c>
      <c r="AV1147" s="12" t="str">
        <f>HYPERLINK("http://www.bing.com/maps/?lvl=14&amp;sty=h&amp;cp=37.1777~42.8106&amp;sp=point.37.1777_42.8106","Maplink3")</f>
        <v>Maplink3</v>
      </c>
    </row>
    <row r="1148" spans="1:48" ht="15" customHeight="1" x14ac:dyDescent="0.25">
      <c r="A1148" s="19">
        <v>32028</v>
      </c>
      <c r="B1148" s="20" t="s">
        <v>13</v>
      </c>
      <c r="C1148" s="20" t="s">
        <v>2172</v>
      </c>
      <c r="D1148" s="20" t="s">
        <v>2202</v>
      </c>
      <c r="E1148" s="20" t="s">
        <v>2203</v>
      </c>
      <c r="F1148" s="20">
        <v>37.148933999999997</v>
      </c>
      <c r="G1148" s="20">
        <v>42.747923</v>
      </c>
      <c r="H1148" s="22">
        <v>879</v>
      </c>
      <c r="I1148" s="22">
        <v>5274</v>
      </c>
      <c r="J1148" s="21">
        <v>1</v>
      </c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>
        <v>876</v>
      </c>
      <c r="W1148" s="21"/>
      <c r="X1148" s="21">
        <v>2</v>
      </c>
      <c r="Y1148" s="21"/>
      <c r="Z1148" s="21"/>
      <c r="AA1148" s="21"/>
      <c r="AB1148" s="21"/>
      <c r="AC1148" s="21">
        <v>17</v>
      </c>
      <c r="AD1148" s="21"/>
      <c r="AE1148" s="21"/>
      <c r="AF1148" s="21"/>
      <c r="AG1148" s="21"/>
      <c r="AH1148" s="21">
        <v>565</v>
      </c>
      <c r="AI1148" s="21"/>
      <c r="AJ1148" s="21">
        <v>297</v>
      </c>
      <c r="AK1148" s="21"/>
      <c r="AL1148" s="21">
        <v>1</v>
      </c>
      <c r="AM1148" s="21">
        <v>88</v>
      </c>
      <c r="AN1148" s="21">
        <v>478</v>
      </c>
      <c r="AO1148" s="21"/>
      <c r="AP1148" s="21">
        <v>13</v>
      </c>
      <c r="AQ1148" s="21"/>
      <c r="AR1148" s="21"/>
      <c r="AS1148" s="21">
        <v>299</v>
      </c>
      <c r="AT1148" s="12" t="str">
        <f>HYPERLINK("http://www.openstreetmap.org/?mlat=37.1489&amp;mlon=42.7479&amp;zoom=12#map=12/37.1489/42.7479","Maplink1")</f>
        <v>Maplink1</v>
      </c>
      <c r="AU1148" s="12" t="str">
        <f>HYPERLINK("https://www.google.iq/maps/search/+37.1489,42.7479/@37.1489,42.7479,14z?hl=en","Maplink2")</f>
        <v>Maplink2</v>
      </c>
      <c r="AV1148" s="12" t="str">
        <f>HYPERLINK("http://www.bing.com/maps/?lvl=14&amp;sty=h&amp;cp=37.1489~42.7479&amp;sp=point.37.1489_42.7479","Maplink3")</f>
        <v>Maplink3</v>
      </c>
    </row>
    <row r="1149" spans="1:48" ht="15" customHeight="1" x14ac:dyDescent="0.25">
      <c r="A1149" s="19">
        <v>32033</v>
      </c>
      <c r="B1149" s="20" t="s">
        <v>13</v>
      </c>
      <c r="C1149" s="20" t="s">
        <v>2172</v>
      </c>
      <c r="D1149" s="20" t="s">
        <v>2204</v>
      </c>
      <c r="E1149" s="20" t="s">
        <v>2205</v>
      </c>
      <c r="F1149" s="20">
        <v>37.168532999999996</v>
      </c>
      <c r="G1149" s="20">
        <v>42.686732999999997</v>
      </c>
      <c r="H1149" s="22">
        <v>933</v>
      </c>
      <c r="I1149" s="22">
        <v>5598</v>
      </c>
      <c r="J1149" s="21">
        <v>1</v>
      </c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>
        <v>928</v>
      </c>
      <c r="W1149" s="21"/>
      <c r="X1149" s="21">
        <v>4</v>
      </c>
      <c r="Y1149" s="21"/>
      <c r="Z1149" s="21"/>
      <c r="AA1149" s="21"/>
      <c r="AB1149" s="21"/>
      <c r="AC1149" s="21">
        <v>30</v>
      </c>
      <c r="AD1149" s="21"/>
      <c r="AE1149" s="21"/>
      <c r="AF1149" s="21"/>
      <c r="AG1149" s="21"/>
      <c r="AH1149" s="21">
        <v>865</v>
      </c>
      <c r="AI1149" s="21"/>
      <c r="AJ1149" s="21">
        <v>38</v>
      </c>
      <c r="AK1149" s="21"/>
      <c r="AL1149" s="21">
        <v>1</v>
      </c>
      <c r="AM1149" s="21">
        <v>257</v>
      </c>
      <c r="AN1149" s="21">
        <v>431</v>
      </c>
      <c r="AO1149" s="21"/>
      <c r="AP1149" s="21"/>
      <c r="AQ1149" s="21"/>
      <c r="AR1149" s="21"/>
      <c r="AS1149" s="21">
        <v>244</v>
      </c>
      <c r="AT1149" s="12" t="str">
        <f>HYPERLINK("http://www.openstreetmap.org/?mlat=37.1685&amp;mlon=42.6867&amp;zoom=12#map=12/37.1685/42.6867","Maplink1")</f>
        <v>Maplink1</v>
      </c>
      <c r="AU1149" s="12" t="str">
        <f>HYPERLINK("https://www.google.iq/maps/search/+37.1685,42.6867/@37.1685,42.6867,14z?hl=en","Maplink2")</f>
        <v>Maplink2</v>
      </c>
      <c r="AV1149" s="12" t="str">
        <f>HYPERLINK("http://www.bing.com/maps/?lvl=14&amp;sty=h&amp;cp=37.1685~42.6867&amp;sp=point.37.1685_42.6867","Maplink3")</f>
        <v>Maplink3</v>
      </c>
    </row>
    <row r="1150" spans="1:48" ht="15" customHeight="1" x14ac:dyDescent="0.25">
      <c r="A1150" s="19">
        <v>8152</v>
      </c>
      <c r="B1150" s="20" t="s">
        <v>13</v>
      </c>
      <c r="C1150" s="20" t="s">
        <v>2172</v>
      </c>
      <c r="D1150" s="20" t="s">
        <v>2206</v>
      </c>
      <c r="E1150" s="20" t="s">
        <v>2207</v>
      </c>
      <c r="F1150" s="20">
        <v>37.149225000000001</v>
      </c>
      <c r="G1150" s="20">
        <v>42.925893000000002</v>
      </c>
      <c r="H1150" s="22">
        <v>71</v>
      </c>
      <c r="I1150" s="22">
        <v>426</v>
      </c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>
        <v>71</v>
      </c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>
        <v>57</v>
      </c>
      <c r="AI1150" s="21"/>
      <c r="AJ1150" s="21">
        <v>14</v>
      </c>
      <c r="AK1150" s="21"/>
      <c r="AL1150" s="21"/>
      <c r="AM1150" s="21">
        <v>18</v>
      </c>
      <c r="AN1150" s="21">
        <v>53</v>
      </c>
      <c r="AO1150" s="21"/>
      <c r="AP1150" s="21"/>
      <c r="AQ1150" s="21"/>
      <c r="AR1150" s="21"/>
      <c r="AS1150" s="21"/>
      <c r="AT1150" s="12" t="str">
        <f>HYPERLINK("http://www.openstreetmap.org/?mlat=37.1492&amp;mlon=42.9259&amp;zoom=12#map=12/37.1492/42.9259","Maplink1")</f>
        <v>Maplink1</v>
      </c>
      <c r="AU1150" s="12" t="str">
        <f>HYPERLINK("https://www.google.iq/maps/search/+37.1492,42.9259/@37.1492,42.9259,14z?hl=en","Maplink2")</f>
        <v>Maplink2</v>
      </c>
      <c r="AV1150" s="12" t="str">
        <f>HYPERLINK("http://www.bing.com/maps/?lvl=14&amp;sty=h&amp;cp=37.1492~42.9259&amp;sp=point.37.1492_42.9259","Maplink3")</f>
        <v>Maplink3</v>
      </c>
    </row>
    <row r="1151" spans="1:48" ht="15" customHeight="1" x14ac:dyDescent="0.25">
      <c r="A1151" s="19">
        <v>8153</v>
      </c>
      <c r="B1151" s="20" t="s">
        <v>13</v>
      </c>
      <c r="C1151" s="20" t="s">
        <v>2172</v>
      </c>
      <c r="D1151" s="20" t="s">
        <v>2208</v>
      </c>
      <c r="E1151" s="20" t="s">
        <v>2209</v>
      </c>
      <c r="F1151" s="20">
        <v>37.131140000000002</v>
      </c>
      <c r="G1151" s="20">
        <v>42.894832999999998</v>
      </c>
      <c r="H1151" s="22">
        <v>19</v>
      </c>
      <c r="I1151" s="22">
        <v>114</v>
      </c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>
        <v>19</v>
      </c>
      <c r="W1151" s="21"/>
      <c r="X1151" s="21"/>
      <c r="Y1151" s="21"/>
      <c r="Z1151" s="21"/>
      <c r="AA1151" s="21"/>
      <c r="AB1151" s="21"/>
      <c r="AC1151" s="21">
        <v>15</v>
      </c>
      <c r="AD1151" s="21"/>
      <c r="AE1151" s="21"/>
      <c r="AF1151" s="21"/>
      <c r="AG1151" s="21"/>
      <c r="AH1151" s="21">
        <v>2</v>
      </c>
      <c r="AI1151" s="21"/>
      <c r="AJ1151" s="21">
        <v>2</v>
      </c>
      <c r="AK1151" s="21"/>
      <c r="AL1151" s="21"/>
      <c r="AM1151" s="21">
        <v>6</v>
      </c>
      <c r="AN1151" s="21">
        <v>13</v>
      </c>
      <c r="AO1151" s="21"/>
      <c r="AP1151" s="21"/>
      <c r="AQ1151" s="21"/>
      <c r="AR1151" s="21"/>
      <c r="AS1151" s="21"/>
      <c r="AT1151" s="12" t="str">
        <f>HYPERLINK("http://www.openstreetmap.org/?mlat=37.1311&amp;mlon=42.8948&amp;zoom=12#map=12/37.1311/42.8948","Maplink1")</f>
        <v>Maplink1</v>
      </c>
      <c r="AU1151" s="12" t="str">
        <f>HYPERLINK("https://www.google.iq/maps/search/+37.1311,42.8948/@37.1311,42.8948,14z?hl=en","Maplink2")</f>
        <v>Maplink2</v>
      </c>
      <c r="AV1151" s="12" t="str">
        <f>HYPERLINK("http://www.bing.com/maps/?lvl=14&amp;sty=h&amp;cp=37.1311~42.8948&amp;sp=point.37.1311_42.8948","Maplink3")</f>
        <v>Maplink3</v>
      </c>
    </row>
    <row r="1152" spans="1:48" ht="15" customHeight="1" x14ac:dyDescent="0.25">
      <c r="A1152" s="19">
        <v>8161</v>
      </c>
      <c r="B1152" s="20" t="s">
        <v>13</v>
      </c>
      <c r="C1152" s="20" t="s">
        <v>2172</v>
      </c>
      <c r="D1152" s="20" t="s">
        <v>2210</v>
      </c>
      <c r="E1152" s="20" t="s">
        <v>2211</v>
      </c>
      <c r="F1152" s="20">
        <v>37.170143000000003</v>
      </c>
      <c r="G1152" s="20">
        <v>42.895699999999998</v>
      </c>
      <c r="H1152" s="22">
        <v>30</v>
      </c>
      <c r="I1152" s="22">
        <v>180</v>
      </c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>
        <v>30</v>
      </c>
      <c r="W1152" s="21"/>
      <c r="X1152" s="21"/>
      <c r="Y1152" s="21"/>
      <c r="Z1152" s="21"/>
      <c r="AA1152" s="21"/>
      <c r="AB1152" s="21"/>
      <c r="AC1152" s="21">
        <v>1</v>
      </c>
      <c r="AD1152" s="21"/>
      <c r="AE1152" s="21"/>
      <c r="AF1152" s="21"/>
      <c r="AG1152" s="21"/>
      <c r="AH1152" s="21">
        <v>25</v>
      </c>
      <c r="AI1152" s="21"/>
      <c r="AJ1152" s="21">
        <v>4</v>
      </c>
      <c r="AK1152" s="21"/>
      <c r="AL1152" s="21"/>
      <c r="AM1152" s="21">
        <v>20</v>
      </c>
      <c r="AN1152" s="21">
        <v>10</v>
      </c>
      <c r="AO1152" s="21"/>
      <c r="AP1152" s="21"/>
      <c r="AQ1152" s="21"/>
      <c r="AR1152" s="21"/>
      <c r="AS1152" s="21"/>
      <c r="AT1152" s="12" t="str">
        <f>HYPERLINK("http://www.openstreetmap.org/?mlat=37.1701&amp;mlon=42.8957&amp;zoom=12#map=12/37.1701/42.8957","Maplink1")</f>
        <v>Maplink1</v>
      </c>
      <c r="AU1152" s="12" t="str">
        <f>HYPERLINK("https://www.google.iq/maps/search/+37.1701,42.8957/@37.1701,42.8957,14z?hl=en","Maplink2")</f>
        <v>Maplink2</v>
      </c>
      <c r="AV1152" s="12" t="str">
        <f>HYPERLINK("http://www.bing.com/maps/?lvl=14&amp;sty=h&amp;cp=37.1701~42.8957&amp;sp=point.37.1701_42.8957","Maplink3")</f>
        <v>Maplink3</v>
      </c>
    </row>
    <row r="1153" spans="1:48" ht="15" customHeight="1" x14ac:dyDescent="0.25">
      <c r="A1153" s="19">
        <v>8620</v>
      </c>
      <c r="B1153" s="20" t="s">
        <v>13</v>
      </c>
      <c r="C1153" s="20" t="s">
        <v>2172</v>
      </c>
      <c r="D1153" s="20" t="s">
        <v>2212</v>
      </c>
      <c r="E1153" s="20" t="s">
        <v>2213</v>
      </c>
      <c r="F1153" s="20">
        <v>37.12277186</v>
      </c>
      <c r="G1153" s="20">
        <v>42.437227880000002</v>
      </c>
      <c r="H1153" s="22">
        <v>34</v>
      </c>
      <c r="I1153" s="22">
        <v>204</v>
      </c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>
        <v>34</v>
      </c>
      <c r="W1153" s="21"/>
      <c r="X1153" s="21"/>
      <c r="Y1153" s="21"/>
      <c r="Z1153" s="21"/>
      <c r="AA1153" s="21"/>
      <c r="AB1153" s="21"/>
      <c r="AC1153" s="21">
        <v>22</v>
      </c>
      <c r="AD1153" s="21"/>
      <c r="AE1153" s="21"/>
      <c r="AF1153" s="21"/>
      <c r="AG1153" s="21"/>
      <c r="AH1153" s="21"/>
      <c r="AI1153" s="21"/>
      <c r="AJ1153" s="21">
        <v>12</v>
      </c>
      <c r="AK1153" s="21"/>
      <c r="AL1153" s="21"/>
      <c r="AM1153" s="21"/>
      <c r="AN1153" s="21">
        <v>34</v>
      </c>
      <c r="AO1153" s="21"/>
      <c r="AP1153" s="21"/>
      <c r="AQ1153" s="21"/>
      <c r="AR1153" s="21"/>
      <c r="AS1153" s="21"/>
      <c r="AT1153" s="12" t="str">
        <f>HYPERLINK("http://www.openstreetmap.org/?mlat=37.1228&amp;mlon=42.4372&amp;zoom=12#map=12/37.1228/42.4372","Maplink1")</f>
        <v>Maplink1</v>
      </c>
      <c r="AU1153" s="12" t="str">
        <f>HYPERLINK("https://www.google.iq/maps/search/+37.1228,42.4372/@37.1228,42.4372,14z?hl=en","Maplink2")</f>
        <v>Maplink2</v>
      </c>
      <c r="AV1153" s="12" t="str">
        <f>HYPERLINK("http://www.bing.com/maps/?lvl=14&amp;sty=h&amp;cp=37.1228~42.4372&amp;sp=point.37.1228_42.4372","Maplink3")</f>
        <v>Maplink3</v>
      </c>
    </row>
    <row r="1154" spans="1:48" ht="15" customHeight="1" x14ac:dyDescent="0.25">
      <c r="A1154" s="19">
        <v>8711</v>
      </c>
      <c r="B1154" s="20" t="s">
        <v>13</v>
      </c>
      <c r="C1154" s="20" t="s">
        <v>2172</v>
      </c>
      <c r="D1154" s="20" t="s">
        <v>2214</v>
      </c>
      <c r="E1154" s="20" t="s">
        <v>2215</v>
      </c>
      <c r="F1154" s="20">
        <v>37.138361379999999</v>
      </c>
      <c r="G1154" s="20">
        <v>42.563184620000001</v>
      </c>
      <c r="H1154" s="22">
        <v>290</v>
      </c>
      <c r="I1154" s="22">
        <v>1740</v>
      </c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>
        <v>290</v>
      </c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>
        <v>290</v>
      </c>
      <c r="AI1154" s="21"/>
      <c r="AJ1154" s="21"/>
      <c r="AK1154" s="21"/>
      <c r="AL1154" s="21"/>
      <c r="AM1154" s="21"/>
      <c r="AN1154" s="21">
        <v>81</v>
      </c>
      <c r="AO1154" s="21"/>
      <c r="AP1154" s="21"/>
      <c r="AQ1154" s="21"/>
      <c r="AR1154" s="21"/>
      <c r="AS1154" s="21">
        <v>209</v>
      </c>
      <c r="AT1154" s="12" t="str">
        <f>HYPERLINK("http://www.openstreetmap.org/?mlat=37.1384&amp;mlon=42.5632&amp;zoom=12#map=12/37.1384/42.5632","Maplink1")</f>
        <v>Maplink1</v>
      </c>
      <c r="AU1154" s="12" t="str">
        <f>HYPERLINK("https://www.google.iq/maps/search/+37.1384,42.5632/@37.1384,42.5632,14z?hl=en","Maplink2")</f>
        <v>Maplink2</v>
      </c>
      <c r="AV1154" s="12" t="str">
        <f>HYPERLINK("http://www.bing.com/maps/?lvl=14&amp;sty=h&amp;cp=37.1384~42.5632&amp;sp=point.37.1384_42.5632","Maplink3")</f>
        <v>Maplink3</v>
      </c>
    </row>
    <row r="1155" spans="1:48" ht="15" customHeight="1" x14ac:dyDescent="0.25">
      <c r="A1155" s="19">
        <v>32029</v>
      </c>
      <c r="B1155" s="20" t="s">
        <v>13</v>
      </c>
      <c r="C1155" s="20" t="s">
        <v>2172</v>
      </c>
      <c r="D1155" s="20" t="s">
        <v>2216</v>
      </c>
      <c r="E1155" s="20" t="s">
        <v>2217</v>
      </c>
      <c r="F1155" s="20">
        <v>37.159849000000001</v>
      </c>
      <c r="G1155" s="20">
        <v>42.679184999999997</v>
      </c>
      <c r="H1155" s="22">
        <v>193</v>
      </c>
      <c r="I1155" s="22">
        <v>1158</v>
      </c>
      <c r="J1155" s="21">
        <v>1</v>
      </c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>
        <v>192</v>
      </c>
      <c r="W1155" s="21"/>
      <c r="X1155" s="21"/>
      <c r="Y1155" s="21"/>
      <c r="Z1155" s="21"/>
      <c r="AA1155" s="21"/>
      <c r="AB1155" s="21"/>
      <c r="AC1155" s="21">
        <v>18</v>
      </c>
      <c r="AD1155" s="21"/>
      <c r="AE1155" s="21"/>
      <c r="AF1155" s="21"/>
      <c r="AG1155" s="21"/>
      <c r="AH1155" s="21">
        <v>142</v>
      </c>
      <c r="AI1155" s="21"/>
      <c r="AJ1155" s="21">
        <v>33</v>
      </c>
      <c r="AK1155" s="21"/>
      <c r="AL1155" s="21">
        <v>1</v>
      </c>
      <c r="AM1155" s="21">
        <v>62</v>
      </c>
      <c r="AN1155" s="21">
        <v>90</v>
      </c>
      <c r="AO1155" s="21"/>
      <c r="AP1155" s="21">
        <v>6</v>
      </c>
      <c r="AQ1155" s="21"/>
      <c r="AR1155" s="21"/>
      <c r="AS1155" s="21">
        <v>34</v>
      </c>
      <c r="AT1155" s="12" t="str">
        <f>HYPERLINK("http://www.openstreetmap.org/?mlat=37.1598&amp;mlon=42.6792&amp;zoom=12#map=12/37.1598/42.6792","Maplink1")</f>
        <v>Maplink1</v>
      </c>
      <c r="AU1155" s="12" t="str">
        <f>HYPERLINK("https://www.google.iq/maps/search/+37.1598,42.6792/@37.1598,42.6792,14z?hl=en","Maplink2")</f>
        <v>Maplink2</v>
      </c>
      <c r="AV1155" s="12" t="str">
        <f>HYPERLINK("http://www.bing.com/maps/?lvl=14&amp;sty=h&amp;cp=37.1598~42.6792&amp;sp=point.37.1598_42.6792","Maplink3")</f>
        <v>Maplink3</v>
      </c>
    </row>
    <row r="1156" spans="1:48" ht="15" customHeight="1" x14ac:dyDescent="0.25">
      <c r="A1156" s="19">
        <v>32030</v>
      </c>
      <c r="B1156" s="20" t="s">
        <v>13</v>
      </c>
      <c r="C1156" s="20" t="s">
        <v>2172</v>
      </c>
      <c r="D1156" s="20" t="s">
        <v>2218</v>
      </c>
      <c r="E1156" s="20" t="s">
        <v>2219</v>
      </c>
      <c r="F1156" s="20">
        <v>37.146968000000001</v>
      </c>
      <c r="G1156" s="20">
        <v>42.682507999999999</v>
      </c>
      <c r="H1156" s="22">
        <v>847</v>
      </c>
      <c r="I1156" s="22">
        <v>5082</v>
      </c>
      <c r="J1156" s="21">
        <v>1</v>
      </c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>
        <v>846</v>
      </c>
      <c r="W1156" s="21"/>
      <c r="X1156" s="21"/>
      <c r="Y1156" s="21"/>
      <c r="Z1156" s="21"/>
      <c r="AA1156" s="21"/>
      <c r="AB1156" s="21"/>
      <c r="AC1156" s="21">
        <v>24</v>
      </c>
      <c r="AD1156" s="21"/>
      <c r="AE1156" s="21"/>
      <c r="AF1156" s="21"/>
      <c r="AG1156" s="21"/>
      <c r="AH1156" s="21">
        <v>793</v>
      </c>
      <c r="AI1156" s="21"/>
      <c r="AJ1156" s="21">
        <v>30</v>
      </c>
      <c r="AK1156" s="21"/>
      <c r="AL1156" s="21">
        <v>1</v>
      </c>
      <c r="AM1156" s="21">
        <v>266</v>
      </c>
      <c r="AN1156" s="21">
        <v>393</v>
      </c>
      <c r="AO1156" s="21"/>
      <c r="AP1156" s="21"/>
      <c r="AQ1156" s="21"/>
      <c r="AR1156" s="21"/>
      <c r="AS1156" s="21">
        <v>187</v>
      </c>
      <c r="AT1156" s="12" t="str">
        <f>HYPERLINK("http://www.openstreetmap.org/?mlat=37.147&amp;mlon=42.6825&amp;zoom=12#map=12/37.147/42.6825","Maplink1")</f>
        <v>Maplink1</v>
      </c>
      <c r="AU1156" s="12" t="str">
        <f>HYPERLINK("https://www.google.iq/maps/search/+37.147,42.6825/@37.147,42.6825,14z?hl=en","Maplink2")</f>
        <v>Maplink2</v>
      </c>
      <c r="AV1156" s="12" t="str">
        <f>HYPERLINK("http://www.bing.com/maps/?lvl=14&amp;sty=h&amp;cp=37.147~42.6825&amp;sp=point.37.147_42.6825","Maplink3")</f>
        <v>Maplink3</v>
      </c>
    </row>
    <row r="1157" spans="1:48" ht="15" customHeight="1" x14ac:dyDescent="0.25">
      <c r="A1157" s="19">
        <v>8328</v>
      </c>
      <c r="B1157" s="20" t="s">
        <v>13</v>
      </c>
      <c r="C1157" s="20" t="s">
        <v>2172</v>
      </c>
      <c r="D1157" s="20" t="s">
        <v>6130</v>
      </c>
      <c r="E1157" s="20" t="s">
        <v>6131</v>
      </c>
      <c r="F1157" s="20">
        <v>37.126255999999998</v>
      </c>
      <c r="G1157" s="20">
        <v>42.506526000000001</v>
      </c>
      <c r="H1157" s="22">
        <v>39</v>
      </c>
      <c r="I1157" s="22">
        <v>234</v>
      </c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>
        <v>39</v>
      </c>
      <c r="W1157" s="21"/>
      <c r="X1157" s="21"/>
      <c r="Y1157" s="21"/>
      <c r="Z1157" s="21"/>
      <c r="AA1157" s="21"/>
      <c r="AB1157" s="21"/>
      <c r="AC1157" s="21">
        <v>2</v>
      </c>
      <c r="AD1157" s="21"/>
      <c r="AE1157" s="21"/>
      <c r="AF1157" s="21"/>
      <c r="AG1157" s="21"/>
      <c r="AH1157" s="21">
        <v>37</v>
      </c>
      <c r="AI1157" s="21"/>
      <c r="AJ1157" s="21"/>
      <c r="AK1157" s="21"/>
      <c r="AL1157" s="21"/>
      <c r="AM1157" s="21"/>
      <c r="AN1157" s="21">
        <v>7</v>
      </c>
      <c r="AO1157" s="21"/>
      <c r="AP1157" s="21"/>
      <c r="AQ1157" s="21"/>
      <c r="AR1157" s="21"/>
      <c r="AS1157" s="21">
        <v>32</v>
      </c>
      <c r="AT1157" s="12" t="str">
        <f>HYPERLINK("http://www.openstreetmap.org/?mlat=37.1263&amp;mlon=42.5065&amp;zoom=12#map=12/37.1263/42.5065","Maplink1")</f>
        <v>Maplink1</v>
      </c>
      <c r="AU1157" s="12" t="str">
        <f>HYPERLINK("https://www.google.iq/maps/search/+37.1263,42.5065/@37.1263,42.5065,14z?hl=en","Maplink2")</f>
        <v>Maplink2</v>
      </c>
      <c r="AV1157" s="12" t="str">
        <f>HYPERLINK("http://www.bing.com/maps/?lvl=14&amp;sty=h&amp;cp=37.1263~42.5065&amp;sp=point.37.1263_42.5065","Maplink3")</f>
        <v>Maplink3</v>
      </c>
    </row>
    <row r="1158" spans="1:48" ht="15" customHeight="1" x14ac:dyDescent="0.25">
      <c r="A1158" s="19">
        <v>8722</v>
      </c>
      <c r="B1158" s="20" t="s">
        <v>13</v>
      </c>
      <c r="C1158" s="20" t="s">
        <v>2172</v>
      </c>
      <c r="D1158" s="20" t="s">
        <v>6132</v>
      </c>
      <c r="E1158" s="20" t="s">
        <v>6133</v>
      </c>
      <c r="F1158" s="20">
        <v>37.107002000000001</v>
      </c>
      <c r="G1158" s="20">
        <v>42.923352999999999</v>
      </c>
      <c r="H1158" s="22">
        <v>18</v>
      </c>
      <c r="I1158" s="22">
        <v>108</v>
      </c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>
        <v>18</v>
      </c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21"/>
      <c r="AI1158" s="21"/>
      <c r="AJ1158" s="21">
        <v>18</v>
      </c>
      <c r="AK1158" s="21"/>
      <c r="AL1158" s="21"/>
      <c r="AM1158" s="21">
        <v>1</v>
      </c>
      <c r="AN1158" s="21">
        <v>17</v>
      </c>
      <c r="AO1158" s="21"/>
      <c r="AP1158" s="21"/>
      <c r="AQ1158" s="21"/>
      <c r="AR1158" s="21"/>
      <c r="AS1158" s="21"/>
      <c r="AT1158" s="12" t="str">
        <f>HYPERLINK("http://www.openstreetmap.org/?mlat=37.107&amp;mlon=42.9234&amp;zoom=12#map=12/37.107/42.9234","Maplink1")</f>
        <v>Maplink1</v>
      </c>
      <c r="AU1158" s="12" t="str">
        <f>HYPERLINK("https://www.google.iq/maps/search/+37.107,42.9234/@37.107,42.9234,14z?hl=en","Maplink2")</f>
        <v>Maplink2</v>
      </c>
      <c r="AV1158" s="12" t="str">
        <f>HYPERLINK("http://www.bing.com/maps/?lvl=14&amp;sty=h&amp;cp=37.107~42.9234&amp;sp=point.37.107_42.9234","Maplink3")</f>
        <v>Maplink3</v>
      </c>
    </row>
    <row r="1159" spans="1:48" ht="15" customHeight="1" x14ac:dyDescent="0.25">
      <c r="A1159" s="19">
        <v>33582</v>
      </c>
      <c r="B1159" s="20" t="s">
        <v>13</v>
      </c>
      <c r="C1159" s="20" t="s">
        <v>2172</v>
      </c>
      <c r="D1159" s="20" t="s">
        <v>6134</v>
      </c>
      <c r="E1159" s="20" t="s">
        <v>6135</v>
      </c>
      <c r="F1159" s="20">
        <v>37.116110999999997</v>
      </c>
      <c r="G1159" s="20">
        <v>42.471666999999997</v>
      </c>
      <c r="H1159" s="22">
        <v>5</v>
      </c>
      <c r="I1159" s="22">
        <v>30</v>
      </c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>
        <v>5</v>
      </c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21"/>
      <c r="AJ1159" s="21">
        <v>5</v>
      </c>
      <c r="AK1159" s="21"/>
      <c r="AL1159" s="21"/>
      <c r="AM1159" s="21"/>
      <c r="AN1159" s="21">
        <v>3</v>
      </c>
      <c r="AO1159" s="21"/>
      <c r="AP1159" s="21"/>
      <c r="AQ1159" s="21"/>
      <c r="AR1159" s="21"/>
      <c r="AS1159" s="21">
        <v>2</v>
      </c>
      <c r="AT1159" s="12" t="str">
        <f>HYPERLINK("http://www.openstreetmap.org/?mlat=37.1161&amp;mlon=42.4717&amp;zoom=12#map=12/37.1161/42.4717","Maplink1")</f>
        <v>Maplink1</v>
      </c>
      <c r="AU1159" s="12" t="str">
        <f>HYPERLINK("https://www.google.iq/maps/search/+37.1161,42.4717/@37.1161,42.4717,14z?hl=en","Maplink2")</f>
        <v>Maplink2</v>
      </c>
      <c r="AV1159" s="12" t="str">
        <f>HYPERLINK("http://www.bing.com/maps/?lvl=14&amp;sty=h&amp;cp=37.1161~42.4717&amp;sp=point.37.1161_42.4717","Maplink3")</f>
        <v>Maplink3</v>
      </c>
    </row>
    <row r="1160" spans="1:48" ht="15" customHeight="1" x14ac:dyDescent="0.25">
      <c r="A1160" s="19">
        <v>25658</v>
      </c>
      <c r="B1160" s="20" t="s">
        <v>14</v>
      </c>
      <c r="C1160" s="20" t="s">
        <v>2220</v>
      </c>
      <c r="D1160" s="20" t="s">
        <v>5787</v>
      </c>
      <c r="E1160" s="20" t="s">
        <v>5788</v>
      </c>
      <c r="F1160" s="20">
        <v>34.065792850000001</v>
      </c>
      <c r="G1160" s="20">
        <v>44.870625910000001</v>
      </c>
      <c r="H1160" s="22">
        <v>14</v>
      </c>
      <c r="I1160" s="22">
        <v>84</v>
      </c>
      <c r="J1160" s="21"/>
      <c r="K1160" s="21"/>
      <c r="L1160" s="21"/>
      <c r="M1160" s="21"/>
      <c r="N1160" s="21"/>
      <c r="O1160" s="21">
        <v>14</v>
      </c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>
        <v>14</v>
      </c>
      <c r="AI1160" s="21"/>
      <c r="AJ1160" s="21"/>
      <c r="AK1160" s="21"/>
      <c r="AL1160" s="21"/>
      <c r="AM1160" s="21"/>
      <c r="AN1160" s="21">
        <v>5</v>
      </c>
      <c r="AO1160" s="21">
        <v>9</v>
      </c>
      <c r="AP1160" s="21"/>
      <c r="AQ1160" s="21"/>
      <c r="AR1160" s="21"/>
      <c r="AS1160" s="21"/>
      <c r="AT1160" s="12" t="str">
        <f>HYPERLINK("http://www.openstreetmap.org/?mlat=34.0658&amp;mlon=44.8706&amp;zoom=12#map=12/34.0658/44.8706","Maplink1")</f>
        <v>Maplink1</v>
      </c>
      <c r="AU1160" s="12" t="str">
        <f>HYPERLINK("https://www.google.iq/maps/search/+34.0658,44.8706/@34.0658,44.8706,14z?hl=en","Maplink2")</f>
        <v>Maplink2</v>
      </c>
      <c r="AV1160" s="12" t="str">
        <f>HYPERLINK("http://www.bing.com/maps/?lvl=14&amp;sty=h&amp;cp=34.0658~44.8706&amp;sp=point.34.0658_44.8706","Maplink3")</f>
        <v>Maplink3</v>
      </c>
    </row>
    <row r="1161" spans="1:48" ht="15" customHeight="1" x14ac:dyDescent="0.25">
      <c r="A1161" s="19">
        <v>11487</v>
      </c>
      <c r="B1161" s="20" t="s">
        <v>14</v>
      </c>
      <c r="C1161" s="20" t="s">
        <v>2220</v>
      </c>
      <c r="D1161" s="20" t="s">
        <v>5789</v>
      </c>
      <c r="E1161" s="20" t="s">
        <v>2260</v>
      </c>
      <c r="F1161" s="20">
        <v>34.067207279000002</v>
      </c>
      <c r="G1161" s="20">
        <v>44.8617257796</v>
      </c>
      <c r="H1161" s="22">
        <v>7</v>
      </c>
      <c r="I1161" s="22">
        <v>42</v>
      </c>
      <c r="J1161" s="21"/>
      <c r="K1161" s="21"/>
      <c r="L1161" s="21"/>
      <c r="M1161" s="21"/>
      <c r="N1161" s="21"/>
      <c r="O1161" s="21">
        <v>7</v>
      </c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>
        <v>7</v>
      </c>
      <c r="AI1161" s="21"/>
      <c r="AJ1161" s="21"/>
      <c r="AK1161" s="21"/>
      <c r="AL1161" s="21"/>
      <c r="AM1161" s="21"/>
      <c r="AN1161" s="21"/>
      <c r="AO1161" s="21">
        <v>7</v>
      </c>
      <c r="AP1161" s="21"/>
      <c r="AQ1161" s="21"/>
      <c r="AR1161" s="21"/>
      <c r="AS1161" s="21"/>
      <c r="AT1161" s="12" t="str">
        <f>HYPERLINK("http://www.openstreetmap.org/?mlat=34.0672&amp;mlon=44.8617&amp;zoom=12#map=12/34.0672/44.8617","Maplink1")</f>
        <v>Maplink1</v>
      </c>
      <c r="AU1161" s="12" t="str">
        <f>HYPERLINK("https://www.google.iq/maps/search/+34.0672,44.8617/@34.0672,44.8617,14z?hl=en","Maplink2")</f>
        <v>Maplink2</v>
      </c>
      <c r="AV1161" s="12" t="str">
        <f>HYPERLINK("http://www.bing.com/maps/?lvl=14&amp;sty=h&amp;cp=34.0672~44.8617&amp;sp=point.34.0672_44.8617","Maplink3")</f>
        <v>Maplink3</v>
      </c>
    </row>
    <row r="1162" spans="1:48" ht="15" customHeight="1" x14ac:dyDescent="0.25">
      <c r="A1162" s="19">
        <v>11195</v>
      </c>
      <c r="B1162" s="20" t="s">
        <v>14</v>
      </c>
      <c r="C1162" s="20" t="s">
        <v>2220</v>
      </c>
      <c r="D1162" s="20" t="s">
        <v>2221</v>
      </c>
      <c r="E1162" s="20" t="s">
        <v>2222</v>
      </c>
      <c r="F1162" s="20">
        <v>33.731465270000001</v>
      </c>
      <c r="G1162" s="20">
        <v>44.480516379999997</v>
      </c>
      <c r="H1162" s="22">
        <v>60</v>
      </c>
      <c r="I1162" s="22">
        <v>360</v>
      </c>
      <c r="J1162" s="21">
        <v>7</v>
      </c>
      <c r="K1162" s="21"/>
      <c r="L1162" s="21"/>
      <c r="M1162" s="21"/>
      <c r="N1162" s="21"/>
      <c r="O1162" s="21">
        <v>42</v>
      </c>
      <c r="P1162" s="21"/>
      <c r="Q1162" s="21"/>
      <c r="R1162" s="21">
        <v>1</v>
      </c>
      <c r="S1162" s="21"/>
      <c r="T1162" s="21"/>
      <c r="U1162" s="21"/>
      <c r="V1162" s="21">
        <v>3</v>
      </c>
      <c r="W1162" s="21"/>
      <c r="X1162" s="21">
        <v>7</v>
      </c>
      <c r="Y1162" s="21"/>
      <c r="Z1162" s="21"/>
      <c r="AA1162" s="21"/>
      <c r="AB1162" s="21"/>
      <c r="AC1162" s="21">
        <v>7</v>
      </c>
      <c r="AD1162" s="21"/>
      <c r="AE1162" s="21"/>
      <c r="AF1162" s="21"/>
      <c r="AG1162" s="21"/>
      <c r="AH1162" s="21">
        <v>30</v>
      </c>
      <c r="AI1162" s="21"/>
      <c r="AJ1162" s="21">
        <v>23</v>
      </c>
      <c r="AK1162" s="21"/>
      <c r="AL1162" s="21"/>
      <c r="AM1162" s="21"/>
      <c r="AN1162" s="21"/>
      <c r="AO1162" s="21">
        <v>49</v>
      </c>
      <c r="AP1162" s="21">
        <v>7</v>
      </c>
      <c r="AQ1162" s="21">
        <v>1</v>
      </c>
      <c r="AR1162" s="21">
        <v>2</v>
      </c>
      <c r="AS1162" s="21">
        <v>1</v>
      </c>
      <c r="AT1162" s="12" t="str">
        <f>HYPERLINK("http://www.openstreetmap.org/?mlat=33.7315&amp;mlon=44.4805&amp;zoom=12#map=12/33.7315/44.4805","Maplink1")</f>
        <v>Maplink1</v>
      </c>
      <c r="AU1162" s="12" t="str">
        <f>HYPERLINK("https://www.google.iq/maps/search/+33.7315,44.4805/@33.7315,44.4805,14z?hl=en","Maplink2")</f>
        <v>Maplink2</v>
      </c>
      <c r="AV1162" s="12" t="str">
        <f>HYPERLINK("http://www.bing.com/maps/?lvl=14&amp;sty=h&amp;cp=33.7315~44.4805&amp;sp=point.33.7315_44.4805","Maplink3")</f>
        <v>Maplink3</v>
      </c>
    </row>
    <row r="1163" spans="1:48" ht="15" customHeight="1" x14ac:dyDescent="0.25">
      <c r="A1163" s="19">
        <v>25022</v>
      </c>
      <c r="B1163" s="20" t="s">
        <v>14</v>
      </c>
      <c r="C1163" s="20" t="s">
        <v>2220</v>
      </c>
      <c r="D1163" s="20" t="s">
        <v>2223</v>
      </c>
      <c r="E1163" s="20" t="s">
        <v>2224</v>
      </c>
      <c r="F1163" s="20">
        <v>33.691946999999999</v>
      </c>
      <c r="G1163" s="20">
        <v>44.435401329999998</v>
      </c>
      <c r="H1163" s="22">
        <v>30</v>
      </c>
      <c r="I1163" s="22">
        <v>180</v>
      </c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>
        <v>30</v>
      </c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>
        <v>30</v>
      </c>
      <c r="AI1163" s="21"/>
      <c r="AJ1163" s="21"/>
      <c r="AK1163" s="21"/>
      <c r="AL1163" s="21"/>
      <c r="AM1163" s="21">
        <v>30</v>
      </c>
      <c r="AN1163" s="21"/>
      <c r="AO1163" s="21"/>
      <c r="AP1163" s="21"/>
      <c r="AQ1163" s="21"/>
      <c r="AR1163" s="21"/>
      <c r="AS1163" s="21"/>
      <c r="AT1163" s="12" t="str">
        <f>HYPERLINK("http://www.openstreetmap.org/?mlat=33.6919&amp;mlon=44.4354&amp;zoom=12#map=12/33.6919/44.4354","Maplink1")</f>
        <v>Maplink1</v>
      </c>
      <c r="AU1163" s="12" t="str">
        <f>HYPERLINK("https://www.google.iq/maps/search/+33.6919,44.4354/@33.6919,44.4354,14z?hl=en","Maplink2")</f>
        <v>Maplink2</v>
      </c>
      <c r="AV1163" s="12" t="str">
        <f>HYPERLINK("http://www.bing.com/maps/?lvl=14&amp;sty=h&amp;cp=33.6919~44.4354&amp;sp=point.33.6919_44.4354","Maplink3")</f>
        <v>Maplink3</v>
      </c>
    </row>
    <row r="1164" spans="1:48" ht="15" customHeight="1" x14ac:dyDescent="0.25">
      <c r="A1164" s="19">
        <v>23966</v>
      </c>
      <c r="B1164" s="20" t="s">
        <v>14</v>
      </c>
      <c r="C1164" s="20" t="s">
        <v>2220</v>
      </c>
      <c r="D1164" s="20" t="s">
        <v>2225</v>
      </c>
      <c r="E1164" s="20" t="s">
        <v>2226</v>
      </c>
      <c r="F1164" s="20">
        <v>33.768368940000002</v>
      </c>
      <c r="G1164" s="20">
        <v>44.563619760000002</v>
      </c>
      <c r="H1164" s="22">
        <v>110</v>
      </c>
      <c r="I1164" s="22">
        <v>660</v>
      </c>
      <c r="J1164" s="21">
        <v>4</v>
      </c>
      <c r="K1164" s="21"/>
      <c r="L1164" s="21"/>
      <c r="M1164" s="21"/>
      <c r="N1164" s="21"/>
      <c r="O1164" s="21">
        <v>98</v>
      </c>
      <c r="P1164" s="21"/>
      <c r="Q1164" s="21"/>
      <c r="R1164" s="21"/>
      <c r="S1164" s="21"/>
      <c r="T1164" s="21"/>
      <c r="U1164" s="21"/>
      <c r="V1164" s="21">
        <v>3</v>
      </c>
      <c r="W1164" s="21"/>
      <c r="X1164" s="21">
        <v>5</v>
      </c>
      <c r="Y1164" s="21"/>
      <c r="Z1164" s="21"/>
      <c r="AA1164" s="21"/>
      <c r="AB1164" s="21"/>
      <c r="AC1164" s="21">
        <v>25</v>
      </c>
      <c r="AD1164" s="21"/>
      <c r="AE1164" s="21"/>
      <c r="AF1164" s="21"/>
      <c r="AG1164" s="21"/>
      <c r="AH1164" s="21">
        <v>45</v>
      </c>
      <c r="AI1164" s="21"/>
      <c r="AJ1164" s="21">
        <v>40</v>
      </c>
      <c r="AK1164" s="21"/>
      <c r="AL1164" s="21">
        <v>6</v>
      </c>
      <c r="AM1164" s="21"/>
      <c r="AN1164" s="21">
        <v>6</v>
      </c>
      <c r="AO1164" s="21">
        <v>91</v>
      </c>
      <c r="AP1164" s="21">
        <v>7</v>
      </c>
      <c r="AQ1164" s="21"/>
      <c r="AR1164" s="21"/>
      <c r="AS1164" s="21"/>
      <c r="AT1164" s="12" t="str">
        <f>HYPERLINK("http://www.openstreetmap.org/?mlat=33.7684&amp;mlon=44.5636&amp;zoom=12#map=12/33.7684/44.5636","Maplink1")</f>
        <v>Maplink1</v>
      </c>
      <c r="AU1164" s="12" t="str">
        <f>HYPERLINK("https://www.google.iq/maps/search/+33.7684,44.5636/@33.7684,44.5636,14z?hl=en","Maplink2")</f>
        <v>Maplink2</v>
      </c>
      <c r="AV1164" s="12" t="str">
        <f>HYPERLINK("http://www.bing.com/maps/?lvl=14&amp;sty=h&amp;cp=33.7684~44.5636&amp;sp=point.33.7684_44.5636","Maplink3")</f>
        <v>Maplink3</v>
      </c>
    </row>
    <row r="1165" spans="1:48" ht="15" customHeight="1" x14ac:dyDescent="0.25">
      <c r="A1165" s="19">
        <v>25814</v>
      </c>
      <c r="B1165" s="20" t="s">
        <v>14</v>
      </c>
      <c r="C1165" s="20" t="s">
        <v>2220</v>
      </c>
      <c r="D1165" s="20" t="s">
        <v>2227</v>
      </c>
      <c r="E1165" s="20" t="s">
        <v>2228</v>
      </c>
      <c r="F1165" s="20">
        <v>33.769274158000002</v>
      </c>
      <c r="G1165" s="20">
        <v>44.560219724900001</v>
      </c>
      <c r="H1165" s="22">
        <v>20</v>
      </c>
      <c r="I1165" s="22">
        <v>120</v>
      </c>
      <c r="J1165" s="21">
        <v>5</v>
      </c>
      <c r="K1165" s="21"/>
      <c r="L1165" s="21"/>
      <c r="M1165" s="21"/>
      <c r="N1165" s="21"/>
      <c r="O1165" s="21">
        <v>10</v>
      </c>
      <c r="P1165" s="21"/>
      <c r="Q1165" s="21"/>
      <c r="R1165" s="21"/>
      <c r="S1165" s="21"/>
      <c r="T1165" s="21"/>
      <c r="U1165" s="21"/>
      <c r="V1165" s="21">
        <v>2</v>
      </c>
      <c r="W1165" s="21"/>
      <c r="X1165" s="21">
        <v>3</v>
      </c>
      <c r="Y1165" s="21"/>
      <c r="Z1165" s="21"/>
      <c r="AA1165" s="21"/>
      <c r="AB1165" s="21"/>
      <c r="AC1165" s="21">
        <v>10</v>
      </c>
      <c r="AD1165" s="21"/>
      <c r="AE1165" s="21"/>
      <c r="AF1165" s="21"/>
      <c r="AG1165" s="21"/>
      <c r="AH1165" s="21">
        <v>10</v>
      </c>
      <c r="AI1165" s="21"/>
      <c r="AJ1165" s="21"/>
      <c r="AK1165" s="21"/>
      <c r="AL1165" s="21"/>
      <c r="AM1165" s="21"/>
      <c r="AN1165" s="21"/>
      <c r="AO1165" s="21">
        <v>10</v>
      </c>
      <c r="AP1165" s="21">
        <v>10</v>
      </c>
      <c r="AQ1165" s="21"/>
      <c r="AR1165" s="21"/>
      <c r="AS1165" s="21"/>
      <c r="AT1165" s="12" t="str">
        <f>HYPERLINK("http://www.openstreetmap.org/?mlat=33.7693&amp;mlon=44.5602&amp;zoom=12#map=12/33.7693/44.5602","Maplink1")</f>
        <v>Maplink1</v>
      </c>
      <c r="AU1165" s="12" t="str">
        <f>HYPERLINK("https://www.google.iq/maps/search/+33.7693,44.5602/@33.7693,44.5602,14z?hl=en","Maplink2")</f>
        <v>Maplink2</v>
      </c>
      <c r="AV1165" s="12" t="str">
        <f>HYPERLINK("http://www.bing.com/maps/?lvl=14&amp;sty=h&amp;cp=33.7693~44.5602&amp;sp=point.33.7693_44.5602","Maplink3")</f>
        <v>Maplink3</v>
      </c>
    </row>
    <row r="1166" spans="1:48" ht="15" customHeight="1" x14ac:dyDescent="0.25">
      <c r="A1166" s="19">
        <v>25815</v>
      </c>
      <c r="B1166" s="20" t="s">
        <v>14</v>
      </c>
      <c r="C1166" s="20" t="s">
        <v>2220</v>
      </c>
      <c r="D1166" s="20" t="s">
        <v>2229</v>
      </c>
      <c r="E1166" s="20" t="s">
        <v>2230</v>
      </c>
      <c r="F1166" s="20">
        <v>33.7596579314</v>
      </c>
      <c r="G1166" s="20">
        <v>44.550843234399998</v>
      </c>
      <c r="H1166" s="22">
        <v>20</v>
      </c>
      <c r="I1166" s="22">
        <v>120</v>
      </c>
      <c r="J1166" s="21">
        <v>5</v>
      </c>
      <c r="K1166" s="21"/>
      <c r="L1166" s="21"/>
      <c r="M1166" s="21"/>
      <c r="N1166" s="21"/>
      <c r="O1166" s="21">
        <v>13</v>
      </c>
      <c r="P1166" s="21"/>
      <c r="Q1166" s="21"/>
      <c r="R1166" s="21"/>
      <c r="S1166" s="21"/>
      <c r="T1166" s="21"/>
      <c r="U1166" s="21"/>
      <c r="V1166" s="21">
        <v>2</v>
      </c>
      <c r="W1166" s="21"/>
      <c r="X1166" s="21"/>
      <c r="Y1166" s="21"/>
      <c r="Z1166" s="21"/>
      <c r="AA1166" s="21"/>
      <c r="AB1166" s="21"/>
      <c r="AC1166" s="21">
        <v>5</v>
      </c>
      <c r="AD1166" s="21"/>
      <c r="AE1166" s="21"/>
      <c r="AF1166" s="21"/>
      <c r="AG1166" s="21"/>
      <c r="AH1166" s="21">
        <v>15</v>
      </c>
      <c r="AI1166" s="21"/>
      <c r="AJ1166" s="21"/>
      <c r="AK1166" s="21"/>
      <c r="AL1166" s="21"/>
      <c r="AM1166" s="21"/>
      <c r="AN1166" s="21"/>
      <c r="AO1166" s="21">
        <v>13</v>
      </c>
      <c r="AP1166" s="21">
        <v>5</v>
      </c>
      <c r="AQ1166" s="21"/>
      <c r="AR1166" s="21">
        <v>2</v>
      </c>
      <c r="AS1166" s="21"/>
      <c r="AT1166" s="12" t="str">
        <f>HYPERLINK("http://www.openstreetmap.org/?mlat=33.7597&amp;mlon=44.5508&amp;zoom=12#map=12/33.7597/44.5508","Maplink1")</f>
        <v>Maplink1</v>
      </c>
      <c r="AU1166" s="12" t="str">
        <f>HYPERLINK("https://www.google.iq/maps/search/+33.7597,44.5508/@33.7597,44.5508,14z?hl=en","Maplink2")</f>
        <v>Maplink2</v>
      </c>
      <c r="AV1166" s="12" t="str">
        <f>HYPERLINK("http://www.bing.com/maps/?lvl=14&amp;sty=h&amp;cp=33.7597~44.5508&amp;sp=point.33.7597_44.5508","Maplink3")</f>
        <v>Maplink3</v>
      </c>
    </row>
    <row r="1167" spans="1:48" ht="15" customHeight="1" x14ac:dyDescent="0.25">
      <c r="A1167" s="19">
        <v>25806</v>
      </c>
      <c r="B1167" s="20" t="s">
        <v>14</v>
      </c>
      <c r="C1167" s="20" t="s">
        <v>2220</v>
      </c>
      <c r="D1167" s="20" t="s">
        <v>2232</v>
      </c>
      <c r="E1167" s="20" t="s">
        <v>2233</v>
      </c>
      <c r="F1167" s="20">
        <v>34.054554723800003</v>
      </c>
      <c r="G1167" s="20">
        <v>44.895280665000001</v>
      </c>
      <c r="H1167" s="22">
        <v>8</v>
      </c>
      <c r="I1167" s="22">
        <v>48</v>
      </c>
      <c r="J1167" s="21"/>
      <c r="K1167" s="21"/>
      <c r="L1167" s="21"/>
      <c r="M1167" s="21"/>
      <c r="N1167" s="21"/>
      <c r="O1167" s="21"/>
      <c r="P1167" s="21"/>
      <c r="Q1167" s="21"/>
      <c r="R1167" s="21">
        <v>8</v>
      </c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>
        <v>8</v>
      </c>
      <c r="AD1167" s="21"/>
      <c r="AE1167" s="21"/>
      <c r="AF1167" s="21"/>
      <c r="AG1167" s="21"/>
      <c r="AH1167" s="21"/>
      <c r="AI1167" s="21"/>
      <c r="AJ1167" s="21"/>
      <c r="AK1167" s="21"/>
      <c r="AL1167" s="21"/>
      <c r="AM1167" s="21"/>
      <c r="AN1167" s="21"/>
      <c r="AO1167" s="21"/>
      <c r="AP1167" s="21"/>
      <c r="AQ1167" s="21"/>
      <c r="AR1167" s="21"/>
      <c r="AS1167" s="21">
        <v>8</v>
      </c>
      <c r="AT1167" s="12" t="str">
        <f>HYPERLINK("http://www.openstreetmap.org/?mlat=34.0546&amp;mlon=44.8953&amp;zoom=12#map=12/34.0546/44.8953","Maplink1")</f>
        <v>Maplink1</v>
      </c>
      <c r="AU1167" s="12" t="str">
        <f>HYPERLINK("https://www.google.iq/maps/search/+34.0546,44.8953/@34.0546,44.8953,14z?hl=en","Maplink2")</f>
        <v>Maplink2</v>
      </c>
      <c r="AV1167" s="12" t="str">
        <f>HYPERLINK("http://www.bing.com/maps/?lvl=14&amp;sty=h&amp;cp=34.0546~44.8953&amp;sp=point.34.0546_44.8953","Maplink3")</f>
        <v>Maplink3</v>
      </c>
    </row>
    <row r="1168" spans="1:48" ht="15" customHeight="1" x14ac:dyDescent="0.25">
      <c r="A1168" s="19">
        <v>25026</v>
      </c>
      <c r="B1168" s="20" t="s">
        <v>14</v>
      </c>
      <c r="C1168" s="20" t="s">
        <v>2220</v>
      </c>
      <c r="D1168" s="20" t="s">
        <v>2235</v>
      </c>
      <c r="E1168" s="20" t="s">
        <v>2236</v>
      </c>
      <c r="F1168" s="20">
        <v>33.731622724300003</v>
      </c>
      <c r="G1168" s="20">
        <v>44.484420458700001</v>
      </c>
      <c r="H1168" s="22">
        <v>24</v>
      </c>
      <c r="I1168" s="22">
        <v>144</v>
      </c>
      <c r="J1168" s="21"/>
      <c r="K1168" s="21"/>
      <c r="L1168" s="21"/>
      <c r="M1168" s="21"/>
      <c r="N1168" s="21"/>
      <c r="O1168" s="21">
        <v>18</v>
      </c>
      <c r="P1168" s="21"/>
      <c r="Q1168" s="21"/>
      <c r="R1168" s="21">
        <v>6</v>
      </c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21">
        <v>24</v>
      </c>
      <c r="AI1168" s="21"/>
      <c r="AJ1168" s="21"/>
      <c r="AK1168" s="21"/>
      <c r="AL1168" s="21"/>
      <c r="AM1168" s="21">
        <v>18</v>
      </c>
      <c r="AN1168" s="21"/>
      <c r="AO1168" s="21"/>
      <c r="AP1168" s="21"/>
      <c r="AQ1168" s="21"/>
      <c r="AR1168" s="21"/>
      <c r="AS1168" s="21">
        <v>6</v>
      </c>
      <c r="AT1168" s="12" t="str">
        <f>HYPERLINK("http://www.openstreetmap.org/?mlat=33.7316&amp;mlon=44.4844&amp;zoom=12#map=12/33.7316/44.4844","Maplink1")</f>
        <v>Maplink1</v>
      </c>
      <c r="AU1168" s="12" t="str">
        <f>HYPERLINK("https://www.google.iq/maps/search/+33.7316,44.4844/@33.7316,44.4844,14z?hl=en","Maplink2")</f>
        <v>Maplink2</v>
      </c>
      <c r="AV1168" s="12" t="str">
        <f>HYPERLINK("http://www.bing.com/maps/?lvl=14&amp;sty=h&amp;cp=33.7316~44.4844&amp;sp=point.33.7316_44.4844","Maplink3")</f>
        <v>Maplink3</v>
      </c>
    </row>
    <row r="1169" spans="1:48" ht="15" customHeight="1" x14ac:dyDescent="0.25">
      <c r="A1169" s="19">
        <v>22041</v>
      </c>
      <c r="B1169" s="20" t="s">
        <v>14</v>
      </c>
      <c r="C1169" s="20" t="s">
        <v>2220</v>
      </c>
      <c r="D1169" s="20" t="s">
        <v>2237</v>
      </c>
      <c r="E1169" s="20" t="s">
        <v>1359</v>
      </c>
      <c r="F1169" s="20">
        <v>33.785422760000003</v>
      </c>
      <c r="G1169" s="20">
        <v>44.502394320000001</v>
      </c>
      <c r="H1169" s="22">
        <v>45</v>
      </c>
      <c r="I1169" s="22">
        <v>270</v>
      </c>
      <c r="J1169" s="21"/>
      <c r="K1169" s="21"/>
      <c r="L1169" s="21"/>
      <c r="M1169" s="21"/>
      <c r="N1169" s="21"/>
      <c r="O1169" s="21">
        <v>40</v>
      </c>
      <c r="P1169" s="21"/>
      <c r="Q1169" s="21"/>
      <c r="R1169" s="21"/>
      <c r="S1169" s="21"/>
      <c r="T1169" s="21"/>
      <c r="U1169" s="21"/>
      <c r="V1169" s="21"/>
      <c r="W1169" s="21"/>
      <c r="X1169" s="21">
        <v>5</v>
      </c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>
        <v>45</v>
      </c>
      <c r="AI1169" s="21"/>
      <c r="AJ1169" s="21"/>
      <c r="AK1169" s="21"/>
      <c r="AL1169" s="21"/>
      <c r="AM1169" s="21"/>
      <c r="AN1169" s="21">
        <v>5</v>
      </c>
      <c r="AO1169" s="21">
        <v>40</v>
      </c>
      <c r="AP1169" s="21"/>
      <c r="AQ1169" s="21"/>
      <c r="AR1169" s="21"/>
      <c r="AS1169" s="21"/>
      <c r="AT1169" s="12" t="str">
        <f>HYPERLINK("http://www.openstreetmap.org/?mlat=33.7854&amp;mlon=44.5024&amp;zoom=12#map=12/33.7854/44.5024","Maplink1")</f>
        <v>Maplink1</v>
      </c>
      <c r="AU1169" s="12" t="str">
        <f>HYPERLINK("https://www.google.iq/maps/search/+33.7854,44.5024/@33.7854,44.5024,14z?hl=en","Maplink2")</f>
        <v>Maplink2</v>
      </c>
      <c r="AV1169" s="12" t="str">
        <f>HYPERLINK("http://www.bing.com/maps/?lvl=14&amp;sty=h&amp;cp=33.7854~44.5024&amp;sp=point.33.7854_44.5024","Maplink3")</f>
        <v>Maplink3</v>
      </c>
    </row>
    <row r="1170" spans="1:48" ht="15" customHeight="1" x14ac:dyDescent="0.25">
      <c r="A1170" s="19">
        <v>25031</v>
      </c>
      <c r="B1170" s="20" t="s">
        <v>14</v>
      </c>
      <c r="C1170" s="20" t="s">
        <v>2220</v>
      </c>
      <c r="D1170" s="20" t="s">
        <v>2238</v>
      </c>
      <c r="E1170" s="20" t="s">
        <v>2239</v>
      </c>
      <c r="F1170" s="20">
        <v>33.768000909999998</v>
      </c>
      <c r="G1170" s="20">
        <v>44.493072120000001</v>
      </c>
      <c r="H1170" s="22">
        <v>5</v>
      </c>
      <c r="I1170" s="22">
        <v>30</v>
      </c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>
        <v>5</v>
      </c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>
        <v>5</v>
      </c>
      <c r="AI1170" s="21"/>
      <c r="AJ1170" s="21"/>
      <c r="AK1170" s="21"/>
      <c r="AL1170" s="21"/>
      <c r="AM1170" s="21"/>
      <c r="AN1170" s="21"/>
      <c r="AO1170" s="21">
        <v>5</v>
      </c>
      <c r="AP1170" s="21"/>
      <c r="AQ1170" s="21"/>
      <c r="AR1170" s="21"/>
      <c r="AS1170" s="21"/>
      <c r="AT1170" s="12" t="str">
        <f>HYPERLINK("http://www.openstreetmap.org/?mlat=33.768&amp;mlon=44.4931&amp;zoom=12#map=12/33.768/44.4931","Maplink1")</f>
        <v>Maplink1</v>
      </c>
      <c r="AU1170" s="12" t="str">
        <f>HYPERLINK("https://www.google.iq/maps/search/+33.768,44.4931/@33.768,44.4931,14z?hl=en","Maplink2")</f>
        <v>Maplink2</v>
      </c>
      <c r="AV1170" s="12" t="str">
        <f>HYPERLINK("http://www.bing.com/maps/?lvl=14&amp;sty=h&amp;cp=33.768~44.4931&amp;sp=point.33.768_44.4931","Maplink3")</f>
        <v>Maplink3</v>
      </c>
    </row>
    <row r="1171" spans="1:48" ht="15" customHeight="1" x14ac:dyDescent="0.25">
      <c r="A1171" s="19">
        <v>24483</v>
      </c>
      <c r="B1171" s="20" t="s">
        <v>14</v>
      </c>
      <c r="C1171" s="20" t="s">
        <v>2220</v>
      </c>
      <c r="D1171" s="20" t="s">
        <v>681</v>
      </c>
      <c r="E1171" s="20" t="s">
        <v>2242</v>
      </c>
      <c r="F1171" s="20">
        <v>33.9333459068</v>
      </c>
      <c r="G1171" s="20">
        <v>44.717024812399998</v>
      </c>
      <c r="H1171" s="22">
        <v>10</v>
      </c>
      <c r="I1171" s="22">
        <v>60</v>
      </c>
      <c r="J1171" s="21"/>
      <c r="K1171" s="21"/>
      <c r="L1171" s="21"/>
      <c r="M1171" s="21"/>
      <c r="N1171" s="21"/>
      <c r="O1171" s="21">
        <v>10</v>
      </c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>
        <v>10</v>
      </c>
      <c r="AD1171" s="21"/>
      <c r="AE1171" s="21"/>
      <c r="AF1171" s="21"/>
      <c r="AG1171" s="21"/>
      <c r="AH1171" s="21"/>
      <c r="AI1171" s="21"/>
      <c r="AJ1171" s="21"/>
      <c r="AK1171" s="21"/>
      <c r="AL1171" s="21"/>
      <c r="AM1171" s="21"/>
      <c r="AN1171" s="21">
        <v>10</v>
      </c>
      <c r="AO1171" s="21"/>
      <c r="AP1171" s="21"/>
      <c r="AQ1171" s="21"/>
      <c r="AR1171" s="21"/>
      <c r="AS1171" s="21"/>
      <c r="AT1171" s="12" t="str">
        <f>HYPERLINK("http://www.openstreetmap.org/?mlat=33.9333&amp;mlon=44.717&amp;zoom=12#map=12/33.9333/44.717","Maplink1")</f>
        <v>Maplink1</v>
      </c>
      <c r="AU1171" s="12" t="str">
        <f>HYPERLINK("https://www.google.iq/maps/search/+33.9333,44.717/@33.9333,44.717,14z?hl=en","Maplink2")</f>
        <v>Maplink2</v>
      </c>
      <c r="AV1171" s="12" t="str">
        <f>HYPERLINK("http://www.bing.com/maps/?lvl=14&amp;sty=h&amp;cp=33.9333~44.717&amp;sp=point.33.9333_44.717","Maplink3")</f>
        <v>Maplink3</v>
      </c>
    </row>
    <row r="1172" spans="1:48" ht="15" customHeight="1" x14ac:dyDescent="0.25">
      <c r="A1172" s="19">
        <v>24912</v>
      </c>
      <c r="B1172" s="20" t="s">
        <v>14</v>
      </c>
      <c r="C1172" s="20" t="s">
        <v>2220</v>
      </c>
      <c r="D1172" s="20" t="s">
        <v>2243</v>
      </c>
      <c r="E1172" s="20" t="s">
        <v>2244</v>
      </c>
      <c r="F1172" s="20">
        <v>33.878376529999997</v>
      </c>
      <c r="G1172" s="20">
        <v>44.44399353</v>
      </c>
      <c r="H1172" s="22">
        <v>50</v>
      </c>
      <c r="I1172" s="22">
        <v>300</v>
      </c>
      <c r="J1172" s="21"/>
      <c r="K1172" s="21"/>
      <c r="L1172" s="21">
        <v>2</v>
      </c>
      <c r="M1172" s="21"/>
      <c r="N1172" s="21"/>
      <c r="O1172" s="21">
        <v>10</v>
      </c>
      <c r="P1172" s="21"/>
      <c r="Q1172" s="21"/>
      <c r="R1172" s="21"/>
      <c r="S1172" s="21"/>
      <c r="T1172" s="21"/>
      <c r="U1172" s="21"/>
      <c r="V1172" s="21"/>
      <c r="W1172" s="21"/>
      <c r="X1172" s="21">
        <v>38</v>
      </c>
      <c r="Y1172" s="21"/>
      <c r="Z1172" s="21"/>
      <c r="AA1172" s="21"/>
      <c r="AB1172" s="21"/>
      <c r="AC1172" s="21">
        <v>50</v>
      </c>
      <c r="AD1172" s="21"/>
      <c r="AE1172" s="21"/>
      <c r="AF1172" s="21"/>
      <c r="AG1172" s="21"/>
      <c r="AH1172" s="21"/>
      <c r="AI1172" s="21"/>
      <c r="AJ1172" s="21"/>
      <c r="AK1172" s="21"/>
      <c r="AL1172" s="21"/>
      <c r="AM1172" s="21">
        <v>16</v>
      </c>
      <c r="AN1172" s="21"/>
      <c r="AO1172" s="21">
        <v>34</v>
      </c>
      <c r="AP1172" s="21"/>
      <c r="AQ1172" s="21"/>
      <c r="AR1172" s="21"/>
      <c r="AS1172" s="21"/>
      <c r="AT1172" s="12" t="str">
        <f>HYPERLINK("http://www.openstreetmap.org/?mlat=33.8784&amp;mlon=44.444&amp;zoom=12#map=12/33.8784/44.444","Maplink1")</f>
        <v>Maplink1</v>
      </c>
      <c r="AU1172" s="12" t="str">
        <f>HYPERLINK("https://www.google.iq/maps/search/+33.8784,44.444/@33.8784,44.444,14z?hl=en","Maplink2")</f>
        <v>Maplink2</v>
      </c>
      <c r="AV1172" s="12" t="str">
        <f>HYPERLINK("http://www.bing.com/maps/?lvl=14&amp;sty=h&amp;cp=33.8784~44.444&amp;sp=point.33.8784_44.444","Maplink3")</f>
        <v>Maplink3</v>
      </c>
    </row>
    <row r="1173" spans="1:48" ht="15" customHeight="1" x14ac:dyDescent="0.25">
      <c r="A1173" s="19">
        <v>25667</v>
      </c>
      <c r="B1173" s="20" t="s">
        <v>14</v>
      </c>
      <c r="C1173" s="20" t="s">
        <v>2220</v>
      </c>
      <c r="D1173" s="20" t="s">
        <v>5638</v>
      </c>
      <c r="E1173" s="20" t="s">
        <v>2231</v>
      </c>
      <c r="F1173" s="20">
        <v>34.086576999999998</v>
      </c>
      <c r="G1173" s="20">
        <v>44.929876999999998</v>
      </c>
      <c r="H1173" s="22">
        <v>10</v>
      </c>
      <c r="I1173" s="22">
        <v>60</v>
      </c>
      <c r="J1173" s="21"/>
      <c r="K1173" s="21"/>
      <c r="L1173" s="21"/>
      <c r="M1173" s="21"/>
      <c r="N1173" s="21"/>
      <c r="O1173" s="21">
        <v>10</v>
      </c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>
        <v>10</v>
      </c>
      <c r="AD1173" s="21"/>
      <c r="AE1173" s="21"/>
      <c r="AF1173" s="21"/>
      <c r="AG1173" s="21"/>
      <c r="AH1173" s="21"/>
      <c r="AI1173" s="21"/>
      <c r="AJ1173" s="21"/>
      <c r="AK1173" s="21"/>
      <c r="AL1173" s="21"/>
      <c r="AM1173" s="21"/>
      <c r="AN1173" s="21"/>
      <c r="AO1173" s="21">
        <v>10</v>
      </c>
      <c r="AP1173" s="21"/>
      <c r="AQ1173" s="21"/>
      <c r="AR1173" s="21"/>
      <c r="AS1173" s="21"/>
      <c r="AT1173" s="12" t="str">
        <f>HYPERLINK("http://www.openstreetmap.org/?mlat=34.0866&amp;mlon=44.9299&amp;zoom=12#map=12/34.0866/44.9299","Maplink1")</f>
        <v>Maplink1</v>
      </c>
      <c r="AU1173" s="12" t="str">
        <f>HYPERLINK("https://www.google.iq/maps/search/+34.0866,44.9299/@34.0866,44.9299,14z?hl=en","Maplink2")</f>
        <v>Maplink2</v>
      </c>
      <c r="AV1173" s="12" t="str">
        <f>HYPERLINK("http://www.bing.com/maps/?lvl=14&amp;sty=h&amp;cp=34.0866~44.9299&amp;sp=point.34.0866_44.9299","Maplink3")</f>
        <v>Maplink3</v>
      </c>
    </row>
    <row r="1174" spans="1:48" ht="15" customHeight="1" x14ac:dyDescent="0.25">
      <c r="A1174" s="19">
        <v>25661</v>
      </c>
      <c r="B1174" s="20" t="s">
        <v>14</v>
      </c>
      <c r="C1174" s="20" t="s">
        <v>2220</v>
      </c>
      <c r="D1174" s="20" t="s">
        <v>5639</v>
      </c>
      <c r="E1174" s="20" t="s">
        <v>2241</v>
      </c>
      <c r="F1174" s="20">
        <v>34.085930480000002</v>
      </c>
      <c r="G1174" s="20">
        <v>44.72657487</v>
      </c>
      <c r="H1174" s="22">
        <v>10</v>
      </c>
      <c r="I1174" s="22">
        <v>60</v>
      </c>
      <c r="J1174" s="21"/>
      <c r="K1174" s="21"/>
      <c r="L1174" s="21"/>
      <c r="M1174" s="21"/>
      <c r="N1174" s="21"/>
      <c r="O1174" s="21">
        <v>10</v>
      </c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>
        <v>10</v>
      </c>
      <c r="AD1174" s="21"/>
      <c r="AE1174" s="21"/>
      <c r="AF1174" s="21"/>
      <c r="AG1174" s="21"/>
      <c r="AH1174" s="21"/>
      <c r="AI1174" s="21"/>
      <c r="AJ1174" s="21"/>
      <c r="AK1174" s="21"/>
      <c r="AL1174" s="21"/>
      <c r="AM1174" s="21"/>
      <c r="AN1174" s="21"/>
      <c r="AO1174" s="21">
        <v>10</v>
      </c>
      <c r="AP1174" s="21"/>
      <c r="AQ1174" s="21"/>
      <c r="AR1174" s="21"/>
      <c r="AS1174" s="21"/>
      <c r="AT1174" s="12" t="str">
        <f>HYPERLINK("http://www.openstreetmap.org/?mlat=34.0859&amp;mlon=44.7266&amp;zoom=12#map=12/34.0859/44.7266","Maplink1")</f>
        <v>Maplink1</v>
      </c>
      <c r="AU1174" s="12" t="str">
        <f>HYPERLINK("https://www.google.iq/maps/search/+34.0859,44.7266/@34.0859,44.7266,14z?hl=en","Maplink2")</f>
        <v>Maplink2</v>
      </c>
      <c r="AV1174" s="12" t="str">
        <f>HYPERLINK("http://www.bing.com/maps/?lvl=14&amp;sty=h&amp;cp=34.0859~44.7266&amp;sp=point.34.0859_44.7266","Maplink3")</f>
        <v>Maplink3</v>
      </c>
    </row>
    <row r="1175" spans="1:48" ht="15" customHeight="1" x14ac:dyDescent="0.25">
      <c r="A1175" s="19">
        <v>26056</v>
      </c>
      <c r="B1175" s="20" t="s">
        <v>14</v>
      </c>
      <c r="C1175" s="20" t="s">
        <v>2220</v>
      </c>
      <c r="D1175" s="20" t="s">
        <v>2245</v>
      </c>
      <c r="E1175" s="20" t="s">
        <v>2246</v>
      </c>
      <c r="F1175" s="20">
        <v>34.07304156</v>
      </c>
      <c r="G1175" s="20">
        <v>44.879865440000003</v>
      </c>
      <c r="H1175" s="22">
        <v>8</v>
      </c>
      <c r="I1175" s="22">
        <v>48</v>
      </c>
      <c r="J1175" s="21"/>
      <c r="K1175" s="21"/>
      <c r="L1175" s="21"/>
      <c r="M1175" s="21"/>
      <c r="N1175" s="21"/>
      <c r="O1175" s="21">
        <v>8</v>
      </c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>
        <v>1</v>
      </c>
      <c r="AI1175" s="21"/>
      <c r="AJ1175" s="21">
        <v>7</v>
      </c>
      <c r="AK1175" s="21"/>
      <c r="AL1175" s="21"/>
      <c r="AM1175" s="21"/>
      <c r="AN1175" s="21"/>
      <c r="AO1175" s="21">
        <v>8</v>
      </c>
      <c r="AP1175" s="21"/>
      <c r="AQ1175" s="21"/>
      <c r="AR1175" s="21"/>
      <c r="AS1175" s="21"/>
      <c r="AT1175" s="12" t="str">
        <f>HYPERLINK("http://www.openstreetmap.org/?mlat=34.073&amp;mlon=44.8799&amp;zoom=12#map=12/34.073/44.8799","Maplink1")</f>
        <v>Maplink1</v>
      </c>
      <c r="AU1175" s="12" t="str">
        <f>HYPERLINK("https://www.google.iq/maps/search/+34.073,44.8799/@34.073,44.8799,14z?hl=en","Maplink2")</f>
        <v>Maplink2</v>
      </c>
      <c r="AV1175" s="12" t="str">
        <f>HYPERLINK("http://www.bing.com/maps/?lvl=14&amp;sty=h&amp;cp=34.073~44.8799&amp;sp=point.34.073_44.8799","Maplink3")</f>
        <v>Maplink3</v>
      </c>
    </row>
    <row r="1176" spans="1:48" ht="15" customHeight="1" x14ac:dyDescent="0.25">
      <c r="A1176" s="19">
        <v>26055</v>
      </c>
      <c r="B1176" s="20" t="s">
        <v>14</v>
      </c>
      <c r="C1176" s="20" t="s">
        <v>2220</v>
      </c>
      <c r="D1176" s="20" t="s">
        <v>2247</v>
      </c>
      <c r="E1176" s="20" t="s">
        <v>2248</v>
      </c>
      <c r="F1176" s="20">
        <v>34.133398370199998</v>
      </c>
      <c r="G1176" s="20">
        <v>44.8601511548</v>
      </c>
      <c r="H1176" s="22">
        <v>5</v>
      </c>
      <c r="I1176" s="22">
        <v>30</v>
      </c>
      <c r="J1176" s="21"/>
      <c r="K1176" s="21"/>
      <c r="L1176" s="21"/>
      <c r="M1176" s="21"/>
      <c r="N1176" s="21"/>
      <c r="O1176" s="21">
        <v>5</v>
      </c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>
        <v>5</v>
      </c>
      <c r="AD1176" s="21"/>
      <c r="AE1176" s="21"/>
      <c r="AF1176" s="21"/>
      <c r="AG1176" s="21"/>
      <c r="AH1176" s="21"/>
      <c r="AI1176" s="21"/>
      <c r="AJ1176" s="21"/>
      <c r="AK1176" s="21"/>
      <c r="AL1176" s="21"/>
      <c r="AM1176" s="21"/>
      <c r="AN1176" s="21"/>
      <c r="AO1176" s="21">
        <v>5</v>
      </c>
      <c r="AP1176" s="21"/>
      <c r="AQ1176" s="21"/>
      <c r="AR1176" s="21"/>
      <c r="AS1176" s="21"/>
      <c r="AT1176" s="12" t="str">
        <f>HYPERLINK("http://www.openstreetmap.org/?mlat=34.1334&amp;mlon=44.8602&amp;zoom=12#map=12/34.1334/44.8602","Maplink1")</f>
        <v>Maplink1</v>
      </c>
      <c r="AU1176" s="12" t="str">
        <f>HYPERLINK("https://www.google.iq/maps/search/+34.1334,44.8602/@34.1334,44.8602,14z?hl=en","Maplink2")</f>
        <v>Maplink2</v>
      </c>
      <c r="AV1176" s="12" t="str">
        <f>HYPERLINK("http://www.bing.com/maps/?lvl=14&amp;sty=h&amp;cp=34.1334~44.8602&amp;sp=point.34.1334_44.8602","Maplink3")</f>
        <v>Maplink3</v>
      </c>
    </row>
    <row r="1177" spans="1:48" ht="15" customHeight="1" x14ac:dyDescent="0.25">
      <c r="A1177" s="19">
        <v>23965</v>
      </c>
      <c r="B1177" s="20" t="s">
        <v>14</v>
      </c>
      <c r="C1177" s="20" t="s">
        <v>2220</v>
      </c>
      <c r="D1177" s="20" t="s">
        <v>2249</v>
      </c>
      <c r="E1177" s="20" t="s">
        <v>2250</v>
      </c>
      <c r="F1177" s="20">
        <v>33.826901810000003</v>
      </c>
      <c r="G1177" s="20">
        <v>44.561480289999999</v>
      </c>
      <c r="H1177" s="22">
        <v>20</v>
      </c>
      <c r="I1177" s="22">
        <v>120</v>
      </c>
      <c r="J1177" s="21"/>
      <c r="K1177" s="21"/>
      <c r="L1177" s="21"/>
      <c r="M1177" s="21"/>
      <c r="N1177" s="21"/>
      <c r="O1177" s="21">
        <v>20</v>
      </c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>
        <v>8</v>
      </c>
      <c r="AI1177" s="21"/>
      <c r="AJ1177" s="21">
        <v>12</v>
      </c>
      <c r="AK1177" s="21"/>
      <c r="AL1177" s="21"/>
      <c r="AM1177" s="21"/>
      <c r="AN1177" s="21"/>
      <c r="AO1177" s="21">
        <v>20</v>
      </c>
      <c r="AP1177" s="21"/>
      <c r="AQ1177" s="21"/>
      <c r="AR1177" s="21"/>
      <c r="AS1177" s="21"/>
      <c r="AT1177" s="12" t="str">
        <f>HYPERLINK("http://www.openstreetmap.org/?mlat=33.8269&amp;mlon=44.5615&amp;zoom=12#map=12/33.8269/44.5615","Maplink1")</f>
        <v>Maplink1</v>
      </c>
      <c r="AU1177" s="12" t="str">
        <f>HYPERLINK("https://www.google.iq/maps/search/+33.8269,44.5615/@33.8269,44.5615,14z?hl=en","Maplink2")</f>
        <v>Maplink2</v>
      </c>
      <c r="AV1177" s="12" t="str">
        <f>HYPERLINK("http://www.bing.com/maps/?lvl=14&amp;sty=h&amp;cp=33.8269~44.5615&amp;sp=point.33.8269_44.5615","Maplink3")</f>
        <v>Maplink3</v>
      </c>
    </row>
    <row r="1178" spans="1:48" ht="15" customHeight="1" x14ac:dyDescent="0.25">
      <c r="A1178" s="19">
        <v>24913</v>
      </c>
      <c r="B1178" s="20" t="s">
        <v>14</v>
      </c>
      <c r="C1178" s="20" t="s">
        <v>2220</v>
      </c>
      <c r="D1178" s="20" t="s">
        <v>2251</v>
      </c>
      <c r="E1178" s="20" t="s">
        <v>2252</v>
      </c>
      <c r="F1178" s="20">
        <v>33.75642594</v>
      </c>
      <c r="G1178" s="20">
        <v>44.548590089999998</v>
      </c>
      <c r="H1178" s="22">
        <v>10</v>
      </c>
      <c r="I1178" s="22">
        <v>60</v>
      </c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>
        <v>10</v>
      </c>
      <c r="Y1178" s="21"/>
      <c r="Z1178" s="21"/>
      <c r="AA1178" s="21"/>
      <c r="AB1178" s="21"/>
      <c r="AC1178" s="21">
        <v>10</v>
      </c>
      <c r="AD1178" s="21"/>
      <c r="AE1178" s="21"/>
      <c r="AF1178" s="21"/>
      <c r="AG1178" s="21"/>
      <c r="AH1178" s="21"/>
      <c r="AI1178" s="21"/>
      <c r="AJ1178" s="21"/>
      <c r="AK1178" s="21"/>
      <c r="AL1178" s="21"/>
      <c r="AM1178" s="21"/>
      <c r="AN1178" s="21"/>
      <c r="AO1178" s="21">
        <v>10</v>
      </c>
      <c r="AP1178" s="21"/>
      <c r="AQ1178" s="21"/>
      <c r="AR1178" s="21"/>
      <c r="AS1178" s="21"/>
      <c r="AT1178" s="12" t="str">
        <f>HYPERLINK("http://www.openstreetmap.org/?mlat=33.7564&amp;mlon=44.5486&amp;zoom=12#map=12/33.7564/44.5486","Maplink1")</f>
        <v>Maplink1</v>
      </c>
      <c r="AU1178" s="12" t="str">
        <f>HYPERLINK("https://www.google.iq/maps/search/+33.7564,44.5486/@33.7564,44.5486,14z?hl=en","Maplink2")</f>
        <v>Maplink2</v>
      </c>
      <c r="AV1178" s="12" t="str">
        <f>HYPERLINK("http://www.bing.com/maps/?lvl=14&amp;sty=h&amp;cp=33.7564~44.5486&amp;sp=point.33.7564_44.5486","Maplink3")</f>
        <v>Maplink3</v>
      </c>
    </row>
    <row r="1179" spans="1:48" ht="15" customHeight="1" x14ac:dyDescent="0.25">
      <c r="A1179" s="19">
        <v>25655</v>
      </c>
      <c r="B1179" s="20" t="s">
        <v>14</v>
      </c>
      <c r="C1179" s="20" t="s">
        <v>2220</v>
      </c>
      <c r="D1179" s="20" t="s">
        <v>5790</v>
      </c>
      <c r="E1179" s="20" t="s">
        <v>5791</v>
      </c>
      <c r="F1179" s="20">
        <v>34.070367109999999</v>
      </c>
      <c r="G1179" s="20">
        <v>44.870580060000002</v>
      </c>
      <c r="H1179" s="22">
        <v>8</v>
      </c>
      <c r="I1179" s="22">
        <v>48</v>
      </c>
      <c r="J1179" s="21"/>
      <c r="K1179" s="21"/>
      <c r="L1179" s="21"/>
      <c r="M1179" s="21"/>
      <c r="N1179" s="21"/>
      <c r="O1179" s="21">
        <v>8</v>
      </c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21">
        <v>8</v>
      </c>
      <c r="AI1179" s="21"/>
      <c r="AJ1179" s="21"/>
      <c r="AK1179" s="21"/>
      <c r="AL1179" s="21"/>
      <c r="AM1179" s="21"/>
      <c r="AN1179" s="21"/>
      <c r="AO1179" s="21">
        <v>8</v>
      </c>
      <c r="AP1179" s="21"/>
      <c r="AQ1179" s="21"/>
      <c r="AR1179" s="21"/>
      <c r="AS1179" s="21"/>
      <c r="AT1179" s="12" t="str">
        <f>HYPERLINK("http://www.openstreetmap.org/?mlat=34.0704&amp;mlon=44.8706&amp;zoom=12#map=12/34.0704/44.8706","Maplink1")</f>
        <v>Maplink1</v>
      </c>
      <c r="AU1179" s="12" t="str">
        <f>HYPERLINK("https://www.google.iq/maps/search/+34.0704,44.8706/@34.0704,44.8706,14z?hl=en","Maplink2")</f>
        <v>Maplink2</v>
      </c>
      <c r="AV1179" s="12" t="str">
        <f>HYPERLINK("http://www.bing.com/maps/?lvl=14&amp;sty=h&amp;cp=34.0704~44.8706&amp;sp=point.34.0704_44.8706","Maplink3")</f>
        <v>Maplink3</v>
      </c>
    </row>
    <row r="1180" spans="1:48" ht="15" customHeight="1" x14ac:dyDescent="0.25">
      <c r="A1180" s="19">
        <v>25652</v>
      </c>
      <c r="B1180" s="20" t="s">
        <v>14</v>
      </c>
      <c r="C1180" s="20" t="s">
        <v>2220</v>
      </c>
      <c r="D1180" s="20" t="s">
        <v>5792</v>
      </c>
      <c r="E1180" s="20" t="s">
        <v>5793</v>
      </c>
      <c r="F1180" s="20">
        <v>34.069891519999999</v>
      </c>
      <c r="G1180" s="20">
        <v>44.864400170000003</v>
      </c>
      <c r="H1180" s="22">
        <v>4</v>
      </c>
      <c r="I1180" s="22">
        <v>24</v>
      </c>
      <c r="J1180" s="21"/>
      <c r="K1180" s="21"/>
      <c r="L1180" s="21"/>
      <c r="M1180" s="21"/>
      <c r="N1180" s="21"/>
      <c r="O1180" s="21">
        <v>4</v>
      </c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>
        <v>4</v>
      </c>
      <c r="AI1180" s="21"/>
      <c r="AJ1180" s="21"/>
      <c r="AK1180" s="21"/>
      <c r="AL1180" s="21"/>
      <c r="AM1180" s="21"/>
      <c r="AN1180" s="21"/>
      <c r="AO1180" s="21">
        <v>4</v>
      </c>
      <c r="AP1180" s="21"/>
      <c r="AQ1180" s="21"/>
      <c r="AR1180" s="21"/>
      <c r="AS1180" s="21"/>
      <c r="AT1180" s="12" t="str">
        <f>HYPERLINK("http://www.openstreetmap.org/?mlat=34.0699&amp;mlon=44.8644&amp;zoom=12#map=12/34.0699/44.8644","Maplink1")</f>
        <v>Maplink1</v>
      </c>
      <c r="AU1180" s="12" t="str">
        <f>HYPERLINK("https://www.google.iq/maps/search/+34.0699,44.8644/@34.0699,44.8644,14z?hl=en","Maplink2")</f>
        <v>Maplink2</v>
      </c>
      <c r="AV1180" s="12" t="str">
        <f>HYPERLINK("http://www.bing.com/maps/?lvl=14&amp;sty=h&amp;cp=34.0699~44.8644&amp;sp=point.34.0699_44.8644","Maplink3")</f>
        <v>Maplink3</v>
      </c>
    </row>
    <row r="1181" spans="1:48" ht="15" customHeight="1" x14ac:dyDescent="0.25">
      <c r="A1181" s="19">
        <v>25653</v>
      </c>
      <c r="B1181" s="20" t="s">
        <v>14</v>
      </c>
      <c r="C1181" s="20" t="s">
        <v>2220</v>
      </c>
      <c r="D1181" s="20" t="s">
        <v>5794</v>
      </c>
      <c r="E1181" s="20" t="s">
        <v>5795</v>
      </c>
      <c r="F1181" s="20">
        <v>34.077036929999998</v>
      </c>
      <c r="G1181" s="20">
        <v>44.855530610000002</v>
      </c>
      <c r="H1181" s="22">
        <v>10</v>
      </c>
      <c r="I1181" s="22">
        <v>60</v>
      </c>
      <c r="J1181" s="21"/>
      <c r="K1181" s="21"/>
      <c r="L1181" s="21"/>
      <c r="M1181" s="21"/>
      <c r="N1181" s="21"/>
      <c r="O1181" s="21">
        <v>10</v>
      </c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>
        <v>10</v>
      </c>
      <c r="AI1181" s="21"/>
      <c r="AJ1181" s="21"/>
      <c r="AK1181" s="21"/>
      <c r="AL1181" s="21"/>
      <c r="AM1181" s="21"/>
      <c r="AN1181" s="21"/>
      <c r="AO1181" s="21">
        <v>10</v>
      </c>
      <c r="AP1181" s="21"/>
      <c r="AQ1181" s="21"/>
      <c r="AR1181" s="21"/>
      <c r="AS1181" s="21"/>
      <c r="AT1181" s="12" t="str">
        <f>HYPERLINK("http://www.openstreetmap.org/?mlat=34.077&amp;mlon=44.8555&amp;zoom=12#map=12/34.077/44.8555","Maplink1")</f>
        <v>Maplink1</v>
      </c>
      <c r="AU1181" s="12" t="str">
        <f>HYPERLINK("https://www.google.iq/maps/search/+34.077,44.8555/@34.077,44.8555,14z?hl=en","Maplink2")</f>
        <v>Maplink2</v>
      </c>
      <c r="AV1181" s="12" t="str">
        <f>HYPERLINK("http://www.bing.com/maps/?lvl=14&amp;sty=h&amp;cp=34.077~44.8555&amp;sp=point.34.077_44.8555","Maplink3")</f>
        <v>Maplink3</v>
      </c>
    </row>
    <row r="1182" spans="1:48" ht="15" customHeight="1" x14ac:dyDescent="0.25">
      <c r="A1182" s="19">
        <v>24194</v>
      </c>
      <c r="B1182" s="20" t="s">
        <v>14</v>
      </c>
      <c r="C1182" s="20" t="s">
        <v>2220</v>
      </c>
      <c r="D1182" s="20" t="s">
        <v>5640</v>
      </c>
      <c r="E1182" s="20" t="s">
        <v>2253</v>
      </c>
      <c r="F1182" s="20">
        <v>34.073169549900001</v>
      </c>
      <c r="G1182" s="20">
        <v>44.855870739499998</v>
      </c>
      <c r="H1182" s="22">
        <v>25</v>
      </c>
      <c r="I1182" s="22">
        <v>150</v>
      </c>
      <c r="J1182" s="21"/>
      <c r="K1182" s="21"/>
      <c r="L1182" s="21"/>
      <c r="M1182" s="21"/>
      <c r="N1182" s="21"/>
      <c r="O1182" s="21">
        <v>21</v>
      </c>
      <c r="P1182" s="21"/>
      <c r="Q1182" s="21"/>
      <c r="R1182" s="21"/>
      <c r="S1182" s="21"/>
      <c r="T1182" s="21"/>
      <c r="U1182" s="21"/>
      <c r="V1182" s="21"/>
      <c r="W1182" s="21"/>
      <c r="X1182" s="21">
        <v>4</v>
      </c>
      <c r="Y1182" s="21"/>
      <c r="Z1182" s="21"/>
      <c r="AA1182" s="21"/>
      <c r="AB1182" s="21"/>
      <c r="AC1182" s="21">
        <v>3</v>
      </c>
      <c r="AD1182" s="21"/>
      <c r="AE1182" s="21"/>
      <c r="AF1182" s="21"/>
      <c r="AG1182" s="21"/>
      <c r="AH1182" s="21">
        <v>22</v>
      </c>
      <c r="AI1182" s="21"/>
      <c r="AJ1182" s="21"/>
      <c r="AK1182" s="21"/>
      <c r="AL1182" s="21"/>
      <c r="AM1182" s="21"/>
      <c r="AN1182" s="21">
        <v>4</v>
      </c>
      <c r="AO1182" s="21">
        <v>21</v>
      </c>
      <c r="AP1182" s="21"/>
      <c r="AQ1182" s="21"/>
      <c r="AR1182" s="21"/>
      <c r="AS1182" s="21"/>
      <c r="AT1182" s="12" t="str">
        <f>HYPERLINK("http://www.openstreetmap.org/?mlat=34.0732&amp;mlon=44.8559&amp;zoom=12#map=12/34.0732/44.8559","Maplink1")</f>
        <v>Maplink1</v>
      </c>
      <c r="AU1182" s="12" t="str">
        <f>HYPERLINK("https://www.google.iq/maps/search/+34.0732,44.8559/@34.0732,44.8559,14z?hl=en","Maplink2")</f>
        <v>Maplink2</v>
      </c>
      <c r="AV1182" s="12" t="str">
        <f>HYPERLINK("http://www.bing.com/maps/?lvl=14&amp;sty=h&amp;cp=34.0732~44.8559&amp;sp=point.34.0732_44.8559","Maplink3")</f>
        <v>Maplink3</v>
      </c>
    </row>
    <row r="1183" spans="1:48" ht="15" customHeight="1" x14ac:dyDescent="0.25">
      <c r="A1183" s="19">
        <v>26058</v>
      </c>
      <c r="B1183" s="20" t="s">
        <v>14</v>
      </c>
      <c r="C1183" s="20" t="s">
        <v>2220</v>
      </c>
      <c r="D1183" s="20" t="s">
        <v>5641</v>
      </c>
      <c r="E1183" s="20" t="s">
        <v>5642</v>
      </c>
      <c r="F1183" s="20">
        <v>34.067715870000001</v>
      </c>
      <c r="G1183" s="20">
        <v>44.865601130000002</v>
      </c>
      <c r="H1183" s="22">
        <v>10</v>
      </c>
      <c r="I1183" s="22">
        <v>60</v>
      </c>
      <c r="J1183" s="21"/>
      <c r="K1183" s="21"/>
      <c r="L1183" s="21"/>
      <c r="M1183" s="21"/>
      <c r="N1183" s="21"/>
      <c r="O1183" s="21">
        <v>10</v>
      </c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>
        <v>10</v>
      </c>
      <c r="AD1183" s="21"/>
      <c r="AE1183" s="21"/>
      <c r="AF1183" s="21"/>
      <c r="AG1183" s="21"/>
      <c r="AH1183" s="21"/>
      <c r="AI1183" s="21"/>
      <c r="AJ1183" s="21"/>
      <c r="AK1183" s="21"/>
      <c r="AL1183" s="21"/>
      <c r="AM1183" s="21"/>
      <c r="AN1183" s="21"/>
      <c r="AO1183" s="21">
        <v>10</v>
      </c>
      <c r="AP1183" s="21"/>
      <c r="AQ1183" s="21"/>
      <c r="AR1183" s="21"/>
      <c r="AS1183" s="21"/>
      <c r="AT1183" s="12" t="str">
        <f>HYPERLINK("http://www.openstreetmap.org/?mlat=34.0677&amp;mlon=44.8656&amp;zoom=12#map=12/34.0677/44.8656","Maplink1")</f>
        <v>Maplink1</v>
      </c>
      <c r="AU1183" s="12" t="str">
        <f>HYPERLINK("https://www.google.iq/maps/search/+34.0677,44.8656/@34.0677,44.8656,14z?hl=en","Maplink2")</f>
        <v>Maplink2</v>
      </c>
      <c r="AV1183" s="12" t="str">
        <f>HYPERLINK("http://www.bing.com/maps/?lvl=14&amp;sty=h&amp;cp=34.0677~44.8656&amp;sp=point.34.0677_44.8656","Maplink3")</f>
        <v>Maplink3</v>
      </c>
    </row>
    <row r="1184" spans="1:48" ht="15" customHeight="1" x14ac:dyDescent="0.25">
      <c r="A1184" s="19">
        <v>25656</v>
      </c>
      <c r="B1184" s="20" t="s">
        <v>14</v>
      </c>
      <c r="C1184" s="20" t="s">
        <v>2220</v>
      </c>
      <c r="D1184" s="20" t="s">
        <v>5643</v>
      </c>
      <c r="E1184" s="20" t="s">
        <v>5644</v>
      </c>
      <c r="F1184" s="20">
        <v>34.069639559999999</v>
      </c>
      <c r="G1184" s="20">
        <v>44.859890450000002</v>
      </c>
      <c r="H1184" s="22">
        <v>5</v>
      </c>
      <c r="I1184" s="22">
        <v>30</v>
      </c>
      <c r="J1184" s="21"/>
      <c r="K1184" s="21"/>
      <c r="L1184" s="21"/>
      <c r="M1184" s="21"/>
      <c r="N1184" s="21"/>
      <c r="O1184" s="21">
        <v>5</v>
      </c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>
        <v>5</v>
      </c>
      <c r="AI1184" s="21"/>
      <c r="AJ1184" s="21"/>
      <c r="AK1184" s="21"/>
      <c r="AL1184" s="21"/>
      <c r="AM1184" s="21"/>
      <c r="AN1184" s="21"/>
      <c r="AO1184" s="21">
        <v>5</v>
      </c>
      <c r="AP1184" s="21"/>
      <c r="AQ1184" s="21"/>
      <c r="AR1184" s="21"/>
      <c r="AS1184" s="21"/>
      <c r="AT1184" s="12" t="str">
        <f>HYPERLINK("http://www.openstreetmap.org/?mlat=34.0696&amp;mlon=44.8599&amp;zoom=12#map=12/34.0696/44.8599","Maplink1")</f>
        <v>Maplink1</v>
      </c>
      <c r="AU1184" s="12" t="str">
        <f>HYPERLINK("https://www.google.iq/maps/search/+34.0696,44.8599/@34.0696,44.8599,14z?hl=en","Maplink2")</f>
        <v>Maplink2</v>
      </c>
      <c r="AV1184" s="12" t="str">
        <f>HYPERLINK("http://www.bing.com/maps/?lvl=14&amp;sty=h&amp;cp=34.0696~44.8599&amp;sp=point.34.0696_44.8599","Maplink3")</f>
        <v>Maplink3</v>
      </c>
    </row>
    <row r="1185" spans="1:48" ht="15" customHeight="1" x14ac:dyDescent="0.25">
      <c r="A1185" s="19">
        <v>25651</v>
      </c>
      <c r="B1185" s="20" t="s">
        <v>14</v>
      </c>
      <c r="C1185" s="20" t="s">
        <v>2220</v>
      </c>
      <c r="D1185" s="20" t="s">
        <v>5796</v>
      </c>
      <c r="E1185" s="20" t="s">
        <v>5797</v>
      </c>
      <c r="F1185" s="20">
        <v>34.073397</v>
      </c>
      <c r="G1185" s="20">
        <v>44.8639966</v>
      </c>
      <c r="H1185" s="22">
        <v>25</v>
      </c>
      <c r="I1185" s="22">
        <v>150</v>
      </c>
      <c r="J1185" s="21"/>
      <c r="K1185" s="21"/>
      <c r="L1185" s="21"/>
      <c r="M1185" s="21"/>
      <c r="N1185" s="21"/>
      <c r="O1185" s="21">
        <v>25</v>
      </c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>
        <v>25</v>
      </c>
      <c r="AI1185" s="21"/>
      <c r="AJ1185" s="21"/>
      <c r="AK1185" s="21"/>
      <c r="AL1185" s="21"/>
      <c r="AM1185" s="21"/>
      <c r="AN1185" s="21">
        <v>7</v>
      </c>
      <c r="AO1185" s="21">
        <v>18</v>
      </c>
      <c r="AP1185" s="21"/>
      <c r="AQ1185" s="21"/>
      <c r="AR1185" s="21"/>
      <c r="AS1185" s="21"/>
      <c r="AT1185" s="12" t="str">
        <f>HYPERLINK("http://www.openstreetmap.org/?mlat=34.0734&amp;mlon=44.864&amp;zoom=12#map=12/34.0734/44.864","Maplink1")</f>
        <v>Maplink1</v>
      </c>
      <c r="AU1185" s="12" t="str">
        <f>HYPERLINK("https://www.google.iq/maps/search/+34.0734,44.864/@34.0734,44.864,14z?hl=en","Maplink2")</f>
        <v>Maplink2</v>
      </c>
      <c r="AV1185" s="12" t="str">
        <f>HYPERLINK("http://www.bing.com/maps/?lvl=14&amp;sty=h&amp;cp=34.0734~44.864&amp;sp=point.34.0734_44.864","Maplink3")</f>
        <v>Maplink3</v>
      </c>
    </row>
    <row r="1186" spans="1:48" ht="15" customHeight="1" x14ac:dyDescent="0.25">
      <c r="A1186" s="19">
        <v>25678</v>
      </c>
      <c r="B1186" s="20" t="s">
        <v>14</v>
      </c>
      <c r="C1186" s="20" t="s">
        <v>2220</v>
      </c>
      <c r="D1186" s="20" t="s">
        <v>5645</v>
      </c>
      <c r="E1186" s="20" t="s">
        <v>2254</v>
      </c>
      <c r="F1186" s="20">
        <v>34.125690872100002</v>
      </c>
      <c r="G1186" s="20">
        <v>44.8435787425</v>
      </c>
      <c r="H1186" s="22">
        <v>8</v>
      </c>
      <c r="I1186" s="22">
        <v>48</v>
      </c>
      <c r="J1186" s="21"/>
      <c r="K1186" s="21"/>
      <c r="L1186" s="21"/>
      <c r="M1186" s="21"/>
      <c r="N1186" s="21"/>
      <c r="O1186" s="21">
        <v>8</v>
      </c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>
        <v>5</v>
      </c>
      <c r="AD1186" s="21"/>
      <c r="AE1186" s="21"/>
      <c r="AF1186" s="21"/>
      <c r="AG1186" s="21"/>
      <c r="AH1186" s="21">
        <v>3</v>
      </c>
      <c r="AI1186" s="21"/>
      <c r="AJ1186" s="21"/>
      <c r="AK1186" s="21"/>
      <c r="AL1186" s="21"/>
      <c r="AM1186" s="21"/>
      <c r="AN1186" s="21"/>
      <c r="AO1186" s="21">
        <v>8</v>
      </c>
      <c r="AP1186" s="21"/>
      <c r="AQ1186" s="21"/>
      <c r="AR1186" s="21"/>
      <c r="AS1186" s="21"/>
      <c r="AT1186" s="12" t="str">
        <f>HYPERLINK("http://www.openstreetmap.org/?mlat=34.1257&amp;mlon=44.8436&amp;zoom=12#map=12/34.1257/44.8436","Maplink1")</f>
        <v>Maplink1</v>
      </c>
      <c r="AU1186" s="12" t="str">
        <f>HYPERLINK("https://www.google.iq/maps/search/+34.1257,44.8436/@34.1257,44.8436,14z?hl=en","Maplink2")</f>
        <v>Maplink2</v>
      </c>
      <c r="AV1186" s="12" t="str">
        <f>HYPERLINK("http://www.bing.com/maps/?lvl=14&amp;sty=h&amp;cp=34.1257~44.8436&amp;sp=point.34.1257_44.8436","Maplink3")</f>
        <v>Maplink3</v>
      </c>
    </row>
    <row r="1187" spans="1:48" ht="15" customHeight="1" x14ac:dyDescent="0.25">
      <c r="A1187" s="19">
        <v>11206</v>
      </c>
      <c r="B1187" s="20" t="s">
        <v>14</v>
      </c>
      <c r="C1187" s="20" t="s">
        <v>2220</v>
      </c>
      <c r="D1187" s="20" t="s">
        <v>2255</v>
      </c>
      <c r="E1187" s="20" t="s">
        <v>2256</v>
      </c>
      <c r="F1187" s="20">
        <v>33.683680879999997</v>
      </c>
      <c r="G1187" s="20">
        <v>44.421810200000003</v>
      </c>
      <c r="H1187" s="22">
        <v>7</v>
      </c>
      <c r="I1187" s="22">
        <v>42</v>
      </c>
      <c r="J1187" s="21"/>
      <c r="K1187" s="21"/>
      <c r="L1187" s="21"/>
      <c r="M1187" s="21"/>
      <c r="N1187" s="21"/>
      <c r="O1187" s="21">
        <v>7</v>
      </c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21">
        <v>7</v>
      </c>
      <c r="AI1187" s="21"/>
      <c r="AJ1187" s="21"/>
      <c r="AK1187" s="21"/>
      <c r="AL1187" s="21"/>
      <c r="AM1187" s="21"/>
      <c r="AN1187" s="21"/>
      <c r="AO1187" s="21">
        <v>7</v>
      </c>
      <c r="AP1187" s="21"/>
      <c r="AQ1187" s="21"/>
      <c r="AR1187" s="21"/>
      <c r="AS1187" s="21"/>
      <c r="AT1187" s="12" t="str">
        <f>HYPERLINK("http://www.openstreetmap.org/?mlat=33.6837&amp;mlon=44.4218&amp;zoom=12#map=12/33.6837/44.4218","Maplink1")</f>
        <v>Maplink1</v>
      </c>
      <c r="AU1187" s="12" t="str">
        <f>HYPERLINK("https://www.google.iq/maps/search/+33.6837,44.4218/@33.6837,44.4218,14z?hl=en","Maplink2")</f>
        <v>Maplink2</v>
      </c>
      <c r="AV1187" s="12" t="str">
        <f>HYPERLINK("http://www.bing.com/maps/?lvl=14&amp;sty=h&amp;cp=33.6837~44.4218&amp;sp=point.33.6837_44.4218","Maplink3")</f>
        <v>Maplink3</v>
      </c>
    </row>
    <row r="1188" spans="1:48" ht="15" customHeight="1" x14ac:dyDescent="0.25">
      <c r="A1188" s="19">
        <v>25029</v>
      </c>
      <c r="B1188" s="20" t="s">
        <v>14</v>
      </c>
      <c r="C1188" s="20" t="s">
        <v>2220</v>
      </c>
      <c r="D1188" s="20" t="s">
        <v>2257</v>
      </c>
      <c r="E1188" s="20" t="s">
        <v>2258</v>
      </c>
      <c r="F1188" s="20">
        <v>33.805014960000001</v>
      </c>
      <c r="G1188" s="20">
        <v>44.520598720000002</v>
      </c>
      <c r="H1188" s="22">
        <v>5</v>
      </c>
      <c r="I1188" s="22">
        <v>30</v>
      </c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>
        <v>1</v>
      </c>
      <c r="W1188" s="21"/>
      <c r="X1188" s="21">
        <v>4</v>
      </c>
      <c r="Y1188" s="21"/>
      <c r="Z1188" s="21"/>
      <c r="AA1188" s="21"/>
      <c r="AB1188" s="21"/>
      <c r="AC1188" s="21"/>
      <c r="AD1188" s="21"/>
      <c r="AE1188" s="21"/>
      <c r="AF1188" s="21"/>
      <c r="AG1188" s="21"/>
      <c r="AH1188" s="21">
        <v>2</v>
      </c>
      <c r="AI1188" s="21"/>
      <c r="AJ1188" s="21">
        <v>3</v>
      </c>
      <c r="AK1188" s="21"/>
      <c r="AL1188" s="21"/>
      <c r="AM1188" s="21"/>
      <c r="AN1188" s="21"/>
      <c r="AO1188" s="21">
        <v>4</v>
      </c>
      <c r="AP1188" s="21"/>
      <c r="AQ1188" s="21"/>
      <c r="AR1188" s="21"/>
      <c r="AS1188" s="21">
        <v>1</v>
      </c>
      <c r="AT1188" s="12" t="str">
        <f>HYPERLINK("http://www.openstreetmap.org/?mlat=33.805&amp;mlon=44.5206&amp;zoom=12#map=12/33.805/44.5206","Maplink1")</f>
        <v>Maplink1</v>
      </c>
      <c r="AU1188" s="12" t="str">
        <f>HYPERLINK("https://www.google.iq/maps/search/+33.805,44.5206/@33.805,44.5206,14z?hl=en","Maplink2")</f>
        <v>Maplink2</v>
      </c>
      <c r="AV1188" s="12" t="str">
        <f>HYPERLINK("http://www.bing.com/maps/?lvl=14&amp;sty=h&amp;cp=33.805~44.5206&amp;sp=point.33.805_44.5206","Maplink3")</f>
        <v>Maplink3</v>
      </c>
    </row>
    <row r="1189" spans="1:48" ht="15" customHeight="1" x14ac:dyDescent="0.25">
      <c r="A1189" s="19">
        <v>25032</v>
      </c>
      <c r="B1189" s="20" t="s">
        <v>14</v>
      </c>
      <c r="C1189" s="20" t="s">
        <v>2220</v>
      </c>
      <c r="D1189" s="20" t="s">
        <v>2259</v>
      </c>
      <c r="E1189" s="20" t="s">
        <v>2260</v>
      </c>
      <c r="F1189" s="20">
        <v>33.781931</v>
      </c>
      <c r="G1189" s="20">
        <v>44.516694000000001</v>
      </c>
      <c r="H1189" s="22">
        <v>15</v>
      </c>
      <c r="I1189" s="22">
        <v>90</v>
      </c>
      <c r="J1189" s="21">
        <v>3</v>
      </c>
      <c r="K1189" s="21"/>
      <c r="L1189" s="21"/>
      <c r="M1189" s="21"/>
      <c r="N1189" s="21"/>
      <c r="O1189" s="21">
        <v>2</v>
      </c>
      <c r="P1189" s="21"/>
      <c r="Q1189" s="21"/>
      <c r="R1189" s="21"/>
      <c r="S1189" s="21"/>
      <c r="T1189" s="21"/>
      <c r="U1189" s="21"/>
      <c r="V1189" s="21"/>
      <c r="W1189" s="21"/>
      <c r="X1189" s="21">
        <v>10</v>
      </c>
      <c r="Y1189" s="21"/>
      <c r="Z1189" s="21"/>
      <c r="AA1189" s="21"/>
      <c r="AB1189" s="21"/>
      <c r="AC1189" s="21"/>
      <c r="AD1189" s="21"/>
      <c r="AE1189" s="21"/>
      <c r="AF1189" s="21"/>
      <c r="AG1189" s="21"/>
      <c r="AH1189" s="21">
        <v>15</v>
      </c>
      <c r="AI1189" s="21"/>
      <c r="AJ1189" s="21"/>
      <c r="AK1189" s="21"/>
      <c r="AL1189" s="21"/>
      <c r="AM1189" s="21">
        <v>8</v>
      </c>
      <c r="AN1189" s="21"/>
      <c r="AO1189" s="21">
        <v>7</v>
      </c>
      <c r="AP1189" s="21"/>
      <c r="AQ1189" s="21"/>
      <c r="AR1189" s="21"/>
      <c r="AS1189" s="21"/>
      <c r="AT1189" s="12" t="str">
        <f>HYPERLINK("http://www.openstreetmap.org/?mlat=33.7819&amp;mlon=44.5167&amp;zoom=12#map=12/33.7819/44.5167","Maplink1")</f>
        <v>Maplink1</v>
      </c>
      <c r="AU1189" s="12" t="str">
        <f>HYPERLINK("https://www.google.iq/maps/search/+33.7819,44.5167/@33.7819,44.5167,14z?hl=en","Maplink2")</f>
        <v>Maplink2</v>
      </c>
      <c r="AV1189" s="12" t="str">
        <f>HYPERLINK("http://www.bing.com/maps/?lvl=14&amp;sty=h&amp;cp=33.7819~44.5167&amp;sp=point.33.7819_44.5167","Maplink3")</f>
        <v>Maplink3</v>
      </c>
    </row>
    <row r="1190" spans="1:48" ht="15" customHeight="1" x14ac:dyDescent="0.25">
      <c r="A1190" s="19">
        <v>25027</v>
      </c>
      <c r="B1190" s="20" t="s">
        <v>14</v>
      </c>
      <c r="C1190" s="20" t="s">
        <v>2220</v>
      </c>
      <c r="D1190" s="20" t="s">
        <v>2261</v>
      </c>
      <c r="E1190" s="20" t="s">
        <v>2262</v>
      </c>
      <c r="F1190" s="20">
        <v>33.780858100000003</v>
      </c>
      <c r="G1190" s="20">
        <v>44.515046890000001</v>
      </c>
      <c r="H1190" s="22">
        <v>12</v>
      </c>
      <c r="I1190" s="22">
        <v>72</v>
      </c>
      <c r="J1190" s="21"/>
      <c r="K1190" s="21"/>
      <c r="L1190" s="21"/>
      <c r="M1190" s="21"/>
      <c r="N1190" s="21"/>
      <c r="O1190" s="21">
        <v>12</v>
      </c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>
        <v>8</v>
      </c>
      <c r="AD1190" s="21"/>
      <c r="AE1190" s="21"/>
      <c r="AF1190" s="21"/>
      <c r="AG1190" s="21"/>
      <c r="AH1190" s="21">
        <v>4</v>
      </c>
      <c r="AI1190" s="21"/>
      <c r="AJ1190" s="21"/>
      <c r="AK1190" s="21"/>
      <c r="AL1190" s="21"/>
      <c r="AM1190" s="21"/>
      <c r="AN1190" s="21"/>
      <c r="AO1190" s="21">
        <v>12</v>
      </c>
      <c r="AP1190" s="21"/>
      <c r="AQ1190" s="21"/>
      <c r="AR1190" s="21"/>
      <c r="AS1190" s="21"/>
      <c r="AT1190" s="12" t="str">
        <f>HYPERLINK("http://www.openstreetmap.org/?mlat=33.7809&amp;mlon=44.515&amp;zoom=12#map=12/33.7809/44.515","Maplink1")</f>
        <v>Maplink1</v>
      </c>
      <c r="AU1190" s="12" t="str">
        <f>HYPERLINK("https://www.google.iq/maps/search/+33.7809,44.515/@33.7809,44.515,14z?hl=en","Maplink2")</f>
        <v>Maplink2</v>
      </c>
      <c r="AV1190" s="12" t="str">
        <f>HYPERLINK("http://www.bing.com/maps/?lvl=14&amp;sty=h&amp;cp=33.7809~44.515&amp;sp=point.33.7809_44.515","Maplink3")</f>
        <v>Maplink3</v>
      </c>
    </row>
    <row r="1191" spans="1:48" ht="15" customHeight="1" x14ac:dyDescent="0.25">
      <c r="A1191" s="19">
        <v>25034</v>
      </c>
      <c r="B1191" s="20" t="s">
        <v>14</v>
      </c>
      <c r="C1191" s="20" t="s">
        <v>2220</v>
      </c>
      <c r="D1191" s="20" t="s">
        <v>2263</v>
      </c>
      <c r="E1191" s="20" t="s">
        <v>2264</v>
      </c>
      <c r="F1191" s="20">
        <v>33.745561121900003</v>
      </c>
      <c r="G1191" s="20">
        <v>44.535065365400001</v>
      </c>
      <c r="H1191" s="22">
        <v>7</v>
      </c>
      <c r="I1191" s="22">
        <v>42</v>
      </c>
      <c r="J1191" s="21"/>
      <c r="K1191" s="21"/>
      <c r="L1191" s="21"/>
      <c r="M1191" s="21"/>
      <c r="N1191" s="21"/>
      <c r="O1191" s="21">
        <v>7</v>
      </c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21"/>
      <c r="AH1191" s="21">
        <v>7</v>
      </c>
      <c r="AI1191" s="21"/>
      <c r="AJ1191" s="21"/>
      <c r="AK1191" s="21"/>
      <c r="AL1191" s="21"/>
      <c r="AM1191" s="21">
        <v>5</v>
      </c>
      <c r="AN1191" s="21">
        <v>2</v>
      </c>
      <c r="AO1191" s="21"/>
      <c r="AP1191" s="21"/>
      <c r="AQ1191" s="21"/>
      <c r="AR1191" s="21"/>
      <c r="AS1191" s="21"/>
      <c r="AT1191" s="12" t="str">
        <f>HYPERLINK("http://www.openstreetmap.org/?mlat=33.7456&amp;mlon=44.5351&amp;zoom=12#map=12/33.7456/44.5351","Maplink1")</f>
        <v>Maplink1</v>
      </c>
      <c r="AU1191" s="12" t="str">
        <f>HYPERLINK("https://www.google.iq/maps/search/+33.7456,44.5351/@33.7456,44.5351,14z?hl=en","Maplink2")</f>
        <v>Maplink2</v>
      </c>
      <c r="AV1191" s="12" t="str">
        <f>HYPERLINK("http://www.bing.com/maps/?lvl=14&amp;sty=h&amp;cp=33.7456~44.5351&amp;sp=point.33.7456_44.5351","Maplink3")</f>
        <v>Maplink3</v>
      </c>
    </row>
    <row r="1192" spans="1:48" ht="15" customHeight="1" x14ac:dyDescent="0.25">
      <c r="A1192" s="19">
        <v>25028</v>
      </c>
      <c r="B1192" s="20" t="s">
        <v>14</v>
      </c>
      <c r="C1192" s="20" t="s">
        <v>2220</v>
      </c>
      <c r="D1192" s="20" t="s">
        <v>2265</v>
      </c>
      <c r="E1192" s="20" t="s">
        <v>2266</v>
      </c>
      <c r="F1192" s="20">
        <v>33.761726403300003</v>
      </c>
      <c r="G1192" s="20">
        <v>44.498016170900001</v>
      </c>
      <c r="H1192" s="22">
        <v>30</v>
      </c>
      <c r="I1192" s="22">
        <v>180</v>
      </c>
      <c r="J1192" s="21">
        <v>1</v>
      </c>
      <c r="K1192" s="21"/>
      <c r="L1192" s="21"/>
      <c r="M1192" s="21"/>
      <c r="N1192" s="21"/>
      <c r="O1192" s="21">
        <v>22</v>
      </c>
      <c r="P1192" s="21"/>
      <c r="Q1192" s="21"/>
      <c r="R1192" s="21"/>
      <c r="S1192" s="21"/>
      <c r="T1192" s="21"/>
      <c r="U1192" s="21"/>
      <c r="V1192" s="21">
        <v>7</v>
      </c>
      <c r="W1192" s="21"/>
      <c r="X1192" s="21"/>
      <c r="Y1192" s="21"/>
      <c r="Z1192" s="21"/>
      <c r="AA1192" s="21"/>
      <c r="AB1192" s="21"/>
      <c r="AC1192" s="21">
        <v>7</v>
      </c>
      <c r="AD1192" s="21"/>
      <c r="AE1192" s="21"/>
      <c r="AF1192" s="21"/>
      <c r="AG1192" s="21"/>
      <c r="AH1192" s="21">
        <v>23</v>
      </c>
      <c r="AI1192" s="21"/>
      <c r="AJ1192" s="21"/>
      <c r="AK1192" s="21"/>
      <c r="AL1192" s="21"/>
      <c r="AM1192" s="21"/>
      <c r="AN1192" s="21">
        <v>4</v>
      </c>
      <c r="AO1192" s="21">
        <v>19</v>
      </c>
      <c r="AP1192" s="21"/>
      <c r="AQ1192" s="21"/>
      <c r="AR1192" s="21">
        <v>7</v>
      </c>
      <c r="AS1192" s="21"/>
      <c r="AT1192" s="12" t="str">
        <f>HYPERLINK("http://www.openstreetmap.org/?mlat=33.7617&amp;mlon=44.498&amp;zoom=12#map=12/33.7617/44.498","Maplink1")</f>
        <v>Maplink1</v>
      </c>
      <c r="AU1192" s="12" t="str">
        <f>HYPERLINK("https://www.google.iq/maps/search/+33.7617,44.498/@33.7617,44.498,14z?hl=en","Maplink2")</f>
        <v>Maplink2</v>
      </c>
      <c r="AV1192" s="12" t="str">
        <f>HYPERLINK("http://www.bing.com/maps/?lvl=14&amp;sty=h&amp;cp=33.7617~44.498&amp;sp=point.33.7617_44.498","Maplink3")</f>
        <v>Maplink3</v>
      </c>
    </row>
    <row r="1193" spans="1:48" ht="15" customHeight="1" x14ac:dyDescent="0.25">
      <c r="A1193" s="19">
        <v>25036</v>
      </c>
      <c r="B1193" s="20" t="s">
        <v>14</v>
      </c>
      <c r="C1193" s="20" t="s">
        <v>2220</v>
      </c>
      <c r="D1193" s="20" t="s">
        <v>2267</v>
      </c>
      <c r="E1193" s="20" t="s">
        <v>2268</v>
      </c>
      <c r="F1193" s="20">
        <v>33.780023059999998</v>
      </c>
      <c r="G1193" s="20">
        <v>44.511291710000002</v>
      </c>
      <c r="H1193" s="22">
        <v>38</v>
      </c>
      <c r="I1193" s="22">
        <v>228</v>
      </c>
      <c r="J1193" s="21"/>
      <c r="K1193" s="21"/>
      <c r="L1193" s="21"/>
      <c r="M1193" s="21"/>
      <c r="N1193" s="21"/>
      <c r="O1193" s="21">
        <v>30</v>
      </c>
      <c r="P1193" s="21"/>
      <c r="Q1193" s="21"/>
      <c r="R1193" s="21">
        <v>2</v>
      </c>
      <c r="S1193" s="21"/>
      <c r="T1193" s="21"/>
      <c r="U1193" s="21"/>
      <c r="V1193" s="21"/>
      <c r="W1193" s="21"/>
      <c r="X1193" s="21">
        <v>6</v>
      </c>
      <c r="Y1193" s="21"/>
      <c r="Z1193" s="21"/>
      <c r="AA1193" s="21"/>
      <c r="AB1193" s="21"/>
      <c r="AC1193" s="21">
        <v>15</v>
      </c>
      <c r="AD1193" s="21"/>
      <c r="AE1193" s="21"/>
      <c r="AF1193" s="21"/>
      <c r="AG1193" s="21"/>
      <c r="AH1193" s="21">
        <v>23</v>
      </c>
      <c r="AI1193" s="21"/>
      <c r="AJ1193" s="21"/>
      <c r="AK1193" s="21"/>
      <c r="AL1193" s="21"/>
      <c r="AM1193" s="21">
        <v>18</v>
      </c>
      <c r="AN1193" s="21"/>
      <c r="AO1193" s="21">
        <v>20</v>
      </c>
      <c r="AP1193" s="21"/>
      <c r="AQ1193" s="21"/>
      <c r="AR1193" s="21"/>
      <c r="AS1193" s="21"/>
      <c r="AT1193" s="12" t="str">
        <f>HYPERLINK("http://www.openstreetmap.org/?mlat=33.78&amp;mlon=44.5113&amp;zoom=12#map=12/33.78/44.5113","Maplink1")</f>
        <v>Maplink1</v>
      </c>
      <c r="AU1193" s="12" t="str">
        <f>HYPERLINK("https://www.google.iq/maps/search/+33.78,44.5113/@33.78,44.5113,14z?hl=en","Maplink2")</f>
        <v>Maplink2</v>
      </c>
      <c r="AV1193" s="12" t="str">
        <f>HYPERLINK("http://www.bing.com/maps/?lvl=14&amp;sty=h&amp;cp=33.78~44.5113&amp;sp=point.33.78_44.5113","Maplink3")</f>
        <v>Maplink3</v>
      </c>
    </row>
    <row r="1194" spans="1:48" ht="15" customHeight="1" x14ac:dyDescent="0.25">
      <c r="A1194" s="19">
        <v>25025</v>
      </c>
      <c r="B1194" s="20" t="s">
        <v>14</v>
      </c>
      <c r="C1194" s="20" t="s">
        <v>2220</v>
      </c>
      <c r="D1194" s="20" t="s">
        <v>2269</v>
      </c>
      <c r="E1194" s="20" t="s">
        <v>2270</v>
      </c>
      <c r="F1194" s="20">
        <v>33.78305357</v>
      </c>
      <c r="G1194" s="20">
        <v>44.508890710000003</v>
      </c>
      <c r="H1194" s="22">
        <v>17</v>
      </c>
      <c r="I1194" s="22">
        <v>102</v>
      </c>
      <c r="J1194" s="21"/>
      <c r="K1194" s="21"/>
      <c r="L1194" s="21"/>
      <c r="M1194" s="21"/>
      <c r="N1194" s="21"/>
      <c r="O1194" s="21">
        <v>17</v>
      </c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21"/>
      <c r="AH1194" s="21">
        <v>17</v>
      </c>
      <c r="AI1194" s="21"/>
      <c r="AJ1194" s="21"/>
      <c r="AK1194" s="21"/>
      <c r="AL1194" s="21"/>
      <c r="AM1194" s="21"/>
      <c r="AN1194" s="21"/>
      <c r="AO1194" s="21">
        <v>17</v>
      </c>
      <c r="AP1194" s="21"/>
      <c r="AQ1194" s="21"/>
      <c r="AR1194" s="21"/>
      <c r="AS1194" s="21"/>
      <c r="AT1194" s="12" t="str">
        <f>HYPERLINK("http://www.openstreetmap.org/?mlat=33.7831&amp;mlon=44.5089&amp;zoom=12#map=12/33.7831/44.5089","Maplink1")</f>
        <v>Maplink1</v>
      </c>
      <c r="AU1194" s="12" t="str">
        <f>HYPERLINK("https://www.google.iq/maps/search/+33.7831,44.5089/@33.7831,44.5089,14z?hl=en","Maplink2")</f>
        <v>Maplink2</v>
      </c>
      <c r="AV1194" s="12" t="str">
        <f>HYPERLINK("http://www.bing.com/maps/?lvl=14&amp;sty=h&amp;cp=33.7831~44.5089&amp;sp=point.33.7831_44.5089","Maplink3")</f>
        <v>Maplink3</v>
      </c>
    </row>
    <row r="1195" spans="1:48" ht="15" customHeight="1" x14ac:dyDescent="0.25">
      <c r="A1195" s="19">
        <v>25024</v>
      </c>
      <c r="B1195" s="20" t="s">
        <v>14</v>
      </c>
      <c r="C1195" s="20" t="s">
        <v>2220</v>
      </c>
      <c r="D1195" s="20" t="s">
        <v>2271</v>
      </c>
      <c r="E1195" s="20" t="s">
        <v>2272</v>
      </c>
      <c r="F1195" s="20">
        <v>33.785976720000001</v>
      </c>
      <c r="G1195" s="20">
        <v>44.511094399999998</v>
      </c>
      <c r="H1195" s="22">
        <v>13</v>
      </c>
      <c r="I1195" s="22">
        <v>78</v>
      </c>
      <c r="J1195" s="21"/>
      <c r="K1195" s="21"/>
      <c r="L1195" s="21"/>
      <c r="M1195" s="21"/>
      <c r="N1195" s="21"/>
      <c r="O1195" s="21">
        <v>9</v>
      </c>
      <c r="P1195" s="21"/>
      <c r="Q1195" s="21"/>
      <c r="R1195" s="21"/>
      <c r="S1195" s="21"/>
      <c r="T1195" s="21"/>
      <c r="U1195" s="21"/>
      <c r="V1195" s="21"/>
      <c r="W1195" s="21"/>
      <c r="X1195" s="21">
        <v>4</v>
      </c>
      <c r="Y1195" s="21"/>
      <c r="Z1195" s="21"/>
      <c r="AA1195" s="21"/>
      <c r="AB1195" s="21"/>
      <c r="AC1195" s="21"/>
      <c r="AD1195" s="21"/>
      <c r="AE1195" s="21"/>
      <c r="AF1195" s="21"/>
      <c r="AG1195" s="21"/>
      <c r="AH1195" s="21">
        <v>13</v>
      </c>
      <c r="AI1195" s="21"/>
      <c r="AJ1195" s="21"/>
      <c r="AK1195" s="21"/>
      <c r="AL1195" s="21"/>
      <c r="AM1195" s="21">
        <v>4</v>
      </c>
      <c r="AN1195" s="21"/>
      <c r="AO1195" s="21">
        <v>9</v>
      </c>
      <c r="AP1195" s="21"/>
      <c r="AQ1195" s="21"/>
      <c r="AR1195" s="21"/>
      <c r="AS1195" s="21"/>
      <c r="AT1195" s="12" t="str">
        <f>HYPERLINK("http://www.openstreetmap.org/?mlat=33.786&amp;mlon=44.5111&amp;zoom=12#map=12/33.786/44.5111","Maplink1")</f>
        <v>Maplink1</v>
      </c>
      <c r="AU1195" s="12" t="str">
        <f>HYPERLINK("https://www.google.iq/maps/search/+33.786,44.5111/@33.786,44.5111,14z?hl=en","Maplink2")</f>
        <v>Maplink2</v>
      </c>
      <c r="AV1195" s="12" t="str">
        <f>HYPERLINK("http://www.bing.com/maps/?lvl=14&amp;sty=h&amp;cp=33.786~44.5111&amp;sp=point.33.786_44.5111","Maplink3")</f>
        <v>Maplink3</v>
      </c>
    </row>
    <row r="1196" spans="1:48" ht="15" customHeight="1" x14ac:dyDescent="0.25">
      <c r="A1196" s="19">
        <v>11425</v>
      </c>
      <c r="B1196" s="20" t="s">
        <v>14</v>
      </c>
      <c r="C1196" s="20" t="s">
        <v>2220</v>
      </c>
      <c r="D1196" s="20" t="s">
        <v>2273</v>
      </c>
      <c r="E1196" s="20" t="s">
        <v>2274</v>
      </c>
      <c r="F1196" s="20">
        <v>33.6416997348</v>
      </c>
      <c r="G1196" s="20">
        <v>44.4232678264</v>
      </c>
      <c r="H1196" s="22">
        <v>65</v>
      </c>
      <c r="I1196" s="22">
        <v>390</v>
      </c>
      <c r="J1196" s="21">
        <v>6</v>
      </c>
      <c r="K1196" s="21"/>
      <c r="L1196" s="21">
        <v>18</v>
      </c>
      <c r="M1196" s="21"/>
      <c r="N1196" s="21"/>
      <c r="O1196" s="21">
        <v>22</v>
      </c>
      <c r="P1196" s="21"/>
      <c r="Q1196" s="21"/>
      <c r="R1196" s="21"/>
      <c r="S1196" s="21"/>
      <c r="T1196" s="21"/>
      <c r="U1196" s="21"/>
      <c r="V1196" s="21">
        <v>10</v>
      </c>
      <c r="W1196" s="21"/>
      <c r="X1196" s="21">
        <v>9</v>
      </c>
      <c r="Y1196" s="21"/>
      <c r="Z1196" s="21"/>
      <c r="AA1196" s="21"/>
      <c r="AB1196" s="21"/>
      <c r="AC1196" s="21">
        <v>37</v>
      </c>
      <c r="AD1196" s="21"/>
      <c r="AE1196" s="21"/>
      <c r="AF1196" s="21"/>
      <c r="AG1196" s="21"/>
      <c r="AH1196" s="21">
        <v>13</v>
      </c>
      <c r="AI1196" s="21"/>
      <c r="AJ1196" s="21">
        <v>15</v>
      </c>
      <c r="AK1196" s="21"/>
      <c r="AL1196" s="21"/>
      <c r="AM1196" s="21">
        <v>35</v>
      </c>
      <c r="AN1196" s="21">
        <v>15</v>
      </c>
      <c r="AO1196" s="21">
        <v>15</v>
      </c>
      <c r="AP1196" s="21"/>
      <c r="AQ1196" s="21"/>
      <c r="AR1196" s="21"/>
      <c r="AS1196" s="21"/>
      <c r="AT1196" s="12" t="str">
        <f>HYPERLINK("http://www.openstreetmap.org/?mlat=33.6417&amp;mlon=44.4233&amp;zoom=12#map=12/33.6417/44.4233","Maplink1")</f>
        <v>Maplink1</v>
      </c>
      <c r="AU1196" s="12" t="str">
        <f>HYPERLINK("https://www.google.iq/maps/search/+33.6417,44.4233/@33.6417,44.4233,14z?hl=en","Maplink2")</f>
        <v>Maplink2</v>
      </c>
      <c r="AV1196" s="12" t="str">
        <f>HYPERLINK("http://www.bing.com/maps/?lvl=14&amp;sty=h&amp;cp=33.6417~44.4233&amp;sp=point.33.6417_44.4233","Maplink3")</f>
        <v>Maplink3</v>
      </c>
    </row>
    <row r="1197" spans="1:48" ht="15" customHeight="1" x14ac:dyDescent="0.25">
      <c r="A1197" s="19">
        <v>11081</v>
      </c>
      <c r="B1197" s="20" t="s">
        <v>14</v>
      </c>
      <c r="C1197" s="20" t="s">
        <v>2220</v>
      </c>
      <c r="D1197" s="20" t="s">
        <v>2275</v>
      </c>
      <c r="E1197" s="20" t="s">
        <v>2276</v>
      </c>
      <c r="F1197" s="20">
        <v>33.858494754200002</v>
      </c>
      <c r="G1197" s="20">
        <v>44.518919506000003</v>
      </c>
      <c r="H1197" s="22">
        <v>50</v>
      </c>
      <c r="I1197" s="22">
        <v>300</v>
      </c>
      <c r="J1197" s="21"/>
      <c r="K1197" s="21"/>
      <c r="L1197" s="21"/>
      <c r="M1197" s="21"/>
      <c r="N1197" s="21"/>
      <c r="O1197" s="21">
        <v>50</v>
      </c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>
        <v>40</v>
      </c>
      <c r="AD1197" s="21"/>
      <c r="AE1197" s="21"/>
      <c r="AF1197" s="21"/>
      <c r="AG1197" s="21"/>
      <c r="AH1197" s="21">
        <v>10</v>
      </c>
      <c r="AI1197" s="21"/>
      <c r="AJ1197" s="21"/>
      <c r="AK1197" s="21"/>
      <c r="AL1197" s="21"/>
      <c r="AM1197" s="21"/>
      <c r="AN1197" s="21"/>
      <c r="AO1197" s="21">
        <v>50</v>
      </c>
      <c r="AP1197" s="21"/>
      <c r="AQ1197" s="21"/>
      <c r="AR1197" s="21"/>
      <c r="AS1197" s="21"/>
      <c r="AT1197" s="12" t="str">
        <f>HYPERLINK("http://www.openstreetmap.org/?mlat=33.8585&amp;mlon=44.5189&amp;zoom=12#map=12/33.8585/44.5189","Maplink1")</f>
        <v>Maplink1</v>
      </c>
      <c r="AU1197" s="12" t="str">
        <f>HYPERLINK("https://www.google.iq/maps/search/+33.8585,44.5189/@33.8585,44.5189,14z?hl=en","Maplink2")</f>
        <v>Maplink2</v>
      </c>
      <c r="AV1197" s="12" t="str">
        <f>HYPERLINK("http://www.bing.com/maps/?lvl=14&amp;sty=h&amp;cp=33.8585~44.5189&amp;sp=point.33.8585_44.5189","Maplink3")</f>
        <v>Maplink3</v>
      </c>
    </row>
    <row r="1198" spans="1:48" ht="15" customHeight="1" x14ac:dyDescent="0.25">
      <c r="A1198" s="19">
        <v>10445</v>
      </c>
      <c r="B1198" s="20" t="s">
        <v>14</v>
      </c>
      <c r="C1198" s="20" t="s">
        <v>2220</v>
      </c>
      <c r="D1198" s="20" t="s">
        <v>2277</v>
      </c>
      <c r="E1198" s="20" t="s">
        <v>2278</v>
      </c>
      <c r="F1198" s="20">
        <v>33.78374213</v>
      </c>
      <c r="G1198" s="20">
        <v>44.515184509999997</v>
      </c>
      <c r="H1198" s="22">
        <v>115</v>
      </c>
      <c r="I1198" s="22">
        <v>690</v>
      </c>
      <c r="J1198" s="21">
        <v>10</v>
      </c>
      <c r="K1198" s="21"/>
      <c r="L1198" s="21"/>
      <c r="M1198" s="21"/>
      <c r="N1198" s="21"/>
      <c r="O1198" s="21">
        <v>105</v>
      </c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>
        <v>10</v>
      </c>
      <c r="AD1198" s="21"/>
      <c r="AE1198" s="21"/>
      <c r="AF1198" s="21"/>
      <c r="AG1198" s="21"/>
      <c r="AH1198" s="21">
        <v>105</v>
      </c>
      <c r="AI1198" s="21"/>
      <c r="AJ1198" s="21"/>
      <c r="AK1198" s="21"/>
      <c r="AL1198" s="21"/>
      <c r="AM1198" s="21"/>
      <c r="AN1198" s="21">
        <v>46</v>
      </c>
      <c r="AO1198" s="21">
        <v>59</v>
      </c>
      <c r="AP1198" s="21"/>
      <c r="AQ1198" s="21">
        <v>10</v>
      </c>
      <c r="AR1198" s="21"/>
      <c r="AS1198" s="21"/>
      <c r="AT1198" s="12" t="str">
        <f>HYPERLINK("http://www.openstreetmap.org/?mlat=33.7837&amp;mlon=44.5152&amp;zoom=12#map=12/33.7837/44.5152","Maplink1")</f>
        <v>Maplink1</v>
      </c>
      <c r="AU1198" s="12" t="str">
        <f>HYPERLINK("https://www.google.iq/maps/search/+33.7837,44.5152/@33.7837,44.5152,14z?hl=en","Maplink2")</f>
        <v>Maplink2</v>
      </c>
      <c r="AV1198" s="12" t="str">
        <f>HYPERLINK("http://www.bing.com/maps/?lvl=14&amp;sty=h&amp;cp=33.7837~44.5152&amp;sp=point.33.7837_44.5152","Maplink3")</f>
        <v>Maplink3</v>
      </c>
    </row>
    <row r="1199" spans="1:48" ht="15" customHeight="1" x14ac:dyDescent="0.25">
      <c r="A1199" s="19">
        <v>11392</v>
      </c>
      <c r="B1199" s="20" t="s">
        <v>14</v>
      </c>
      <c r="C1199" s="20" t="s">
        <v>2220</v>
      </c>
      <c r="D1199" s="20" t="s">
        <v>2279</v>
      </c>
      <c r="E1199" s="20" t="s">
        <v>2280</v>
      </c>
      <c r="F1199" s="20">
        <v>33.844081930000002</v>
      </c>
      <c r="G1199" s="20">
        <v>44.615940629999997</v>
      </c>
      <c r="H1199" s="22">
        <v>20</v>
      </c>
      <c r="I1199" s="22">
        <v>120</v>
      </c>
      <c r="J1199" s="21"/>
      <c r="K1199" s="21"/>
      <c r="L1199" s="21"/>
      <c r="M1199" s="21"/>
      <c r="N1199" s="21"/>
      <c r="O1199" s="21">
        <v>20</v>
      </c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>
        <v>20</v>
      </c>
      <c r="AD1199" s="21"/>
      <c r="AE1199" s="21"/>
      <c r="AF1199" s="21"/>
      <c r="AG1199" s="21"/>
      <c r="AH1199" s="21"/>
      <c r="AI1199" s="21"/>
      <c r="AJ1199" s="21"/>
      <c r="AK1199" s="21"/>
      <c r="AL1199" s="21"/>
      <c r="AM1199" s="21">
        <v>20</v>
      </c>
      <c r="AN1199" s="21"/>
      <c r="AO1199" s="21"/>
      <c r="AP1199" s="21"/>
      <c r="AQ1199" s="21"/>
      <c r="AR1199" s="21"/>
      <c r="AS1199" s="21"/>
      <c r="AT1199" s="12" t="str">
        <f>HYPERLINK("http://www.openstreetmap.org/?mlat=33.8441&amp;mlon=44.6159&amp;zoom=12#map=12/33.8441/44.6159","Maplink1")</f>
        <v>Maplink1</v>
      </c>
      <c r="AU1199" s="12" t="str">
        <f>HYPERLINK("https://www.google.iq/maps/search/+33.8441,44.6159/@33.8441,44.6159,14z?hl=en","Maplink2")</f>
        <v>Maplink2</v>
      </c>
      <c r="AV1199" s="12" t="str">
        <f>HYPERLINK("http://www.bing.com/maps/?lvl=14&amp;sty=h&amp;cp=33.8441~44.6159&amp;sp=point.33.8441_44.6159","Maplink3")</f>
        <v>Maplink3</v>
      </c>
    </row>
    <row r="1200" spans="1:48" ht="15" customHeight="1" x14ac:dyDescent="0.25">
      <c r="A1200" s="19">
        <v>25023</v>
      </c>
      <c r="B1200" s="20" t="s">
        <v>14</v>
      </c>
      <c r="C1200" s="20" t="s">
        <v>2220</v>
      </c>
      <c r="D1200" s="20" t="s">
        <v>2281</v>
      </c>
      <c r="E1200" s="20" t="s">
        <v>2282</v>
      </c>
      <c r="F1200" s="20">
        <v>33.740950859999998</v>
      </c>
      <c r="G1200" s="20">
        <v>44.494905430000003</v>
      </c>
      <c r="H1200" s="22">
        <v>61</v>
      </c>
      <c r="I1200" s="22">
        <v>366</v>
      </c>
      <c r="J1200" s="21"/>
      <c r="K1200" s="21"/>
      <c r="L1200" s="21"/>
      <c r="M1200" s="21"/>
      <c r="N1200" s="21"/>
      <c r="O1200" s="21">
        <v>34</v>
      </c>
      <c r="P1200" s="21"/>
      <c r="Q1200" s="21"/>
      <c r="R1200" s="21"/>
      <c r="S1200" s="21"/>
      <c r="T1200" s="21"/>
      <c r="U1200" s="21"/>
      <c r="V1200" s="21">
        <v>3</v>
      </c>
      <c r="W1200" s="21"/>
      <c r="X1200" s="21">
        <v>24</v>
      </c>
      <c r="Y1200" s="21"/>
      <c r="Z1200" s="21"/>
      <c r="AA1200" s="21"/>
      <c r="AB1200" s="21"/>
      <c r="AC1200" s="21">
        <v>12</v>
      </c>
      <c r="AD1200" s="21"/>
      <c r="AE1200" s="21"/>
      <c r="AF1200" s="21"/>
      <c r="AG1200" s="21"/>
      <c r="AH1200" s="21">
        <v>49</v>
      </c>
      <c r="AI1200" s="21"/>
      <c r="AJ1200" s="21"/>
      <c r="AK1200" s="21"/>
      <c r="AL1200" s="21"/>
      <c r="AM1200" s="21">
        <v>23</v>
      </c>
      <c r="AN1200" s="21"/>
      <c r="AO1200" s="21">
        <v>38</v>
      </c>
      <c r="AP1200" s="21"/>
      <c r="AQ1200" s="21"/>
      <c r="AR1200" s="21"/>
      <c r="AS1200" s="21"/>
      <c r="AT1200" s="12" t="str">
        <f>HYPERLINK("http://www.openstreetmap.org/?mlat=33.741&amp;mlon=44.4949&amp;zoom=12#map=12/33.741/44.4949","Maplink1")</f>
        <v>Maplink1</v>
      </c>
      <c r="AU1200" s="12" t="str">
        <f>HYPERLINK("https://www.google.iq/maps/search/+33.741,44.4949/@33.741,44.4949,14z?hl=en","Maplink2")</f>
        <v>Maplink2</v>
      </c>
      <c r="AV1200" s="12" t="str">
        <f>HYPERLINK("http://www.bing.com/maps/?lvl=14&amp;sty=h&amp;cp=33.741~44.4949&amp;sp=point.33.741_44.4949","Maplink3")</f>
        <v>Maplink3</v>
      </c>
    </row>
    <row r="1201" spans="1:48" ht="15" customHeight="1" x14ac:dyDescent="0.25">
      <c r="A1201" s="19">
        <v>25624</v>
      </c>
      <c r="B1201" s="20" t="s">
        <v>14</v>
      </c>
      <c r="C1201" s="20" t="s">
        <v>2283</v>
      </c>
      <c r="D1201" s="20" t="s">
        <v>2284</v>
      </c>
      <c r="E1201" s="20" t="s">
        <v>2285</v>
      </c>
      <c r="F1201" s="20">
        <v>34.014000000000003</v>
      </c>
      <c r="G1201" s="20">
        <v>45.019799999999996</v>
      </c>
      <c r="H1201" s="22">
        <v>30</v>
      </c>
      <c r="I1201" s="22">
        <v>180</v>
      </c>
      <c r="J1201" s="21"/>
      <c r="K1201" s="21"/>
      <c r="L1201" s="21"/>
      <c r="M1201" s="21"/>
      <c r="N1201" s="21"/>
      <c r="O1201" s="21">
        <v>30</v>
      </c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21"/>
      <c r="AH1201" s="21"/>
      <c r="AI1201" s="21"/>
      <c r="AJ1201" s="21">
        <v>30</v>
      </c>
      <c r="AK1201" s="21"/>
      <c r="AL1201" s="21"/>
      <c r="AM1201" s="21">
        <v>30</v>
      </c>
      <c r="AN1201" s="21"/>
      <c r="AO1201" s="21"/>
      <c r="AP1201" s="21"/>
      <c r="AQ1201" s="21"/>
      <c r="AR1201" s="21"/>
      <c r="AS1201" s="21"/>
      <c r="AT1201" s="12" t="str">
        <f>HYPERLINK("http://www.openstreetmap.org/?mlat=34.014&amp;mlon=45.0198&amp;zoom=12#map=12/34.014/45.0198","Maplink1")</f>
        <v>Maplink1</v>
      </c>
      <c r="AU1201" s="12" t="str">
        <f>HYPERLINK("https://www.google.iq/maps/search/+34.014,45.0198/@34.014,45.0198,14z?hl=en","Maplink2")</f>
        <v>Maplink2</v>
      </c>
      <c r="AV1201" s="12" t="str">
        <f>HYPERLINK("http://www.bing.com/maps/?lvl=14&amp;sty=h&amp;cp=34.014~45.0198&amp;sp=point.34.014_45.0198","Maplink3")</f>
        <v>Maplink3</v>
      </c>
    </row>
    <row r="1202" spans="1:48" ht="15" customHeight="1" x14ac:dyDescent="0.25">
      <c r="A1202" s="19">
        <v>25040</v>
      </c>
      <c r="B1202" s="20" t="s">
        <v>14</v>
      </c>
      <c r="C1202" s="20" t="s">
        <v>2286</v>
      </c>
      <c r="D1202" s="20" t="s">
        <v>2287</v>
      </c>
      <c r="E1202" s="20" t="s">
        <v>2288</v>
      </c>
      <c r="F1202" s="20">
        <v>33.691774330000001</v>
      </c>
      <c r="G1202" s="20">
        <v>44.800757079999997</v>
      </c>
      <c r="H1202" s="22">
        <v>75</v>
      </c>
      <c r="I1202" s="22">
        <v>450</v>
      </c>
      <c r="J1202" s="21"/>
      <c r="K1202" s="21"/>
      <c r="L1202" s="21"/>
      <c r="M1202" s="21"/>
      <c r="N1202" s="21"/>
      <c r="O1202" s="21">
        <v>75</v>
      </c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21"/>
      <c r="AH1202" s="21">
        <v>75</v>
      </c>
      <c r="AI1202" s="21"/>
      <c r="AJ1202" s="21"/>
      <c r="AK1202" s="21"/>
      <c r="AL1202" s="21"/>
      <c r="AM1202" s="21"/>
      <c r="AN1202" s="21"/>
      <c r="AO1202" s="21">
        <v>75</v>
      </c>
      <c r="AP1202" s="21"/>
      <c r="AQ1202" s="21"/>
      <c r="AR1202" s="21"/>
      <c r="AS1202" s="21"/>
      <c r="AT1202" s="12" t="str">
        <f>HYPERLINK("http://www.openstreetmap.org/?mlat=33.6918&amp;mlon=44.8008&amp;zoom=12#map=12/33.6918/44.8008","Maplink1")</f>
        <v>Maplink1</v>
      </c>
      <c r="AU1202" s="12" t="str">
        <f>HYPERLINK("https://www.google.iq/maps/search/+33.6918,44.8008/@33.6918,44.8008,14z?hl=en","Maplink2")</f>
        <v>Maplink2</v>
      </c>
      <c r="AV1202" s="12" t="str">
        <f>HYPERLINK("http://www.bing.com/maps/?lvl=14&amp;sty=h&amp;cp=33.6918~44.8008&amp;sp=point.33.6918_44.8008","Maplink3")</f>
        <v>Maplink3</v>
      </c>
    </row>
    <row r="1203" spans="1:48" ht="15" customHeight="1" x14ac:dyDescent="0.25">
      <c r="A1203" s="19">
        <v>25052</v>
      </c>
      <c r="B1203" s="20" t="s">
        <v>14</v>
      </c>
      <c r="C1203" s="20" t="s">
        <v>2286</v>
      </c>
      <c r="D1203" s="20" t="s">
        <v>2289</v>
      </c>
      <c r="E1203" s="20" t="s">
        <v>610</v>
      </c>
      <c r="F1203" s="20">
        <v>33.665416135699999</v>
      </c>
      <c r="G1203" s="20">
        <v>44.770820249700002</v>
      </c>
      <c r="H1203" s="22">
        <v>12</v>
      </c>
      <c r="I1203" s="22">
        <v>72</v>
      </c>
      <c r="J1203" s="21"/>
      <c r="K1203" s="21"/>
      <c r="L1203" s="21"/>
      <c r="M1203" s="21"/>
      <c r="N1203" s="21"/>
      <c r="O1203" s="21">
        <v>12</v>
      </c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21"/>
      <c r="AH1203" s="21">
        <v>12</v>
      </c>
      <c r="AI1203" s="21"/>
      <c r="AJ1203" s="21"/>
      <c r="AK1203" s="21"/>
      <c r="AL1203" s="21"/>
      <c r="AM1203" s="21"/>
      <c r="AN1203" s="21"/>
      <c r="AO1203" s="21">
        <v>12</v>
      </c>
      <c r="AP1203" s="21"/>
      <c r="AQ1203" s="21"/>
      <c r="AR1203" s="21"/>
      <c r="AS1203" s="21"/>
      <c r="AT1203" s="12" t="str">
        <f>HYPERLINK("http://www.openstreetmap.org/?mlat=33.6654&amp;mlon=44.7708&amp;zoom=12#map=12/33.6654/44.7708","Maplink1")</f>
        <v>Maplink1</v>
      </c>
      <c r="AU1203" s="12" t="str">
        <f>HYPERLINK("https://www.google.iq/maps/search/+33.6654,44.7708/@33.6654,44.7708,14z?hl=en","Maplink2")</f>
        <v>Maplink2</v>
      </c>
      <c r="AV1203" s="12" t="str">
        <f>HYPERLINK("http://www.bing.com/maps/?lvl=14&amp;sty=h&amp;cp=33.6654~44.7708&amp;sp=point.33.6654_44.7708","Maplink3")</f>
        <v>Maplink3</v>
      </c>
    </row>
    <row r="1204" spans="1:48" ht="15" customHeight="1" x14ac:dyDescent="0.25">
      <c r="A1204" s="19">
        <v>11250</v>
      </c>
      <c r="B1204" s="20" t="s">
        <v>14</v>
      </c>
      <c r="C1204" s="20" t="s">
        <v>2286</v>
      </c>
      <c r="D1204" s="20" t="s">
        <v>2290</v>
      </c>
      <c r="E1204" s="20" t="s">
        <v>2291</v>
      </c>
      <c r="F1204" s="20">
        <v>33.701499861899997</v>
      </c>
      <c r="G1204" s="20">
        <v>44.659409447100003</v>
      </c>
      <c r="H1204" s="22">
        <v>50</v>
      </c>
      <c r="I1204" s="22">
        <v>300</v>
      </c>
      <c r="J1204" s="21"/>
      <c r="K1204" s="21"/>
      <c r="L1204" s="21"/>
      <c r="M1204" s="21"/>
      <c r="N1204" s="21"/>
      <c r="O1204" s="21">
        <v>50</v>
      </c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>
        <v>30</v>
      </c>
      <c r="AD1204" s="21"/>
      <c r="AE1204" s="21"/>
      <c r="AF1204" s="21"/>
      <c r="AG1204" s="21"/>
      <c r="AH1204" s="21">
        <v>20</v>
      </c>
      <c r="AI1204" s="21"/>
      <c r="AJ1204" s="21"/>
      <c r="AK1204" s="21"/>
      <c r="AL1204" s="21"/>
      <c r="AM1204" s="21">
        <v>20</v>
      </c>
      <c r="AN1204" s="21"/>
      <c r="AO1204" s="21">
        <v>30</v>
      </c>
      <c r="AP1204" s="21"/>
      <c r="AQ1204" s="21"/>
      <c r="AR1204" s="21"/>
      <c r="AS1204" s="21"/>
      <c r="AT1204" s="12" t="str">
        <f>HYPERLINK("http://www.openstreetmap.org/?mlat=33.7015&amp;mlon=44.6594&amp;zoom=12#map=12/33.7015/44.6594","Maplink1")</f>
        <v>Maplink1</v>
      </c>
      <c r="AU1204" s="12" t="str">
        <f>HYPERLINK("https://www.google.iq/maps/search/+33.7015,44.6594/@33.7015,44.6594,14z?hl=en","Maplink2")</f>
        <v>Maplink2</v>
      </c>
      <c r="AV1204" s="12" t="str">
        <f>HYPERLINK("http://www.bing.com/maps/?lvl=14&amp;sty=h&amp;cp=33.7015~44.6594&amp;sp=point.33.7015_44.6594","Maplink3")</f>
        <v>Maplink3</v>
      </c>
    </row>
    <row r="1205" spans="1:48" ht="15" customHeight="1" x14ac:dyDescent="0.25">
      <c r="A1205" s="19">
        <v>23155</v>
      </c>
      <c r="B1205" s="20" t="s">
        <v>14</v>
      </c>
      <c r="C1205" s="20" t="s">
        <v>2286</v>
      </c>
      <c r="D1205" s="20" t="s">
        <v>2292</v>
      </c>
      <c r="E1205" s="20" t="s">
        <v>2293</v>
      </c>
      <c r="F1205" s="20">
        <v>33.833145100000003</v>
      </c>
      <c r="G1205" s="20">
        <v>44.63916176</v>
      </c>
      <c r="H1205" s="22">
        <v>5</v>
      </c>
      <c r="I1205" s="22">
        <v>30</v>
      </c>
      <c r="J1205" s="21"/>
      <c r="K1205" s="21"/>
      <c r="L1205" s="21"/>
      <c r="M1205" s="21"/>
      <c r="N1205" s="21"/>
      <c r="O1205" s="21">
        <v>5</v>
      </c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21"/>
      <c r="AH1205" s="21">
        <v>5</v>
      </c>
      <c r="AI1205" s="21"/>
      <c r="AJ1205" s="21"/>
      <c r="AK1205" s="21"/>
      <c r="AL1205" s="21"/>
      <c r="AM1205" s="21"/>
      <c r="AN1205" s="21"/>
      <c r="AO1205" s="21">
        <v>5</v>
      </c>
      <c r="AP1205" s="21"/>
      <c r="AQ1205" s="21"/>
      <c r="AR1205" s="21"/>
      <c r="AS1205" s="21"/>
      <c r="AT1205" s="12" t="str">
        <f>HYPERLINK("http://www.openstreetmap.org/?mlat=33.8331&amp;mlon=44.6392&amp;zoom=12#map=12/33.8331/44.6392","Maplink1")</f>
        <v>Maplink1</v>
      </c>
      <c r="AU1205" s="12" t="str">
        <f>HYPERLINK("https://www.google.iq/maps/search/+33.8331,44.6392/@33.8331,44.6392,14z?hl=en","Maplink2")</f>
        <v>Maplink2</v>
      </c>
      <c r="AV1205" s="12" t="str">
        <f>HYPERLINK("http://www.bing.com/maps/?lvl=14&amp;sty=h&amp;cp=33.8331~44.6392&amp;sp=point.33.8331_44.6392","Maplink3")</f>
        <v>Maplink3</v>
      </c>
    </row>
    <row r="1206" spans="1:48" ht="15" customHeight="1" x14ac:dyDescent="0.25">
      <c r="A1206" s="19">
        <v>11177</v>
      </c>
      <c r="B1206" s="20" t="s">
        <v>14</v>
      </c>
      <c r="C1206" s="20" t="s">
        <v>2286</v>
      </c>
      <c r="D1206" s="20" t="s">
        <v>2294</v>
      </c>
      <c r="E1206" s="20" t="s">
        <v>2295</v>
      </c>
      <c r="F1206" s="20">
        <v>33.757581719999997</v>
      </c>
      <c r="G1206" s="20">
        <v>44.582321380000003</v>
      </c>
      <c r="H1206" s="22">
        <v>100</v>
      </c>
      <c r="I1206" s="22">
        <v>600</v>
      </c>
      <c r="J1206" s="21">
        <v>5</v>
      </c>
      <c r="K1206" s="21"/>
      <c r="L1206" s="21">
        <v>3</v>
      </c>
      <c r="M1206" s="21"/>
      <c r="N1206" s="21"/>
      <c r="O1206" s="21">
        <v>74</v>
      </c>
      <c r="P1206" s="21"/>
      <c r="Q1206" s="21"/>
      <c r="R1206" s="21"/>
      <c r="S1206" s="21"/>
      <c r="T1206" s="21"/>
      <c r="U1206" s="21"/>
      <c r="V1206" s="21">
        <v>3</v>
      </c>
      <c r="W1206" s="21"/>
      <c r="X1206" s="21">
        <v>15</v>
      </c>
      <c r="Y1206" s="21"/>
      <c r="Z1206" s="21"/>
      <c r="AA1206" s="21"/>
      <c r="AB1206" s="21"/>
      <c r="AC1206" s="21"/>
      <c r="AD1206" s="21"/>
      <c r="AE1206" s="21"/>
      <c r="AF1206" s="21"/>
      <c r="AG1206" s="21"/>
      <c r="AH1206" s="21">
        <v>100</v>
      </c>
      <c r="AI1206" s="21"/>
      <c r="AJ1206" s="21"/>
      <c r="AK1206" s="21"/>
      <c r="AL1206" s="21"/>
      <c r="AM1206" s="21">
        <v>9</v>
      </c>
      <c r="AN1206" s="21">
        <v>24</v>
      </c>
      <c r="AO1206" s="21">
        <v>64</v>
      </c>
      <c r="AP1206" s="21">
        <v>3</v>
      </c>
      <c r="AQ1206" s="21"/>
      <c r="AR1206" s="21"/>
      <c r="AS1206" s="21"/>
      <c r="AT1206" s="12" t="str">
        <f>HYPERLINK("http://www.openstreetmap.org/?mlat=33.7576&amp;mlon=44.5823&amp;zoom=12#map=12/33.7576/44.5823","Maplink1")</f>
        <v>Maplink1</v>
      </c>
      <c r="AU1206" s="12" t="str">
        <f>HYPERLINK("https://www.google.iq/maps/search/+33.7576,44.5823/@33.7576,44.5823,14z?hl=en","Maplink2")</f>
        <v>Maplink2</v>
      </c>
      <c r="AV1206" s="12" t="str">
        <f>HYPERLINK("http://www.bing.com/maps/?lvl=14&amp;sty=h&amp;cp=33.7576~44.5823&amp;sp=point.33.7576_44.5823","Maplink3")</f>
        <v>Maplink3</v>
      </c>
    </row>
    <row r="1207" spans="1:48" ht="15" customHeight="1" x14ac:dyDescent="0.25">
      <c r="A1207" s="19">
        <v>24915</v>
      </c>
      <c r="B1207" s="20" t="s">
        <v>14</v>
      </c>
      <c r="C1207" s="20" t="s">
        <v>2286</v>
      </c>
      <c r="D1207" s="20" t="s">
        <v>2296</v>
      </c>
      <c r="E1207" s="20" t="s">
        <v>2297</v>
      </c>
      <c r="F1207" s="20">
        <v>33.756568064100001</v>
      </c>
      <c r="G1207" s="20">
        <v>44.601712867899998</v>
      </c>
      <c r="H1207" s="22">
        <v>420</v>
      </c>
      <c r="I1207" s="22">
        <v>2520</v>
      </c>
      <c r="J1207" s="21">
        <v>16</v>
      </c>
      <c r="K1207" s="21"/>
      <c r="L1207" s="21">
        <v>11</v>
      </c>
      <c r="M1207" s="21"/>
      <c r="N1207" s="21"/>
      <c r="O1207" s="21">
        <v>333</v>
      </c>
      <c r="P1207" s="21"/>
      <c r="Q1207" s="21"/>
      <c r="R1207" s="21"/>
      <c r="S1207" s="21"/>
      <c r="T1207" s="21"/>
      <c r="U1207" s="21"/>
      <c r="V1207" s="21">
        <v>10</v>
      </c>
      <c r="W1207" s="21"/>
      <c r="X1207" s="21">
        <v>50</v>
      </c>
      <c r="Y1207" s="21"/>
      <c r="Z1207" s="21"/>
      <c r="AA1207" s="21"/>
      <c r="AB1207" s="21"/>
      <c r="AC1207" s="21"/>
      <c r="AD1207" s="21"/>
      <c r="AE1207" s="21"/>
      <c r="AF1207" s="21"/>
      <c r="AG1207" s="21"/>
      <c r="AH1207" s="21">
        <v>420</v>
      </c>
      <c r="AI1207" s="21"/>
      <c r="AJ1207" s="21"/>
      <c r="AK1207" s="21"/>
      <c r="AL1207" s="21"/>
      <c r="AM1207" s="21">
        <v>50</v>
      </c>
      <c r="AN1207" s="21">
        <v>24</v>
      </c>
      <c r="AO1207" s="21">
        <v>335</v>
      </c>
      <c r="AP1207" s="21">
        <v>11</v>
      </c>
      <c r="AQ1207" s="21"/>
      <c r="AR1207" s="21"/>
      <c r="AS1207" s="21"/>
      <c r="AT1207" s="12" t="str">
        <f>HYPERLINK("http://www.openstreetmap.org/?mlat=33.7566&amp;mlon=44.6017&amp;zoom=12#map=12/33.7566/44.6017","Maplink1")</f>
        <v>Maplink1</v>
      </c>
      <c r="AU1207" s="12" t="str">
        <f>HYPERLINK("https://www.google.iq/maps/search/+33.7566,44.6017/@33.7566,44.6017,14z?hl=en","Maplink2")</f>
        <v>Maplink2</v>
      </c>
      <c r="AV1207" s="12" t="str">
        <f>HYPERLINK("http://www.bing.com/maps/?lvl=14&amp;sty=h&amp;cp=33.7566~44.6017&amp;sp=point.33.7566_44.6017","Maplink3")</f>
        <v>Maplink3</v>
      </c>
    </row>
    <row r="1208" spans="1:48" ht="15" customHeight="1" x14ac:dyDescent="0.25">
      <c r="A1208" s="19">
        <v>24805</v>
      </c>
      <c r="B1208" s="20" t="s">
        <v>14</v>
      </c>
      <c r="C1208" s="20" t="s">
        <v>2286</v>
      </c>
      <c r="D1208" s="20" t="s">
        <v>2298</v>
      </c>
      <c r="E1208" s="20" t="s">
        <v>2299</v>
      </c>
      <c r="F1208" s="20">
        <v>33.723941967599998</v>
      </c>
      <c r="G1208" s="20">
        <v>44.608668279200003</v>
      </c>
      <c r="H1208" s="22">
        <v>700</v>
      </c>
      <c r="I1208" s="22">
        <v>4200</v>
      </c>
      <c r="J1208" s="21">
        <v>7</v>
      </c>
      <c r="K1208" s="21"/>
      <c r="L1208" s="21"/>
      <c r="M1208" s="21"/>
      <c r="N1208" s="21"/>
      <c r="O1208" s="21">
        <v>693</v>
      </c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>
        <v>200</v>
      </c>
      <c r="AD1208" s="21"/>
      <c r="AE1208" s="21"/>
      <c r="AF1208" s="21"/>
      <c r="AG1208" s="21"/>
      <c r="AH1208" s="21">
        <v>500</v>
      </c>
      <c r="AI1208" s="21"/>
      <c r="AJ1208" s="21"/>
      <c r="AK1208" s="21"/>
      <c r="AL1208" s="21"/>
      <c r="AM1208" s="21"/>
      <c r="AN1208" s="21"/>
      <c r="AO1208" s="21">
        <v>693</v>
      </c>
      <c r="AP1208" s="21">
        <v>7</v>
      </c>
      <c r="AQ1208" s="21"/>
      <c r="AR1208" s="21"/>
      <c r="AS1208" s="21"/>
      <c r="AT1208" s="12" t="str">
        <f>HYPERLINK("http://www.openstreetmap.org/?mlat=33.7239&amp;mlon=44.6087&amp;zoom=12#map=12/33.7239/44.6087","Maplink1")</f>
        <v>Maplink1</v>
      </c>
      <c r="AU1208" s="12" t="str">
        <f>HYPERLINK("https://www.google.iq/maps/search/+33.7239,44.6087/@33.7239,44.6087,14z?hl=en","Maplink2")</f>
        <v>Maplink2</v>
      </c>
      <c r="AV1208" s="12" t="str">
        <f>HYPERLINK("http://www.bing.com/maps/?lvl=14&amp;sty=h&amp;cp=33.7239~44.6087&amp;sp=point.33.7239_44.6087","Maplink3")</f>
        <v>Maplink3</v>
      </c>
    </row>
    <row r="1209" spans="1:48" ht="15" customHeight="1" x14ac:dyDescent="0.25">
      <c r="A1209" s="19">
        <v>23740</v>
      </c>
      <c r="B1209" s="20" t="s">
        <v>14</v>
      </c>
      <c r="C1209" s="20" t="s">
        <v>2286</v>
      </c>
      <c r="D1209" s="20" t="s">
        <v>2300</v>
      </c>
      <c r="E1209" s="20" t="s">
        <v>2301</v>
      </c>
      <c r="F1209" s="20">
        <v>33.769708039999998</v>
      </c>
      <c r="G1209" s="20">
        <v>44.624163060000001</v>
      </c>
      <c r="H1209" s="22">
        <v>31</v>
      </c>
      <c r="I1209" s="22">
        <v>186</v>
      </c>
      <c r="J1209" s="21">
        <v>5</v>
      </c>
      <c r="K1209" s="21"/>
      <c r="L1209" s="21"/>
      <c r="M1209" s="21"/>
      <c r="N1209" s="21"/>
      <c r="O1209" s="21">
        <v>26</v>
      </c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>
        <v>25</v>
      </c>
      <c r="AD1209" s="21"/>
      <c r="AE1209" s="21"/>
      <c r="AF1209" s="21"/>
      <c r="AG1209" s="21"/>
      <c r="AH1209" s="21">
        <v>6</v>
      </c>
      <c r="AI1209" s="21"/>
      <c r="AJ1209" s="21"/>
      <c r="AK1209" s="21"/>
      <c r="AL1209" s="21">
        <v>5</v>
      </c>
      <c r="AM1209" s="21"/>
      <c r="AN1209" s="21">
        <v>6</v>
      </c>
      <c r="AO1209" s="21">
        <v>20</v>
      </c>
      <c r="AP1209" s="21"/>
      <c r="AQ1209" s="21"/>
      <c r="AR1209" s="21"/>
      <c r="AS1209" s="21"/>
      <c r="AT1209" s="12" t="str">
        <f>HYPERLINK("http://www.openstreetmap.org/?mlat=33.7697&amp;mlon=44.6242&amp;zoom=12#map=12/33.7697/44.6242","Maplink1")</f>
        <v>Maplink1</v>
      </c>
      <c r="AU1209" s="12" t="str">
        <f>HYPERLINK("https://www.google.iq/maps/search/+33.7697,44.6242/@33.7697,44.6242,14z?hl=en","Maplink2")</f>
        <v>Maplink2</v>
      </c>
      <c r="AV1209" s="12" t="str">
        <f>HYPERLINK("http://www.bing.com/maps/?lvl=14&amp;sty=h&amp;cp=33.7697~44.6242&amp;sp=point.33.7697_44.6242","Maplink3")</f>
        <v>Maplink3</v>
      </c>
    </row>
    <row r="1210" spans="1:48" ht="15" customHeight="1" x14ac:dyDescent="0.25">
      <c r="A1210" s="19">
        <v>33520</v>
      </c>
      <c r="B1210" s="20" t="s">
        <v>14</v>
      </c>
      <c r="C1210" s="20" t="s">
        <v>2286</v>
      </c>
      <c r="D1210" s="20" t="s">
        <v>6040</v>
      </c>
      <c r="E1210" s="20" t="s">
        <v>6041</v>
      </c>
      <c r="F1210" s="20">
        <v>33.687863999999998</v>
      </c>
      <c r="G1210" s="20">
        <v>44.806452999999998</v>
      </c>
      <c r="H1210" s="22">
        <v>90</v>
      </c>
      <c r="I1210" s="22">
        <v>540</v>
      </c>
      <c r="J1210" s="21"/>
      <c r="K1210" s="21"/>
      <c r="L1210" s="21"/>
      <c r="M1210" s="21"/>
      <c r="N1210" s="21"/>
      <c r="O1210" s="21">
        <v>90</v>
      </c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>
        <v>90</v>
      </c>
      <c r="AD1210" s="21"/>
      <c r="AE1210" s="21"/>
      <c r="AF1210" s="21"/>
      <c r="AG1210" s="21"/>
      <c r="AH1210" s="21"/>
      <c r="AI1210" s="21"/>
      <c r="AJ1210" s="21"/>
      <c r="AK1210" s="21"/>
      <c r="AL1210" s="21"/>
      <c r="AM1210" s="21"/>
      <c r="AN1210" s="21"/>
      <c r="AO1210" s="21"/>
      <c r="AP1210" s="21"/>
      <c r="AQ1210" s="21"/>
      <c r="AR1210" s="21"/>
      <c r="AS1210" s="21">
        <v>90</v>
      </c>
      <c r="AT1210" s="12" t="str">
        <f>HYPERLINK("http://www.openstreetmap.org/?mlat=33.6879&amp;mlon=44.8065&amp;zoom=12#map=12/33.6879/44.8065","Maplink1")</f>
        <v>Maplink1</v>
      </c>
      <c r="AU1210" s="12" t="str">
        <f>HYPERLINK("https://www.google.iq/maps/search/+33.6879,44.8065/@33.6879,44.8065,14z?hl=en","Maplink2")</f>
        <v>Maplink2</v>
      </c>
      <c r="AV1210" s="12" t="str">
        <f>HYPERLINK("http://www.bing.com/maps/?lvl=14&amp;sty=h&amp;cp=33.6879~44.8065&amp;sp=point.33.6879_44.8065","Maplink3")</f>
        <v>Maplink3</v>
      </c>
    </row>
    <row r="1211" spans="1:48" ht="15" customHeight="1" x14ac:dyDescent="0.25">
      <c r="A1211" s="19">
        <v>23694</v>
      </c>
      <c r="B1211" s="20" t="s">
        <v>14</v>
      </c>
      <c r="C1211" s="20" t="s">
        <v>2286</v>
      </c>
      <c r="D1211" s="20" t="s">
        <v>2302</v>
      </c>
      <c r="E1211" s="20" t="s">
        <v>2303</v>
      </c>
      <c r="F1211" s="20">
        <v>33.583922690000001</v>
      </c>
      <c r="G1211" s="20">
        <v>44.556546109999999</v>
      </c>
      <c r="H1211" s="22">
        <v>67</v>
      </c>
      <c r="I1211" s="22">
        <v>402</v>
      </c>
      <c r="J1211" s="21">
        <v>18</v>
      </c>
      <c r="K1211" s="21"/>
      <c r="L1211" s="21"/>
      <c r="M1211" s="21"/>
      <c r="N1211" s="21"/>
      <c r="O1211" s="21">
        <v>35</v>
      </c>
      <c r="P1211" s="21"/>
      <c r="Q1211" s="21"/>
      <c r="R1211" s="21"/>
      <c r="S1211" s="21"/>
      <c r="T1211" s="21"/>
      <c r="U1211" s="21"/>
      <c r="V1211" s="21"/>
      <c r="W1211" s="21"/>
      <c r="X1211" s="21">
        <v>14</v>
      </c>
      <c r="Y1211" s="21"/>
      <c r="Z1211" s="21"/>
      <c r="AA1211" s="21"/>
      <c r="AB1211" s="21"/>
      <c r="AC1211" s="21">
        <v>17</v>
      </c>
      <c r="AD1211" s="21"/>
      <c r="AE1211" s="21"/>
      <c r="AF1211" s="21"/>
      <c r="AG1211" s="21"/>
      <c r="AH1211" s="21">
        <v>40</v>
      </c>
      <c r="AI1211" s="21"/>
      <c r="AJ1211" s="21">
        <v>10</v>
      </c>
      <c r="AK1211" s="21"/>
      <c r="AL1211" s="21">
        <v>8</v>
      </c>
      <c r="AM1211" s="21"/>
      <c r="AN1211" s="21">
        <v>37</v>
      </c>
      <c r="AO1211" s="21">
        <v>9</v>
      </c>
      <c r="AP1211" s="21">
        <v>13</v>
      </c>
      <c r="AQ1211" s="21"/>
      <c r="AR1211" s="21"/>
      <c r="AS1211" s="21"/>
      <c r="AT1211" s="12" t="str">
        <f>HYPERLINK("http://www.openstreetmap.org/?mlat=33.5839&amp;mlon=44.5565&amp;zoom=12#map=12/33.5839/44.5565","Maplink1")</f>
        <v>Maplink1</v>
      </c>
      <c r="AU1211" s="12" t="str">
        <f>HYPERLINK("https://www.google.iq/maps/search/+33.5839,44.5565/@33.5839,44.5565,14z?hl=en","Maplink2")</f>
        <v>Maplink2</v>
      </c>
      <c r="AV1211" s="12" t="str">
        <f>HYPERLINK("http://www.bing.com/maps/?lvl=14&amp;sty=h&amp;cp=33.5839~44.5565&amp;sp=point.33.5839_44.5565","Maplink3")</f>
        <v>Maplink3</v>
      </c>
    </row>
    <row r="1212" spans="1:48" ht="15" customHeight="1" x14ac:dyDescent="0.25">
      <c r="A1212" s="19">
        <v>11220</v>
      </c>
      <c r="B1212" s="20" t="s">
        <v>14</v>
      </c>
      <c r="C1212" s="20" t="s">
        <v>2286</v>
      </c>
      <c r="D1212" s="20" t="s">
        <v>2304</v>
      </c>
      <c r="E1212" s="20" t="s">
        <v>2305</v>
      </c>
      <c r="F1212" s="20">
        <v>33.480842969999998</v>
      </c>
      <c r="G1212" s="20">
        <v>44.526921360000003</v>
      </c>
      <c r="H1212" s="22">
        <v>6</v>
      </c>
      <c r="I1212" s="22">
        <v>36</v>
      </c>
      <c r="J1212" s="21"/>
      <c r="K1212" s="21"/>
      <c r="L1212" s="21"/>
      <c r="M1212" s="21"/>
      <c r="N1212" s="21"/>
      <c r="O1212" s="21">
        <v>6</v>
      </c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>
        <v>6</v>
      </c>
      <c r="AD1212" s="21"/>
      <c r="AE1212" s="21"/>
      <c r="AF1212" s="21"/>
      <c r="AG1212" s="21"/>
      <c r="AH1212" s="21"/>
      <c r="AI1212" s="21"/>
      <c r="AJ1212" s="21"/>
      <c r="AK1212" s="21"/>
      <c r="AL1212" s="21"/>
      <c r="AM1212" s="21"/>
      <c r="AN1212" s="21"/>
      <c r="AO1212" s="21">
        <v>6</v>
      </c>
      <c r="AP1212" s="21"/>
      <c r="AQ1212" s="21"/>
      <c r="AR1212" s="21"/>
      <c r="AS1212" s="21"/>
      <c r="AT1212" s="12" t="str">
        <f>HYPERLINK("http://www.openstreetmap.org/?mlat=33.4808&amp;mlon=44.5269&amp;zoom=12#map=12/33.4808/44.5269","Maplink1")</f>
        <v>Maplink1</v>
      </c>
      <c r="AU1212" s="12" t="str">
        <f>HYPERLINK("https://www.google.iq/maps/search/+33.4808,44.5269/@33.4808,44.5269,14z?hl=en","Maplink2")</f>
        <v>Maplink2</v>
      </c>
      <c r="AV1212" s="12" t="str">
        <f>HYPERLINK("http://www.bing.com/maps/?lvl=14&amp;sty=h&amp;cp=33.4808~44.5269&amp;sp=point.33.4808_44.5269","Maplink3")</f>
        <v>Maplink3</v>
      </c>
    </row>
    <row r="1213" spans="1:48" ht="15" customHeight="1" x14ac:dyDescent="0.25">
      <c r="A1213" s="19">
        <v>25047</v>
      </c>
      <c r="B1213" s="20" t="s">
        <v>14</v>
      </c>
      <c r="C1213" s="20" t="s">
        <v>2286</v>
      </c>
      <c r="D1213" s="20" t="s">
        <v>2306</v>
      </c>
      <c r="E1213" s="20" t="s">
        <v>1841</v>
      </c>
      <c r="F1213" s="20">
        <v>33.694630840899997</v>
      </c>
      <c r="G1213" s="20">
        <v>44.800786332599998</v>
      </c>
      <c r="H1213" s="22">
        <v>40</v>
      </c>
      <c r="I1213" s="22">
        <v>240</v>
      </c>
      <c r="J1213" s="21"/>
      <c r="K1213" s="21"/>
      <c r="L1213" s="21"/>
      <c r="M1213" s="21"/>
      <c r="N1213" s="21"/>
      <c r="O1213" s="21">
        <v>40</v>
      </c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21"/>
      <c r="AH1213" s="21">
        <v>40</v>
      </c>
      <c r="AI1213" s="21"/>
      <c r="AJ1213" s="21"/>
      <c r="AK1213" s="21"/>
      <c r="AL1213" s="21"/>
      <c r="AM1213" s="21"/>
      <c r="AN1213" s="21"/>
      <c r="AO1213" s="21">
        <v>40</v>
      </c>
      <c r="AP1213" s="21"/>
      <c r="AQ1213" s="21"/>
      <c r="AR1213" s="21"/>
      <c r="AS1213" s="21"/>
      <c r="AT1213" s="12" t="str">
        <f>HYPERLINK("http://www.openstreetmap.org/?mlat=33.6946&amp;mlon=44.8008&amp;zoom=12#map=12/33.6946/44.8008","Maplink1")</f>
        <v>Maplink1</v>
      </c>
      <c r="AU1213" s="12" t="str">
        <f>HYPERLINK("https://www.google.iq/maps/search/+33.6946,44.8008/@33.6946,44.8008,14z?hl=en","Maplink2")</f>
        <v>Maplink2</v>
      </c>
      <c r="AV1213" s="12" t="str">
        <f>HYPERLINK("http://www.bing.com/maps/?lvl=14&amp;sty=h&amp;cp=33.6946~44.8008&amp;sp=point.33.6946_44.8008","Maplink3")</f>
        <v>Maplink3</v>
      </c>
    </row>
    <row r="1214" spans="1:48" ht="15" customHeight="1" x14ac:dyDescent="0.25">
      <c r="A1214" s="19">
        <v>11189</v>
      </c>
      <c r="B1214" s="20" t="s">
        <v>14</v>
      </c>
      <c r="C1214" s="20" t="s">
        <v>2286</v>
      </c>
      <c r="D1214" s="20" t="s">
        <v>2307</v>
      </c>
      <c r="E1214" s="20" t="s">
        <v>2308</v>
      </c>
      <c r="F1214" s="20">
        <v>33.743236812399999</v>
      </c>
      <c r="G1214" s="20">
        <v>44.610799397400001</v>
      </c>
      <c r="H1214" s="22">
        <v>254</v>
      </c>
      <c r="I1214" s="22">
        <v>1524</v>
      </c>
      <c r="J1214" s="21"/>
      <c r="K1214" s="21"/>
      <c r="L1214" s="21"/>
      <c r="M1214" s="21"/>
      <c r="N1214" s="21"/>
      <c r="O1214" s="21">
        <v>254</v>
      </c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>
        <v>17</v>
      </c>
      <c r="AD1214" s="21"/>
      <c r="AE1214" s="21"/>
      <c r="AF1214" s="21"/>
      <c r="AG1214" s="21"/>
      <c r="AH1214" s="21">
        <v>174</v>
      </c>
      <c r="AI1214" s="21"/>
      <c r="AJ1214" s="21">
        <v>63</v>
      </c>
      <c r="AK1214" s="21"/>
      <c r="AL1214" s="21"/>
      <c r="AM1214" s="21"/>
      <c r="AN1214" s="21"/>
      <c r="AO1214" s="21">
        <v>254</v>
      </c>
      <c r="AP1214" s="21"/>
      <c r="AQ1214" s="21"/>
      <c r="AR1214" s="21"/>
      <c r="AS1214" s="21"/>
      <c r="AT1214" s="12" t="str">
        <f>HYPERLINK("http://www.openstreetmap.org/?mlat=33.7432&amp;mlon=44.6108&amp;zoom=12#map=12/33.7432/44.6108","Maplink1")</f>
        <v>Maplink1</v>
      </c>
      <c r="AU1214" s="12" t="str">
        <f>HYPERLINK("https://www.google.iq/maps/search/+33.7432,44.6108/@33.7432,44.6108,14z?hl=en","Maplink2")</f>
        <v>Maplink2</v>
      </c>
      <c r="AV1214" s="12" t="str">
        <f>HYPERLINK("http://www.bing.com/maps/?lvl=14&amp;sty=h&amp;cp=33.7432~44.6108&amp;sp=point.33.7432_44.6108","Maplink3")</f>
        <v>Maplink3</v>
      </c>
    </row>
    <row r="1215" spans="1:48" ht="15" customHeight="1" x14ac:dyDescent="0.25">
      <c r="A1215" s="19">
        <v>25054</v>
      </c>
      <c r="B1215" s="20" t="s">
        <v>14</v>
      </c>
      <c r="C1215" s="20" t="s">
        <v>2286</v>
      </c>
      <c r="D1215" s="20" t="s">
        <v>2309</v>
      </c>
      <c r="E1215" s="20" t="s">
        <v>201</v>
      </c>
      <c r="F1215" s="20">
        <v>33.694356839999998</v>
      </c>
      <c r="G1215" s="20">
        <v>44.801922959999999</v>
      </c>
      <c r="H1215" s="22">
        <v>18</v>
      </c>
      <c r="I1215" s="22">
        <v>108</v>
      </c>
      <c r="J1215" s="21"/>
      <c r="K1215" s="21"/>
      <c r="L1215" s="21"/>
      <c r="M1215" s="21"/>
      <c r="N1215" s="21"/>
      <c r="O1215" s="21">
        <v>13</v>
      </c>
      <c r="P1215" s="21"/>
      <c r="Q1215" s="21"/>
      <c r="R1215" s="21"/>
      <c r="S1215" s="21"/>
      <c r="T1215" s="21"/>
      <c r="U1215" s="21"/>
      <c r="V1215" s="21">
        <v>5</v>
      </c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21"/>
      <c r="AH1215" s="21">
        <v>18</v>
      </c>
      <c r="AI1215" s="21"/>
      <c r="AJ1215" s="21"/>
      <c r="AK1215" s="21"/>
      <c r="AL1215" s="21"/>
      <c r="AM1215" s="21"/>
      <c r="AN1215" s="21"/>
      <c r="AO1215" s="21">
        <v>18</v>
      </c>
      <c r="AP1215" s="21"/>
      <c r="AQ1215" s="21"/>
      <c r="AR1215" s="21"/>
      <c r="AS1215" s="21"/>
      <c r="AT1215" s="12" t="str">
        <f>HYPERLINK("http://www.openstreetmap.org/?mlat=33.6944&amp;mlon=44.8019&amp;zoom=12#map=12/33.6944/44.8019","Maplink1")</f>
        <v>Maplink1</v>
      </c>
      <c r="AU1215" s="12" t="str">
        <f>HYPERLINK("https://www.google.iq/maps/search/+33.6944,44.8019/@33.6944,44.8019,14z?hl=en","Maplink2")</f>
        <v>Maplink2</v>
      </c>
      <c r="AV1215" s="12" t="str">
        <f>HYPERLINK("http://www.bing.com/maps/?lvl=14&amp;sty=h&amp;cp=33.6944~44.8019&amp;sp=point.33.6944_44.8019","Maplink3")</f>
        <v>Maplink3</v>
      </c>
    </row>
    <row r="1216" spans="1:48" ht="15" customHeight="1" x14ac:dyDescent="0.25">
      <c r="A1216" s="19">
        <v>25049</v>
      </c>
      <c r="B1216" s="20" t="s">
        <v>14</v>
      </c>
      <c r="C1216" s="20" t="s">
        <v>2286</v>
      </c>
      <c r="D1216" s="20" t="s">
        <v>2310</v>
      </c>
      <c r="E1216" s="20" t="s">
        <v>296</v>
      </c>
      <c r="F1216" s="20">
        <v>33.690745090699998</v>
      </c>
      <c r="G1216" s="20">
        <v>44.804580277900001</v>
      </c>
      <c r="H1216" s="22">
        <v>13</v>
      </c>
      <c r="I1216" s="22">
        <v>78</v>
      </c>
      <c r="J1216" s="21"/>
      <c r="K1216" s="21"/>
      <c r="L1216" s="21"/>
      <c r="M1216" s="21"/>
      <c r="N1216" s="21"/>
      <c r="O1216" s="21">
        <v>13</v>
      </c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21"/>
      <c r="AH1216" s="21">
        <v>13</v>
      </c>
      <c r="AI1216" s="21"/>
      <c r="AJ1216" s="21"/>
      <c r="AK1216" s="21"/>
      <c r="AL1216" s="21"/>
      <c r="AM1216" s="21"/>
      <c r="AN1216" s="21"/>
      <c r="AO1216" s="21">
        <v>13</v>
      </c>
      <c r="AP1216" s="21"/>
      <c r="AQ1216" s="21"/>
      <c r="AR1216" s="21"/>
      <c r="AS1216" s="21"/>
      <c r="AT1216" s="12" t="str">
        <f>HYPERLINK("http://www.openstreetmap.org/?mlat=33.6907&amp;mlon=44.8046&amp;zoom=12#map=12/33.6907/44.8046","Maplink1")</f>
        <v>Maplink1</v>
      </c>
      <c r="AU1216" s="12" t="str">
        <f>HYPERLINK("https://www.google.iq/maps/search/+33.6907,44.8046/@33.6907,44.8046,14z?hl=en","Maplink2")</f>
        <v>Maplink2</v>
      </c>
      <c r="AV1216" s="12" t="str">
        <f>HYPERLINK("http://www.bing.com/maps/?lvl=14&amp;sty=h&amp;cp=33.6907~44.8046&amp;sp=point.33.6907_44.8046","Maplink3")</f>
        <v>Maplink3</v>
      </c>
    </row>
    <row r="1217" spans="1:48" ht="15" customHeight="1" x14ac:dyDescent="0.25">
      <c r="A1217" s="19">
        <v>25044</v>
      </c>
      <c r="B1217" s="20" t="s">
        <v>14</v>
      </c>
      <c r="C1217" s="20" t="s">
        <v>2286</v>
      </c>
      <c r="D1217" s="20" t="s">
        <v>2311</v>
      </c>
      <c r="E1217" s="20" t="s">
        <v>1349</v>
      </c>
      <c r="F1217" s="20">
        <v>33.69312043</v>
      </c>
      <c r="G1217" s="20">
        <v>44.801483990000001</v>
      </c>
      <c r="H1217" s="22">
        <v>40</v>
      </c>
      <c r="I1217" s="22">
        <v>240</v>
      </c>
      <c r="J1217" s="21"/>
      <c r="K1217" s="21"/>
      <c r="L1217" s="21"/>
      <c r="M1217" s="21"/>
      <c r="N1217" s="21"/>
      <c r="O1217" s="21">
        <v>29</v>
      </c>
      <c r="P1217" s="21"/>
      <c r="Q1217" s="21"/>
      <c r="R1217" s="21"/>
      <c r="S1217" s="21"/>
      <c r="T1217" s="21"/>
      <c r="U1217" s="21"/>
      <c r="V1217" s="21"/>
      <c r="W1217" s="21"/>
      <c r="X1217" s="21">
        <v>11</v>
      </c>
      <c r="Y1217" s="21"/>
      <c r="Z1217" s="21"/>
      <c r="AA1217" s="21"/>
      <c r="AB1217" s="21"/>
      <c r="AC1217" s="21"/>
      <c r="AD1217" s="21"/>
      <c r="AE1217" s="21"/>
      <c r="AF1217" s="21"/>
      <c r="AG1217" s="21"/>
      <c r="AH1217" s="21">
        <v>40</v>
      </c>
      <c r="AI1217" s="21"/>
      <c r="AJ1217" s="21"/>
      <c r="AK1217" s="21"/>
      <c r="AL1217" s="21"/>
      <c r="AM1217" s="21"/>
      <c r="AN1217" s="21">
        <v>11</v>
      </c>
      <c r="AO1217" s="21">
        <v>29</v>
      </c>
      <c r="AP1217" s="21"/>
      <c r="AQ1217" s="21"/>
      <c r="AR1217" s="21"/>
      <c r="AS1217" s="21"/>
      <c r="AT1217" s="12" t="str">
        <f>HYPERLINK("http://www.openstreetmap.org/?mlat=33.6931&amp;mlon=44.8015&amp;zoom=12#map=12/33.6931/44.8015","Maplink1")</f>
        <v>Maplink1</v>
      </c>
      <c r="AU1217" s="12" t="str">
        <f>HYPERLINK("https://www.google.iq/maps/search/+33.6931,44.8015/@33.6931,44.8015,14z?hl=en","Maplink2")</f>
        <v>Maplink2</v>
      </c>
      <c r="AV1217" s="12" t="str">
        <f>HYPERLINK("http://www.bing.com/maps/?lvl=14&amp;sty=h&amp;cp=33.6931~44.8015&amp;sp=point.33.6931_44.8015","Maplink3")</f>
        <v>Maplink3</v>
      </c>
    </row>
    <row r="1218" spans="1:48" ht="15" customHeight="1" x14ac:dyDescent="0.25">
      <c r="A1218" s="19">
        <v>11268</v>
      </c>
      <c r="B1218" s="20" t="s">
        <v>14</v>
      </c>
      <c r="C1218" s="20" t="s">
        <v>2286</v>
      </c>
      <c r="D1218" s="20" t="s">
        <v>2312</v>
      </c>
      <c r="E1218" s="20" t="s">
        <v>1359</v>
      </c>
      <c r="F1218" s="20">
        <v>33.719744849999998</v>
      </c>
      <c r="G1218" s="20">
        <v>44.652193560000001</v>
      </c>
      <c r="H1218" s="22">
        <v>35</v>
      </c>
      <c r="I1218" s="22">
        <v>210</v>
      </c>
      <c r="J1218" s="21"/>
      <c r="K1218" s="21"/>
      <c r="L1218" s="21"/>
      <c r="M1218" s="21"/>
      <c r="N1218" s="21"/>
      <c r="O1218" s="21">
        <v>35</v>
      </c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>
        <v>35</v>
      </c>
      <c r="AD1218" s="21"/>
      <c r="AE1218" s="21"/>
      <c r="AF1218" s="21"/>
      <c r="AG1218" s="21"/>
      <c r="AH1218" s="21"/>
      <c r="AI1218" s="21"/>
      <c r="AJ1218" s="21"/>
      <c r="AK1218" s="21"/>
      <c r="AL1218" s="21"/>
      <c r="AM1218" s="21"/>
      <c r="AN1218" s="21"/>
      <c r="AO1218" s="21">
        <v>35</v>
      </c>
      <c r="AP1218" s="21"/>
      <c r="AQ1218" s="21"/>
      <c r="AR1218" s="21"/>
      <c r="AS1218" s="21"/>
      <c r="AT1218" s="12" t="str">
        <f>HYPERLINK("http://www.openstreetmap.org/?mlat=33.7197&amp;mlon=44.6522&amp;zoom=12#map=12/33.7197/44.6522","Maplink1")</f>
        <v>Maplink1</v>
      </c>
      <c r="AU1218" s="12" t="str">
        <f>HYPERLINK("https://www.google.iq/maps/search/+33.7197,44.6522/@33.7197,44.6522,14z?hl=en","Maplink2")</f>
        <v>Maplink2</v>
      </c>
      <c r="AV1218" s="12" t="str">
        <f>HYPERLINK("http://www.bing.com/maps/?lvl=14&amp;sty=h&amp;cp=33.7197~44.6522&amp;sp=point.33.7197_44.6522","Maplink3")</f>
        <v>Maplink3</v>
      </c>
    </row>
    <row r="1219" spans="1:48" ht="15" customHeight="1" x14ac:dyDescent="0.25">
      <c r="A1219" s="19">
        <v>11410</v>
      </c>
      <c r="B1219" s="20" t="s">
        <v>14</v>
      </c>
      <c r="C1219" s="20" t="s">
        <v>2286</v>
      </c>
      <c r="D1219" s="20" t="s">
        <v>2313</v>
      </c>
      <c r="E1219" s="20" t="s">
        <v>216</v>
      </c>
      <c r="F1219" s="20">
        <v>33.577673995700003</v>
      </c>
      <c r="G1219" s="20">
        <v>44.5478365297</v>
      </c>
      <c r="H1219" s="22">
        <v>41</v>
      </c>
      <c r="I1219" s="22">
        <v>246</v>
      </c>
      <c r="J1219" s="21"/>
      <c r="K1219" s="21"/>
      <c r="L1219" s="21"/>
      <c r="M1219" s="21"/>
      <c r="N1219" s="21"/>
      <c r="O1219" s="21">
        <v>36</v>
      </c>
      <c r="P1219" s="21"/>
      <c r="Q1219" s="21"/>
      <c r="R1219" s="21"/>
      <c r="S1219" s="21"/>
      <c r="T1219" s="21"/>
      <c r="U1219" s="21"/>
      <c r="V1219" s="21"/>
      <c r="W1219" s="21"/>
      <c r="X1219" s="21">
        <v>5</v>
      </c>
      <c r="Y1219" s="21"/>
      <c r="Z1219" s="21"/>
      <c r="AA1219" s="21"/>
      <c r="AB1219" s="21"/>
      <c r="AC1219" s="21">
        <v>11</v>
      </c>
      <c r="AD1219" s="21"/>
      <c r="AE1219" s="21"/>
      <c r="AF1219" s="21"/>
      <c r="AG1219" s="21"/>
      <c r="AH1219" s="21">
        <v>10</v>
      </c>
      <c r="AI1219" s="21"/>
      <c r="AJ1219" s="21">
        <v>20</v>
      </c>
      <c r="AK1219" s="21"/>
      <c r="AL1219" s="21"/>
      <c r="AM1219" s="21"/>
      <c r="AN1219" s="21"/>
      <c r="AO1219" s="21">
        <v>41</v>
      </c>
      <c r="AP1219" s="21"/>
      <c r="AQ1219" s="21"/>
      <c r="AR1219" s="21"/>
      <c r="AS1219" s="21"/>
      <c r="AT1219" s="12" t="str">
        <f>HYPERLINK("http://www.openstreetmap.org/?mlat=33.5777&amp;mlon=44.5478&amp;zoom=12#map=12/33.5777/44.5478","Maplink1")</f>
        <v>Maplink1</v>
      </c>
      <c r="AU1219" s="12" t="str">
        <f>HYPERLINK("https://www.google.iq/maps/search/+33.5777,44.5478/@33.5777,44.5478,14z?hl=en","Maplink2")</f>
        <v>Maplink2</v>
      </c>
      <c r="AV1219" s="12" t="str">
        <f>HYPERLINK("http://www.bing.com/maps/?lvl=14&amp;sty=h&amp;cp=33.5777~44.5478&amp;sp=point.33.5777_44.5478","Maplink3")</f>
        <v>Maplink3</v>
      </c>
    </row>
    <row r="1220" spans="1:48" ht="15" customHeight="1" x14ac:dyDescent="0.25">
      <c r="A1220" s="19">
        <v>25041</v>
      </c>
      <c r="B1220" s="20" t="s">
        <v>14</v>
      </c>
      <c r="C1220" s="20" t="s">
        <v>2286</v>
      </c>
      <c r="D1220" s="20" t="s">
        <v>2314</v>
      </c>
      <c r="E1220" s="20" t="s">
        <v>1453</v>
      </c>
      <c r="F1220" s="20">
        <v>33.692209005999999</v>
      </c>
      <c r="G1220" s="20">
        <v>44.790783917500001</v>
      </c>
      <c r="H1220" s="22">
        <v>45</v>
      </c>
      <c r="I1220" s="22">
        <v>270</v>
      </c>
      <c r="J1220" s="21"/>
      <c r="K1220" s="21"/>
      <c r="L1220" s="21"/>
      <c r="M1220" s="21"/>
      <c r="N1220" s="21"/>
      <c r="O1220" s="21">
        <v>45</v>
      </c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21"/>
      <c r="AH1220" s="21">
        <v>45</v>
      </c>
      <c r="AI1220" s="21"/>
      <c r="AJ1220" s="21"/>
      <c r="AK1220" s="21"/>
      <c r="AL1220" s="21"/>
      <c r="AM1220" s="21"/>
      <c r="AN1220" s="21"/>
      <c r="AO1220" s="21">
        <v>45</v>
      </c>
      <c r="AP1220" s="21"/>
      <c r="AQ1220" s="21"/>
      <c r="AR1220" s="21"/>
      <c r="AS1220" s="21"/>
      <c r="AT1220" s="12" t="str">
        <f>HYPERLINK("http://www.openstreetmap.org/?mlat=33.6922&amp;mlon=44.7908&amp;zoom=12#map=12/33.6922/44.7908","Maplink1")</f>
        <v>Maplink1</v>
      </c>
      <c r="AU1220" s="12" t="str">
        <f>HYPERLINK("https://www.google.iq/maps/search/+33.6922,44.7908/@33.6922,44.7908,14z?hl=en","Maplink2")</f>
        <v>Maplink2</v>
      </c>
      <c r="AV1220" s="12" t="str">
        <f>HYPERLINK("http://www.bing.com/maps/?lvl=14&amp;sty=h&amp;cp=33.6922~44.7908&amp;sp=point.33.6922_44.7908","Maplink3")</f>
        <v>Maplink3</v>
      </c>
    </row>
    <row r="1221" spans="1:48" ht="15" customHeight="1" x14ac:dyDescent="0.25">
      <c r="A1221" s="19">
        <v>11411</v>
      </c>
      <c r="B1221" s="20" t="s">
        <v>14</v>
      </c>
      <c r="C1221" s="20" t="s">
        <v>2286</v>
      </c>
      <c r="D1221" s="20" t="s">
        <v>2315</v>
      </c>
      <c r="E1221" s="20" t="s">
        <v>2316</v>
      </c>
      <c r="F1221" s="20">
        <v>33.783631999999997</v>
      </c>
      <c r="G1221" s="20">
        <v>44.622950000000003</v>
      </c>
      <c r="H1221" s="22">
        <v>38</v>
      </c>
      <c r="I1221" s="22">
        <v>228</v>
      </c>
      <c r="J1221" s="21"/>
      <c r="K1221" s="21"/>
      <c r="L1221" s="21"/>
      <c r="M1221" s="21"/>
      <c r="N1221" s="21"/>
      <c r="O1221" s="21">
        <v>38</v>
      </c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21"/>
      <c r="AH1221" s="21">
        <v>38</v>
      </c>
      <c r="AI1221" s="21"/>
      <c r="AJ1221" s="21"/>
      <c r="AK1221" s="21"/>
      <c r="AL1221" s="21"/>
      <c r="AM1221" s="21"/>
      <c r="AN1221" s="21"/>
      <c r="AO1221" s="21">
        <v>38</v>
      </c>
      <c r="AP1221" s="21"/>
      <c r="AQ1221" s="21"/>
      <c r="AR1221" s="21"/>
      <c r="AS1221" s="21"/>
      <c r="AT1221" s="12" t="str">
        <f>HYPERLINK("http://www.openstreetmap.org/?mlat=33.7836&amp;mlon=44.623&amp;zoom=12#map=12/33.7836/44.623","Maplink1")</f>
        <v>Maplink1</v>
      </c>
      <c r="AU1221" s="12" t="str">
        <f>HYPERLINK("https://www.google.iq/maps/search/+33.7836,44.623/@33.7836,44.623,14z?hl=en","Maplink2")</f>
        <v>Maplink2</v>
      </c>
      <c r="AV1221" s="12" t="str">
        <f>HYPERLINK("http://www.bing.com/maps/?lvl=14&amp;sty=h&amp;cp=33.7836~44.623&amp;sp=point.33.7836_44.623","Maplink3")</f>
        <v>Maplink3</v>
      </c>
    </row>
    <row r="1222" spans="1:48" ht="15" customHeight="1" x14ac:dyDescent="0.25">
      <c r="A1222" s="19">
        <v>11408</v>
      </c>
      <c r="B1222" s="20" t="s">
        <v>14</v>
      </c>
      <c r="C1222" s="20" t="s">
        <v>2286</v>
      </c>
      <c r="D1222" s="20" t="s">
        <v>2317</v>
      </c>
      <c r="E1222" s="20" t="s">
        <v>2318</v>
      </c>
      <c r="F1222" s="20">
        <v>33.796842991799998</v>
      </c>
      <c r="G1222" s="20">
        <v>44.675447923299998</v>
      </c>
      <c r="H1222" s="22">
        <v>35</v>
      </c>
      <c r="I1222" s="22">
        <v>210</v>
      </c>
      <c r="J1222" s="21"/>
      <c r="K1222" s="21"/>
      <c r="L1222" s="21"/>
      <c r="M1222" s="21"/>
      <c r="N1222" s="21"/>
      <c r="O1222" s="21">
        <v>35</v>
      </c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>
        <v>16</v>
      </c>
      <c r="AD1222" s="21"/>
      <c r="AE1222" s="21"/>
      <c r="AF1222" s="21"/>
      <c r="AG1222" s="21"/>
      <c r="AH1222" s="21">
        <v>19</v>
      </c>
      <c r="AI1222" s="21"/>
      <c r="AJ1222" s="21"/>
      <c r="AK1222" s="21"/>
      <c r="AL1222" s="21"/>
      <c r="AM1222" s="21"/>
      <c r="AN1222" s="21"/>
      <c r="AO1222" s="21">
        <v>35</v>
      </c>
      <c r="AP1222" s="21"/>
      <c r="AQ1222" s="21"/>
      <c r="AR1222" s="21"/>
      <c r="AS1222" s="21"/>
      <c r="AT1222" s="12" t="str">
        <f>HYPERLINK("http://www.openstreetmap.org/?mlat=33.7968&amp;mlon=44.6754&amp;zoom=12#map=12/33.7968/44.6754","Maplink1")</f>
        <v>Maplink1</v>
      </c>
      <c r="AU1222" s="12" t="str">
        <f>HYPERLINK("https://www.google.iq/maps/search/+33.7968,44.6754/@33.7968,44.6754,14z?hl=en","Maplink2")</f>
        <v>Maplink2</v>
      </c>
      <c r="AV1222" s="12" t="str">
        <f>HYPERLINK("http://www.bing.com/maps/?lvl=14&amp;sty=h&amp;cp=33.7968~44.6754&amp;sp=point.33.7968_44.6754","Maplink3")</f>
        <v>Maplink3</v>
      </c>
    </row>
    <row r="1223" spans="1:48" ht="15" customHeight="1" x14ac:dyDescent="0.25">
      <c r="A1223" s="19">
        <v>24917</v>
      </c>
      <c r="B1223" s="20" t="s">
        <v>14</v>
      </c>
      <c r="C1223" s="20" t="s">
        <v>2286</v>
      </c>
      <c r="D1223" s="20" t="s">
        <v>2240</v>
      </c>
      <c r="E1223" s="20" t="s">
        <v>2319</v>
      </c>
      <c r="F1223" s="20">
        <v>33.481543437399999</v>
      </c>
      <c r="G1223" s="20">
        <v>44.526706797400003</v>
      </c>
      <c r="H1223" s="22">
        <v>13</v>
      </c>
      <c r="I1223" s="22">
        <v>78</v>
      </c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>
        <v>13</v>
      </c>
      <c r="Y1223" s="21"/>
      <c r="Z1223" s="21"/>
      <c r="AA1223" s="21"/>
      <c r="AB1223" s="21"/>
      <c r="AC1223" s="21">
        <v>13</v>
      </c>
      <c r="AD1223" s="21"/>
      <c r="AE1223" s="21"/>
      <c r="AF1223" s="21"/>
      <c r="AG1223" s="21"/>
      <c r="AH1223" s="21"/>
      <c r="AI1223" s="21"/>
      <c r="AJ1223" s="21"/>
      <c r="AK1223" s="21"/>
      <c r="AL1223" s="21"/>
      <c r="AM1223" s="21"/>
      <c r="AN1223" s="21"/>
      <c r="AO1223" s="21">
        <v>13</v>
      </c>
      <c r="AP1223" s="21"/>
      <c r="AQ1223" s="21"/>
      <c r="AR1223" s="21"/>
      <c r="AS1223" s="21"/>
      <c r="AT1223" s="12" t="str">
        <f>HYPERLINK("http://www.openstreetmap.org/?mlat=33.4815&amp;mlon=44.5267&amp;zoom=12#map=12/33.4815/44.5267","Maplink1")</f>
        <v>Maplink1</v>
      </c>
      <c r="AU1223" s="12" t="str">
        <f>HYPERLINK("https://www.google.iq/maps/search/+33.4815,44.5267/@33.4815,44.5267,14z?hl=en","Maplink2")</f>
        <v>Maplink2</v>
      </c>
      <c r="AV1223" s="12" t="str">
        <f>HYPERLINK("http://www.bing.com/maps/?lvl=14&amp;sty=h&amp;cp=33.4815~44.5267&amp;sp=point.33.4815_44.5267","Maplink3")</f>
        <v>Maplink3</v>
      </c>
    </row>
    <row r="1224" spans="1:48" ht="15" customHeight="1" x14ac:dyDescent="0.25">
      <c r="A1224" s="19">
        <v>25046</v>
      </c>
      <c r="B1224" s="20" t="s">
        <v>14</v>
      </c>
      <c r="C1224" s="20" t="s">
        <v>2286</v>
      </c>
      <c r="D1224" s="20" t="s">
        <v>2320</v>
      </c>
      <c r="E1224" s="20" t="s">
        <v>571</v>
      </c>
      <c r="F1224" s="20">
        <v>33.6971401144</v>
      </c>
      <c r="G1224" s="20">
        <v>44.789796430499997</v>
      </c>
      <c r="H1224" s="22">
        <v>20</v>
      </c>
      <c r="I1224" s="22">
        <v>120</v>
      </c>
      <c r="J1224" s="21"/>
      <c r="K1224" s="21"/>
      <c r="L1224" s="21"/>
      <c r="M1224" s="21"/>
      <c r="N1224" s="21"/>
      <c r="O1224" s="21">
        <v>20</v>
      </c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21"/>
      <c r="AH1224" s="21">
        <v>20</v>
      </c>
      <c r="AI1224" s="21"/>
      <c r="AJ1224" s="21"/>
      <c r="AK1224" s="21"/>
      <c r="AL1224" s="21"/>
      <c r="AM1224" s="21"/>
      <c r="AN1224" s="21"/>
      <c r="AO1224" s="21">
        <v>20</v>
      </c>
      <c r="AP1224" s="21"/>
      <c r="AQ1224" s="21"/>
      <c r="AR1224" s="21"/>
      <c r="AS1224" s="21"/>
      <c r="AT1224" s="12" t="str">
        <f>HYPERLINK("http://www.openstreetmap.org/?mlat=33.6971&amp;mlon=44.7898&amp;zoom=12#map=12/33.6971/44.7898","Maplink1")</f>
        <v>Maplink1</v>
      </c>
      <c r="AU1224" s="12" t="str">
        <f>HYPERLINK("https://www.google.iq/maps/search/+33.6971,44.7898/@33.6971,44.7898,14z?hl=en","Maplink2")</f>
        <v>Maplink2</v>
      </c>
      <c r="AV1224" s="12" t="str">
        <f>HYPERLINK("http://www.bing.com/maps/?lvl=14&amp;sty=h&amp;cp=33.6971~44.7898&amp;sp=point.33.6971_44.7898","Maplink3")</f>
        <v>Maplink3</v>
      </c>
    </row>
    <row r="1225" spans="1:48" ht="15" customHeight="1" x14ac:dyDescent="0.25">
      <c r="A1225" s="19">
        <v>11251</v>
      </c>
      <c r="B1225" s="20" t="s">
        <v>14</v>
      </c>
      <c r="C1225" s="20" t="s">
        <v>2286</v>
      </c>
      <c r="D1225" s="20" t="s">
        <v>2321</v>
      </c>
      <c r="E1225" s="20" t="s">
        <v>117</v>
      </c>
      <c r="F1225" s="20">
        <v>33.715427669999997</v>
      </c>
      <c r="G1225" s="20">
        <v>44.651807310000002</v>
      </c>
      <c r="H1225" s="22">
        <v>55</v>
      </c>
      <c r="I1225" s="22">
        <v>330</v>
      </c>
      <c r="J1225" s="21"/>
      <c r="K1225" s="21"/>
      <c r="L1225" s="21"/>
      <c r="M1225" s="21"/>
      <c r="N1225" s="21"/>
      <c r="O1225" s="21">
        <v>55</v>
      </c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>
        <v>55</v>
      </c>
      <c r="AD1225" s="21"/>
      <c r="AE1225" s="21"/>
      <c r="AF1225" s="21"/>
      <c r="AG1225" s="21"/>
      <c r="AH1225" s="21"/>
      <c r="AI1225" s="21"/>
      <c r="AJ1225" s="21"/>
      <c r="AK1225" s="21"/>
      <c r="AL1225" s="21"/>
      <c r="AM1225" s="21"/>
      <c r="AN1225" s="21">
        <v>2</v>
      </c>
      <c r="AO1225" s="21">
        <v>53</v>
      </c>
      <c r="AP1225" s="21"/>
      <c r="AQ1225" s="21"/>
      <c r="AR1225" s="21"/>
      <c r="AS1225" s="21"/>
      <c r="AT1225" s="12" t="str">
        <f>HYPERLINK("http://www.openstreetmap.org/?mlat=33.7154&amp;mlon=44.6518&amp;zoom=12#map=12/33.7154/44.6518","Maplink1")</f>
        <v>Maplink1</v>
      </c>
      <c r="AU1225" s="12" t="str">
        <f>HYPERLINK("https://www.google.iq/maps/search/+33.7154,44.6518/@33.7154,44.6518,14z?hl=en","Maplink2")</f>
        <v>Maplink2</v>
      </c>
      <c r="AV1225" s="12" t="str">
        <f>HYPERLINK("http://www.bing.com/maps/?lvl=14&amp;sty=h&amp;cp=33.7154~44.6518&amp;sp=point.33.7154_44.6518","Maplink3")</f>
        <v>Maplink3</v>
      </c>
    </row>
    <row r="1226" spans="1:48" ht="15" customHeight="1" x14ac:dyDescent="0.25">
      <c r="A1226" s="19">
        <v>11420</v>
      </c>
      <c r="B1226" s="20" t="s">
        <v>14</v>
      </c>
      <c r="C1226" s="20" t="s">
        <v>2286</v>
      </c>
      <c r="D1226" s="20" t="s">
        <v>2322</v>
      </c>
      <c r="E1226" s="20" t="s">
        <v>2323</v>
      </c>
      <c r="F1226" s="20">
        <v>33.564857787699999</v>
      </c>
      <c r="G1226" s="20">
        <v>44.558299603899997</v>
      </c>
      <c r="H1226" s="22">
        <v>23</v>
      </c>
      <c r="I1226" s="22">
        <v>138</v>
      </c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>
        <v>23</v>
      </c>
      <c r="Y1226" s="21"/>
      <c r="Z1226" s="21"/>
      <c r="AA1226" s="21"/>
      <c r="AB1226" s="21"/>
      <c r="AC1226" s="21">
        <v>13</v>
      </c>
      <c r="AD1226" s="21"/>
      <c r="AE1226" s="21"/>
      <c r="AF1226" s="21"/>
      <c r="AG1226" s="21"/>
      <c r="AH1226" s="21">
        <v>10</v>
      </c>
      <c r="AI1226" s="21"/>
      <c r="AJ1226" s="21"/>
      <c r="AK1226" s="21"/>
      <c r="AL1226" s="21"/>
      <c r="AM1226" s="21"/>
      <c r="AN1226" s="21"/>
      <c r="AO1226" s="21">
        <v>23</v>
      </c>
      <c r="AP1226" s="21"/>
      <c r="AQ1226" s="21"/>
      <c r="AR1226" s="21"/>
      <c r="AS1226" s="21"/>
      <c r="AT1226" s="12" t="str">
        <f>HYPERLINK("http://www.openstreetmap.org/?mlat=33.5649&amp;mlon=44.5583&amp;zoom=12#map=12/33.5649/44.5583","Maplink1")</f>
        <v>Maplink1</v>
      </c>
      <c r="AU1226" s="12" t="str">
        <f>HYPERLINK("https://www.google.iq/maps/search/+33.5649,44.5583/@33.5649,44.5583,14z?hl=en","Maplink2")</f>
        <v>Maplink2</v>
      </c>
      <c r="AV1226" s="12" t="str">
        <f>HYPERLINK("http://www.bing.com/maps/?lvl=14&amp;sty=h&amp;cp=33.5649~44.5583&amp;sp=point.33.5649_44.5583","Maplink3")</f>
        <v>Maplink3</v>
      </c>
    </row>
    <row r="1227" spans="1:48" ht="15" customHeight="1" x14ac:dyDescent="0.25">
      <c r="A1227" s="19">
        <v>25055</v>
      </c>
      <c r="B1227" s="20" t="s">
        <v>14</v>
      </c>
      <c r="C1227" s="20" t="s">
        <v>2286</v>
      </c>
      <c r="D1227" s="20" t="s">
        <v>2324</v>
      </c>
      <c r="E1227" s="20" t="s">
        <v>2325</v>
      </c>
      <c r="F1227" s="20">
        <v>33.688415890000002</v>
      </c>
      <c r="G1227" s="20">
        <v>44.793511260000002</v>
      </c>
      <c r="H1227" s="22">
        <v>13</v>
      </c>
      <c r="I1227" s="22">
        <v>78</v>
      </c>
      <c r="J1227" s="21"/>
      <c r="K1227" s="21"/>
      <c r="L1227" s="21"/>
      <c r="M1227" s="21"/>
      <c r="N1227" s="21"/>
      <c r="O1227" s="21">
        <v>13</v>
      </c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21"/>
      <c r="AH1227" s="21">
        <v>13</v>
      </c>
      <c r="AI1227" s="21"/>
      <c r="AJ1227" s="21"/>
      <c r="AK1227" s="21"/>
      <c r="AL1227" s="21"/>
      <c r="AM1227" s="21"/>
      <c r="AN1227" s="21"/>
      <c r="AO1227" s="21">
        <v>13</v>
      </c>
      <c r="AP1227" s="21"/>
      <c r="AQ1227" s="21"/>
      <c r="AR1227" s="21"/>
      <c r="AS1227" s="21"/>
      <c r="AT1227" s="12" t="str">
        <f>HYPERLINK("http://www.openstreetmap.org/?mlat=33.6884&amp;mlon=44.7935&amp;zoom=12#map=12/33.6884/44.7935","Maplink1")</f>
        <v>Maplink1</v>
      </c>
      <c r="AU1227" s="12" t="str">
        <f>HYPERLINK("https://www.google.iq/maps/search/+33.6884,44.7935/@33.6884,44.7935,14z?hl=en","Maplink2")</f>
        <v>Maplink2</v>
      </c>
      <c r="AV1227" s="12" t="str">
        <f>HYPERLINK("http://www.bing.com/maps/?lvl=14&amp;sty=h&amp;cp=33.6884~44.7935&amp;sp=point.33.6884_44.7935","Maplink3")</f>
        <v>Maplink3</v>
      </c>
    </row>
    <row r="1228" spans="1:48" ht="15" customHeight="1" x14ac:dyDescent="0.25">
      <c r="A1228" s="19">
        <v>11178</v>
      </c>
      <c r="B1228" s="20" t="s">
        <v>14</v>
      </c>
      <c r="C1228" s="20" t="s">
        <v>2286</v>
      </c>
      <c r="D1228" s="20" t="s">
        <v>2326</v>
      </c>
      <c r="E1228" s="20" t="s">
        <v>2327</v>
      </c>
      <c r="F1228" s="20">
        <v>33.735316985200001</v>
      </c>
      <c r="G1228" s="20">
        <v>44.660302160400001</v>
      </c>
      <c r="H1228" s="22">
        <v>450</v>
      </c>
      <c r="I1228" s="22">
        <v>2700</v>
      </c>
      <c r="J1228" s="21"/>
      <c r="K1228" s="21"/>
      <c r="L1228" s="21"/>
      <c r="M1228" s="21"/>
      <c r="N1228" s="21"/>
      <c r="O1228" s="21">
        <v>450</v>
      </c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21"/>
      <c r="AH1228" s="21">
        <v>450</v>
      </c>
      <c r="AI1228" s="21"/>
      <c r="AJ1228" s="21"/>
      <c r="AK1228" s="21"/>
      <c r="AL1228" s="21"/>
      <c r="AM1228" s="21">
        <v>73</v>
      </c>
      <c r="AN1228" s="21">
        <v>187</v>
      </c>
      <c r="AO1228" s="21">
        <v>190</v>
      </c>
      <c r="AP1228" s="21"/>
      <c r="AQ1228" s="21"/>
      <c r="AR1228" s="21"/>
      <c r="AS1228" s="21"/>
      <c r="AT1228" s="12" t="str">
        <f>HYPERLINK("http://www.openstreetmap.org/?mlat=33.7353&amp;mlon=44.6603&amp;zoom=12#map=12/33.7353/44.6603","Maplink1")</f>
        <v>Maplink1</v>
      </c>
      <c r="AU1228" s="12" t="str">
        <f>HYPERLINK("https://www.google.iq/maps/search/+33.7353,44.6603/@33.7353,44.6603,14z?hl=en","Maplink2")</f>
        <v>Maplink2</v>
      </c>
      <c r="AV1228" s="12" t="str">
        <f>HYPERLINK("http://www.bing.com/maps/?lvl=14&amp;sty=h&amp;cp=33.7353~44.6603&amp;sp=point.33.7353_44.6603","Maplink3")</f>
        <v>Maplink3</v>
      </c>
    </row>
    <row r="1229" spans="1:48" ht="15" customHeight="1" x14ac:dyDescent="0.25">
      <c r="A1229" s="19">
        <v>11213</v>
      </c>
      <c r="B1229" s="20" t="s">
        <v>14</v>
      </c>
      <c r="C1229" s="20" t="s">
        <v>2286</v>
      </c>
      <c r="D1229" s="20" t="s">
        <v>2328</v>
      </c>
      <c r="E1229" s="20" t="s">
        <v>2329</v>
      </c>
      <c r="F1229" s="20">
        <v>33.749622029999998</v>
      </c>
      <c r="G1229" s="20">
        <v>44.648110930000001</v>
      </c>
      <c r="H1229" s="22">
        <v>60</v>
      </c>
      <c r="I1229" s="22">
        <v>360</v>
      </c>
      <c r="J1229" s="21">
        <v>2</v>
      </c>
      <c r="K1229" s="21"/>
      <c r="L1229" s="21"/>
      <c r="M1229" s="21"/>
      <c r="N1229" s="21"/>
      <c r="O1229" s="21">
        <v>53</v>
      </c>
      <c r="P1229" s="21"/>
      <c r="Q1229" s="21"/>
      <c r="R1229" s="21"/>
      <c r="S1229" s="21"/>
      <c r="T1229" s="21"/>
      <c r="U1229" s="21"/>
      <c r="V1229" s="21"/>
      <c r="W1229" s="21"/>
      <c r="X1229" s="21">
        <v>5</v>
      </c>
      <c r="Y1229" s="21"/>
      <c r="Z1229" s="21"/>
      <c r="AA1229" s="21"/>
      <c r="AB1229" s="21"/>
      <c r="AC1229" s="21">
        <v>23</v>
      </c>
      <c r="AD1229" s="21"/>
      <c r="AE1229" s="21"/>
      <c r="AF1229" s="21"/>
      <c r="AG1229" s="21"/>
      <c r="AH1229" s="21">
        <v>37</v>
      </c>
      <c r="AI1229" s="21"/>
      <c r="AJ1229" s="21"/>
      <c r="AK1229" s="21"/>
      <c r="AL1229" s="21"/>
      <c r="AM1229" s="21"/>
      <c r="AN1229" s="21"/>
      <c r="AO1229" s="21">
        <v>58</v>
      </c>
      <c r="AP1229" s="21">
        <v>2</v>
      </c>
      <c r="AQ1229" s="21"/>
      <c r="AR1229" s="21"/>
      <c r="AS1229" s="21"/>
      <c r="AT1229" s="12" t="str">
        <f>HYPERLINK("http://www.openstreetmap.org/?mlat=33.7496&amp;mlon=44.6481&amp;zoom=12#map=12/33.7496/44.6481","Maplink1")</f>
        <v>Maplink1</v>
      </c>
      <c r="AU1229" s="12" t="str">
        <f>HYPERLINK("https://www.google.iq/maps/search/+33.7496,44.6481/@33.7496,44.6481,14z?hl=en","Maplink2")</f>
        <v>Maplink2</v>
      </c>
      <c r="AV1229" s="12" t="str">
        <f>HYPERLINK("http://www.bing.com/maps/?lvl=14&amp;sty=h&amp;cp=33.7496~44.6481&amp;sp=point.33.7496_44.6481","Maplink3")</f>
        <v>Maplink3</v>
      </c>
    </row>
    <row r="1230" spans="1:48" ht="15" customHeight="1" x14ac:dyDescent="0.25">
      <c r="A1230" s="19">
        <v>25465</v>
      </c>
      <c r="B1230" s="20" t="s">
        <v>14</v>
      </c>
      <c r="C1230" s="20" t="s">
        <v>2286</v>
      </c>
      <c r="D1230" s="20" t="s">
        <v>2330</v>
      </c>
      <c r="E1230" s="20" t="s">
        <v>2331</v>
      </c>
      <c r="F1230" s="20">
        <v>33.75495076</v>
      </c>
      <c r="G1230" s="20">
        <v>44.638911890000003</v>
      </c>
      <c r="H1230" s="22">
        <v>20</v>
      </c>
      <c r="I1230" s="22">
        <v>120</v>
      </c>
      <c r="J1230" s="21"/>
      <c r="K1230" s="21"/>
      <c r="L1230" s="21"/>
      <c r="M1230" s="21"/>
      <c r="N1230" s="21"/>
      <c r="O1230" s="21">
        <v>20</v>
      </c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21"/>
      <c r="AH1230" s="21">
        <v>20</v>
      </c>
      <c r="AI1230" s="21"/>
      <c r="AJ1230" s="21"/>
      <c r="AK1230" s="21"/>
      <c r="AL1230" s="21"/>
      <c r="AM1230" s="21">
        <v>20</v>
      </c>
      <c r="AN1230" s="21"/>
      <c r="AO1230" s="21"/>
      <c r="AP1230" s="21"/>
      <c r="AQ1230" s="21"/>
      <c r="AR1230" s="21"/>
      <c r="AS1230" s="21"/>
      <c r="AT1230" s="12" t="str">
        <f>HYPERLINK("http://www.openstreetmap.org/?mlat=33.755&amp;mlon=44.6389&amp;zoom=12#map=12/33.755/44.6389","Maplink1")</f>
        <v>Maplink1</v>
      </c>
      <c r="AU1230" s="12" t="str">
        <f>HYPERLINK("https://www.google.iq/maps/search/+33.755,44.6389/@33.755,44.6389,14z?hl=en","Maplink2")</f>
        <v>Maplink2</v>
      </c>
      <c r="AV1230" s="12" t="str">
        <f>HYPERLINK("http://www.bing.com/maps/?lvl=14&amp;sty=h&amp;cp=33.755~44.6389&amp;sp=point.33.755_44.6389","Maplink3")</f>
        <v>Maplink3</v>
      </c>
    </row>
    <row r="1231" spans="1:48" ht="15" customHeight="1" x14ac:dyDescent="0.25">
      <c r="A1231" s="19">
        <v>21413</v>
      </c>
      <c r="B1231" s="20" t="s">
        <v>14</v>
      </c>
      <c r="C1231" s="20" t="s">
        <v>2286</v>
      </c>
      <c r="D1231" s="20" t="s">
        <v>2332</v>
      </c>
      <c r="E1231" s="20" t="s">
        <v>2333</v>
      </c>
      <c r="F1231" s="20">
        <v>33.728316309999997</v>
      </c>
      <c r="G1231" s="20">
        <v>44.60986415</v>
      </c>
      <c r="H1231" s="22">
        <v>120</v>
      </c>
      <c r="I1231" s="22">
        <v>720</v>
      </c>
      <c r="J1231" s="21">
        <v>6</v>
      </c>
      <c r="K1231" s="21"/>
      <c r="L1231" s="21"/>
      <c r="M1231" s="21"/>
      <c r="N1231" s="21"/>
      <c r="O1231" s="21">
        <v>80</v>
      </c>
      <c r="P1231" s="21"/>
      <c r="Q1231" s="21"/>
      <c r="R1231" s="21"/>
      <c r="S1231" s="21"/>
      <c r="T1231" s="21"/>
      <c r="U1231" s="21"/>
      <c r="V1231" s="21">
        <v>10</v>
      </c>
      <c r="W1231" s="21"/>
      <c r="X1231" s="21">
        <v>24</v>
      </c>
      <c r="Y1231" s="21"/>
      <c r="Z1231" s="21"/>
      <c r="AA1231" s="21"/>
      <c r="AB1231" s="21"/>
      <c r="AC1231" s="21">
        <v>10</v>
      </c>
      <c r="AD1231" s="21"/>
      <c r="AE1231" s="21"/>
      <c r="AF1231" s="21"/>
      <c r="AG1231" s="21"/>
      <c r="AH1231" s="21">
        <v>75</v>
      </c>
      <c r="AI1231" s="21"/>
      <c r="AJ1231" s="21">
        <v>35</v>
      </c>
      <c r="AK1231" s="21"/>
      <c r="AL1231" s="21">
        <v>6</v>
      </c>
      <c r="AM1231" s="21"/>
      <c r="AN1231" s="21"/>
      <c r="AO1231" s="21">
        <v>114</v>
      </c>
      <c r="AP1231" s="21"/>
      <c r="AQ1231" s="21"/>
      <c r="AR1231" s="21"/>
      <c r="AS1231" s="21"/>
      <c r="AT1231" s="12" t="str">
        <f>HYPERLINK("http://www.openstreetmap.org/?mlat=33.7283&amp;mlon=44.6099&amp;zoom=12#map=12/33.7283/44.6099","Maplink1")</f>
        <v>Maplink1</v>
      </c>
      <c r="AU1231" s="12" t="str">
        <f>HYPERLINK("https://www.google.iq/maps/search/+33.7283,44.6099/@33.7283,44.6099,14z?hl=en","Maplink2")</f>
        <v>Maplink2</v>
      </c>
      <c r="AV1231" s="12" t="str">
        <f>HYPERLINK("http://www.bing.com/maps/?lvl=14&amp;sty=h&amp;cp=33.7283~44.6099&amp;sp=point.33.7283_44.6099","Maplink3")</f>
        <v>Maplink3</v>
      </c>
    </row>
    <row r="1232" spans="1:48" ht="15" customHeight="1" x14ac:dyDescent="0.25">
      <c r="A1232" s="19">
        <v>11328</v>
      </c>
      <c r="B1232" s="20" t="s">
        <v>14</v>
      </c>
      <c r="C1232" s="20" t="s">
        <v>2286</v>
      </c>
      <c r="D1232" s="20" t="s">
        <v>2334</v>
      </c>
      <c r="E1232" s="20" t="s">
        <v>2335</v>
      </c>
      <c r="F1232" s="20">
        <v>33.732263349999997</v>
      </c>
      <c r="G1232" s="20">
        <v>44.611699700000003</v>
      </c>
      <c r="H1232" s="22">
        <v>105</v>
      </c>
      <c r="I1232" s="22">
        <v>630</v>
      </c>
      <c r="J1232" s="21"/>
      <c r="K1232" s="21"/>
      <c r="L1232" s="21"/>
      <c r="M1232" s="21"/>
      <c r="N1232" s="21"/>
      <c r="O1232" s="21">
        <v>105</v>
      </c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21"/>
      <c r="AH1232" s="21">
        <v>105</v>
      </c>
      <c r="AI1232" s="21"/>
      <c r="AJ1232" s="21"/>
      <c r="AK1232" s="21"/>
      <c r="AL1232" s="21"/>
      <c r="AM1232" s="21">
        <v>70</v>
      </c>
      <c r="AN1232" s="21"/>
      <c r="AO1232" s="21">
        <v>35</v>
      </c>
      <c r="AP1232" s="21"/>
      <c r="AQ1232" s="21"/>
      <c r="AR1232" s="21"/>
      <c r="AS1232" s="21"/>
      <c r="AT1232" s="12" t="str">
        <f>HYPERLINK("http://www.openstreetmap.org/?mlat=33.7323&amp;mlon=44.6117&amp;zoom=12#map=12/33.7323/44.6117","Maplink1")</f>
        <v>Maplink1</v>
      </c>
      <c r="AU1232" s="12" t="str">
        <f>HYPERLINK("https://www.google.iq/maps/search/+33.7323,44.6117/@33.7323,44.6117,14z?hl=en","Maplink2")</f>
        <v>Maplink2</v>
      </c>
      <c r="AV1232" s="12" t="str">
        <f>HYPERLINK("http://www.bing.com/maps/?lvl=14&amp;sty=h&amp;cp=33.7323~44.6117&amp;sp=point.33.7323_44.6117","Maplink3")</f>
        <v>Maplink3</v>
      </c>
    </row>
    <row r="1233" spans="1:48" ht="15" customHeight="1" x14ac:dyDescent="0.25">
      <c r="A1233" s="19">
        <v>24964</v>
      </c>
      <c r="B1233" s="20" t="s">
        <v>14</v>
      </c>
      <c r="C1233" s="20" t="s">
        <v>2286</v>
      </c>
      <c r="D1233" s="20" t="s">
        <v>2336</v>
      </c>
      <c r="E1233" s="20" t="s">
        <v>305</v>
      </c>
      <c r="F1233" s="20">
        <v>33.741928389999998</v>
      </c>
      <c r="G1233" s="20">
        <v>44.624537760000003</v>
      </c>
      <c r="H1233" s="22">
        <v>80</v>
      </c>
      <c r="I1233" s="22">
        <v>480</v>
      </c>
      <c r="J1233" s="21"/>
      <c r="K1233" s="21"/>
      <c r="L1233" s="21"/>
      <c r="M1233" s="21"/>
      <c r="N1233" s="21"/>
      <c r="O1233" s="21">
        <v>80</v>
      </c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>
        <v>80</v>
      </c>
      <c r="AD1233" s="21"/>
      <c r="AE1233" s="21"/>
      <c r="AF1233" s="21"/>
      <c r="AG1233" s="21"/>
      <c r="AH1233" s="21"/>
      <c r="AI1233" s="21"/>
      <c r="AJ1233" s="21"/>
      <c r="AK1233" s="21"/>
      <c r="AL1233" s="21"/>
      <c r="AM1233" s="21"/>
      <c r="AN1233" s="21"/>
      <c r="AO1233" s="21">
        <v>80</v>
      </c>
      <c r="AP1233" s="21"/>
      <c r="AQ1233" s="21"/>
      <c r="AR1233" s="21"/>
      <c r="AS1233" s="21"/>
      <c r="AT1233" s="12" t="str">
        <f>HYPERLINK("http://www.openstreetmap.org/?mlat=33.7419&amp;mlon=44.6245&amp;zoom=12#map=12/33.7419/44.6245","Maplink1")</f>
        <v>Maplink1</v>
      </c>
      <c r="AU1233" s="12" t="str">
        <f>HYPERLINK("https://www.google.iq/maps/search/+33.7419,44.6245/@33.7419,44.6245,14z?hl=en","Maplink2")</f>
        <v>Maplink2</v>
      </c>
      <c r="AV1233" s="12" t="str">
        <f>HYPERLINK("http://www.bing.com/maps/?lvl=14&amp;sty=h&amp;cp=33.7419~44.6245&amp;sp=point.33.7419_44.6245","Maplink3")</f>
        <v>Maplink3</v>
      </c>
    </row>
    <row r="1234" spans="1:48" ht="15" customHeight="1" x14ac:dyDescent="0.25">
      <c r="A1234" s="19">
        <v>21273</v>
      </c>
      <c r="B1234" s="20" t="s">
        <v>14</v>
      </c>
      <c r="C1234" s="20" t="s">
        <v>2286</v>
      </c>
      <c r="D1234" s="20" t="s">
        <v>2337</v>
      </c>
      <c r="E1234" s="20" t="s">
        <v>2338</v>
      </c>
      <c r="F1234" s="20">
        <v>33.738607081799998</v>
      </c>
      <c r="G1234" s="20">
        <v>44.596976542599997</v>
      </c>
      <c r="H1234" s="22">
        <v>72</v>
      </c>
      <c r="I1234" s="22">
        <v>432</v>
      </c>
      <c r="J1234" s="21"/>
      <c r="K1234" s="21"/>
      <c r="L1234" s="21"/>
      <c r="M1234" s="21"/>
      <c r="N1234" s="21"/>
      <c r="O1234" s="21">
        <v>72</v>
      </c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>
        <v>6</v>
      </c>
      <c r="AD1234" s="21"/>
      <c r="AE1234" s="21"/>
      <c r="AF1234" s="21"/>
      <c r="AG1234" s="21"/>
      <c r="AH1234" s="21">
        <v>66</v>
      </c>
      <c r="AI1234" s="21"/>
      <c r="AJ1234" s="21"/>
      <c r="AK1234" s="21"/>
      <c r="AL1234" s="21"/>
      <c r="AM1234" s="21"/>
      <c r="AN1234" s="21"/>
      <c r="AO1234" s="21">
        <v>27</v>
      </c>
      <c r="AP1234" s="21"/>
      <c r="AQ1234" s="21"/>
      <c r="AR1234" s="21">
        <v>45</v>
      </c>
      <c r="AS1234" s="21"/>
      <c r="AT1234" s="12" t="str">
        <f>HYPERLINK("http://www.openstreetmap.org/?mlat=33.7386&amp;mlon=44.597&amp;zoom=12#map=12/33.7386/44.597","Maplink1")</f>
        <v>Maplink1</v>
      </c>
      <c r="AU1234" s="12" t="str">
        <f>HYPERLINK("https://www.google.iq/maps/search/+33.7386,44.597/@33.7386,44.597,14z?hl=en","Maplink2")</f>
        <v>Maplink2</v>
      </c>
      <c r="AV1234" s="12" t="str">
        <f>HYPERLINK("http://www.bing.com/maps/?lvl=14&amp;sty=h&amp;cp=33.7386~44.597&amp;sp=point.33.7386_44.597","Maplink3")</f>
        <v>Maplink3</v>
      </c>
    </row>
    <row r="1235" spans="1:48" ht="15" customHeight="1" x14ac:dyDescent="0.25">
      <c r="A1235" s="19">
        <v>21271</v>
      </c>
      <c r="B1235" s="20" t="s">
        <v>14</v>
      </c>
      <c r="C1235" s="20" t="s">
        <v>2286</v>
      </c>
      <c r="D1235" s="20" t="s">
        <v>2339</v>
      </c>
      <c r="E1235" s="20" t="s">
        <v>121</v>
      </c>
      <c r="F1235" s="20">
        <v>33.729456669999998</v>
      </c>
      <c r="G1235" s="20">
        <v>44.652819139999998</v>
      </c>
      <c r="H1235" s="22">
        <v>15</v>
      </c>
      <c r="I1235" s="22">
        <v>90</v>
      </c>
      <c r="J1235" s="21"/>
      <c r="K1235" s="21"/>
      <c r="L1235" s="21"/>
      <c r="M1235" s="21"/>
      <c r="N1235" s="21"/>
      <c r="O1235" s="21">
        <v>15</v>
      </c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>
        <v>15</v>
      </c>
      <c r="AD1235" s="21"/>
      <c r="AE1235" s="21"/>
      <c r="AF1235" s="21"/>
      <c r="AG1235" s="21"/>
      <c r="AH1235" s="21"/>
      <c r="AI1235" s="21"/>
      <c r="AJ1235" s="21"/>
      <c r="AK1235" s="21"/>
      <c r="AL1235" s="21"/>
      <c r="AM1235" s="21"/>
      <c r="AN1235" s="21">
        <v>15</v>
      </c>
      <c r="AO1235" s="21"/>
      <c r="AP1235" s="21"/>
      <c r="AQ1235" s="21"/>
      <c r="AR1235" s="21"/>
      <c r="AS1235" s="21"/>
      <c r="AT1235" s="12" t="str">
        <f>HYPERLINK("http://www.openstreetmap.org/?mlat=33.7295&amp;mlon=44.6528&amp;zoom=12#map=12/33.7295/44.6528","Maplink1")</f>
        <v>Maplink1</v>
      </c>
      <c r="AU1235" s="12" t="str">
        <f>HYPERLINK("https://www.google.iq/maps/search/+33.7295,44.6528/@33.7295,44.6528,14z?hl=en","Maplink2")</f>
        <v>Maplink2</v>
      </c>
      <c r="AV1235" s="12" t="str">
        <f>HYPERLINK("http://www.bing.com/maps/?lvl=14&amp;sty=h&amp;cp=33.7295~44.6528&amp;sp=point.33.7295_44.6528","Maplink3")</f>
        <v>Maplink3</v>
      </c>
    </row>
    <row r="1236" spans="1:48" ht="15" customHeight="1" x14ac:dyDescent="0.25">
      <c r="A1236" s="19">
        <v>25464</v>
      </c>
      <c r="B1236" s="20" t="s">
        <v>14</v>
      </c>
      <c r="C1236" s="20" t="s">
        <v>2286</v>
      </c>
      <c r="D1236" s="20" t="s">
        <v>2340</v>
      </c>
      <c r="E1236" s="20" t="s">
        <v>2341</v>
      </c>
      <c r="F1236" s="20">
        <v>33.757952039999999</v>
      </c>
      <c r="G1236" s="20">
        <v>44.641098980000002</v>
      </c>
      <c r="H1236" s="22">
        <v>10</v>
      </c>
      <c r="I1236" s="22">
        <v>60</v>
      </c>
      <c r="J1236" s="21"/>
      <c r="K1236" s="21"/>
      <c r="L1236" s="21"/>
      <c r="M1236" s="21"/>
      <c r="N1236" s="21"/>
      <c r="O1236" s="21">
        <v>10</v>
      </c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21"/>
      <c r="AH1236" s="21">
        <v>10</v>
      </c>
      <c r="AI1236" s="21"/>
      <c r="AJ1236" s="21"/>
      <c r="AK1236" s="21"/>
      <c r="AL1236" s="21"/>
      <c r="AM1236" s="21">
        <v>10</v>
      </c>
      <c r="AN1236" s="21"/>
      <c r="AO1236" s="21"/>
      <c r="AP1236" s="21"/>
      <c r="AQ1236" s="21"/>
      <c r="AR1236" s="21"/>
      <c r="AS1236" s="21"/>
      <c r="AT1236" s="12" t="str">
        <f>HYPERLINK("http://www.openstreetmap.org/?mlat=33.758&amp;mlon=44.6411&amp;zoom=12#map=12/33.758/44.6411","Maplink1")</f>
        <v>Maplink1</v>
      </c>
      <c r="AU1236" s="12" t="str">
        <f>HYPERLINK("https://www.google.iq/maps/search/+33.758,44.6411/@33.758,44.6411,14z?hl=en","Maplink2")</f>
        <v>Maplink2</v>
      </c>
      <c r="AV1236" s="12" t="str">
        <f>HYPERLINK("http://www.bing.com/maps/?lvl=14&amp;sty=h&amp;cp=33.758~44.6411&amp;sp=point.33.758_44.6411","Maplink3")</f>
        <v>Maplink3</v>
      </c>
    </row>
    <row r="1237" spans="1:48" ht="15" customHeight="1" x14ac:dyDescent="0.25">
      <c r="A1237" s="19">
        <v>11432</v>
      </c>
      <c r="B1237" s="20" t="s">
        <v>14</v>
      </c>
      <c r="C1237" s="20" t="s">
        <v>2286</v>
      </c>
      <c r="D1237" s="20" t="s">
        <v>2342</v>
      </c>
      <c r="E1237" s="20" t="s">
        <v>2343</v>
      </c>
      <c r="F1237" s="20">
        <v>33.761298265199997</v>
      </c>
      <c r="G1237" s="20">
        <v>44.653110007000002</v>
      </c>
      <c r="H1237" s="22">
        <v>79</v>
      </c>
      <c r="I1237" s="22">
        <v>474</v>
      </c>
      <c r="J1237" s="21"/>
      <c r="K1237" s="21"/>
      <c r="L1237" s="21"/>
      <c r="M1237" s="21"/>
      <c r="N1237" s="21"/>
      <c r="O1237" s="21">
        <v>66</v>
      </c>
      <c r="P1237" s="21"/>
      <c r="Q1237" s="21"/>
      <c r="R1237" s="21"/>
      <c r="S1237" s="21"/>
      <c r="T1237" s="21"/>
      <c r="U1237" s="21"/>
      <c r="V1237" s="21"/>
      <c r="W1237" s="21"/>
      <c r="X1237" s="21">
        <v>13</v>
      </c>
      <c r="Y1237" s="21"/>
      <c r="Z1237" s="21"/>
      <c r="AA1237" s="21"/>
      <c r="AB1237" s="21"/>
      <c r="AC1237" s="21">
        <v>7</v>
      </c>
      <c r="AD1237" s="21"/>
      <c r="AE1237" s="21"/>
      <c r="AF1237" s="21"/>
      <c r="AG1237" s="21"/>
      <c r="AH1237" s="21">
        <v>62</v>
      </c>
      <c r="AI1237" s="21"/>
      <c r="AJ1237" s="21">
        <v>10</v>
      </c>
      <c r="AK1237" s="21"/>
      <c r="AL1237" s="21"/>
      <c r="AM1237" s="21"/>
      <c r="AN1237" s="21">
        <v>79</v>
      </c>
      <c r="AO1237" s="21"/>
      <c r="AP1237" s="21"/>
      <c r="AQ1237" s="21"/>
      <c r="AR1237" s="21"/>
      <c r="AS1237" s="21"/>
      <c r="AT1237" s="12" t="str">
        <f>HYPERLINK("http://www.openstreetmap.org/?mlat=33.7613&amp;mlon=44.6531&amp;zoom=12#map=12/33.7613/44.6531","Maplink1")</f>
        <v>Maplink1</v>
      </c>
      <c r="AU1237" s="12" t="str">
        <f>HYPERLINK("https://www.google.iq/maps/search/+33.7613,44.6531/@33.7613,44.6531,14z?hl=en","Maplink2")</f>
        <v>Maplink2</v>
      </c>
      <c r="AV1237" s="12" t="str">
        <f>HYPERLINK("http://www.bing.com/maps/?lvl=14&amp;sty=h&amp;cp=33.7613~44.6531&amp;sp=point.33.7613_44.6531","Maplink3")</f>
        <v>Maplink3</v>
      </c>
    </row>
    <row r="1238" spans="1:48" ht="15" customHeight="1" x14ac:dyDescent="0.25">
      <c r="A1238" s="19">
        <v>24916</v>
      </c>
      <c r="B1238" s="20" t="s">
        <v>14</v>
      </c>
      <c r="C1238" s="20" t="s">
        <v>2286</v>
      </c>
      <c r="D1238" s="20" t="s">
        <v>2344</v>
      </c>
      <c r="E1238" s="20" t="s">
        <v>2260</v>
      </c>
      <c r="F1238" s="20">
        <v>33.573418070000002</v>
      </c>
      <c r="G1238" s="20">
        <v>44.544130000000003</v>
      </c>
      <c r="H1238" s="22">
        <v>4</v>
      </c>
      <c r="I1238" s="22">
        <v>24</v>
      </c>
      <c r="J1238" s="21"/>
      <c r="K1238" s="21"/>
      <c r="L1238" s="21"/>
      <c r="M1238" s="21"/>
      <c r="N1238" s="21"/>
      <c r="O1238" s="21">
        <v>4</v>
      </c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21"/>
      <c r="AH1238" s="21">
        <v>4</v>
      </c>
      <c r="AI1238" s="21"/>
      <c r="AJ1238" s="21"/>
      <c r="AK1238" s="21"/>
      <c r="AL1238" s="21"/>
      <c r="AM1238" s="21"/>
      <c r="AN1238" s="21">
        <v>4</v>
      </c>
      <c r="AO1238" s="21"/>
      <c r="AP1238" s="21"/>
      <c r="AQ1238" s="21"/>
      <c r="AR1238" s="21"/>
      <c r="AS1238" s="21"/>
      <c r="AT1238" s="12" t="str">
        <f>HYPERLINK("http://www.openstreetmap.org/?mlat=33.5734&amp;mlon=44.5441&amp;zoom=12#map=12/33.5734/44.5441","Maplink1")</f>
        <v>Maplink1</v>
      </c>
      <c r="AU1238" s="12" t="str">
        <f>HYPERLINK("https://www.google.iq/maps/search/+33.5734,44.5441/@33.5734,44.5441,14z?hl=en","Maplink2")</f>
        <v>Maplink2</v>
      </c>
      <c r="AV1238" s="12" t="str">
        <f>HYPERLINK("http://www.bing.com/maps/?lvl=14&amp;sty=h&amp;cp=33.5734~44.5441&amp;sp=point.33.5734_44.5441","Maplink3")</f>
        <v>Maplink3</v>
      </c>
    </row>
    <row r="1239" spans="1:48" ht="15" customHeight="1" x14ac:dyDescent="0.25">
      <c r="A1239" s="19">
        <v>24574</v>
      </c>
      <c r="B1239" s="20" t="s">
        <v>14</v>
      </c>
      <c r="C1239" s="20" t="s">
        <v>2286</v>
      </c>
      <c r="D1239" s="20" t="s">
        <v>2345</v>
      </c>
      <c r="E1239" s="20" t="s">
        <v>2346</v>
      </c>
      <c r="F1239" s="20">
        <v>33.572054250000001</v>
      </c>
      <c r="G1239" s="20">
        <v>44.528143280000002</v>
      </c>
      <c r="H1239" s="22">
        <v>30</v>
      </c>
      <c r="I1239" s="22">
        <v>180</v>
      </c>
      <c r="J1239" s="21"/>
      <c r="K1239" s="21"/>
      <c r="L1239" s="21"/>
      <c r="M1239" s="21"/>
      <c r="N1239" s="21"/>
      <c r="O1239" s="21">
        <v>30</v>
      </c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>
        <v>15</v>
      </c>
      <c r="AD1239" s="21"/>
      <c r="AE1239" s="21"/>
      <c r="AF1239" s="21"/>
      <c r="AG1239" s="21"/>
      <c r="AH1239" s="21">
        <v>15</v>
      </c>
      <c r="AI1239" s="21"/>
      <c r="AJ1239" s="21"/>
      <c r="AK1239" s="21"/>
      <c r="AL1239" s="21"/>
      <c r="AM1239" s="21"/>
      <c r="AN1239" s="21">
        <v>30</v>
      </c>
      <c r="AO1239" s="21"/>
      <c r="AP1239" s="21"/>
      <c r="AQ1239" s="21"/>
      <c r="AR1239" s="21"/>
      <c r="AS1239" s="21"/>
      <c r="AT1239" s="12" t="str">
        <f>HYPERLINK("http://www.openstreetmap.org/?mlat=33.5721&amp;mlon=44.5281&amp;zoom=12#map=12/33.5721/44.5281","Maplink1")</f>
        <v>Maplink1</v>
      </c>
      <c r="AU1239" s="12" t="str">
        <f>HYPERLINK("https://www.google.iq/maps/search/+33.5721,44.5281/@33.5721,44.5281,14z?hl=en","Maplink2")</f>
        <v>Maplink2</v>
      </c>
      <c r="AV1239" s="12" t="str">
        <f>HYPERLINK("http://www.bing.com/maps/?lvl=14&amp;sty=h&amp;cp=33.5721~44.5281&amp;sp=point.33.5721_44.5281","Maplink3")</f>
        <v>Maplink3</v>
      </c>
    </row>
    <row r="1240" spans="1:48" ht="15" customHeight="1" x14ac:dyDescent="0.25">
      <c r="A1240" s="19">
        <v>24576</v>
      </c>
      <c r="B1240" s="20" t="s">
        <v>14</v>
      </c>
      <c r="C1240" s="20" t="s">
        <v>2286</v>
      </c>
      <c r="D1240" s="20" t="s">
        <v>2347</v>
      </c>
      <c r="E1240" s="20" t="s">
        <v>2348</v>
      </c>
      <c r="F1240" s="20">
        <v>33.570895659999998</v>
      </c>
      <c r="G1240" s="20">
        <v>44.546835590000001</v>
      </c>
      <c r="H1240" s="22">
        <v>8</v>
      </c>
      <c r="I1240" s="22">
        <v>48</v>
      </c>
      <c r="J1240" s="21"/>
      <c r="K1240" s="21"/>
      <c r="L1240" s="21"/>
      <c r="M1240" s="21"/>
      <c r="N1240" s="21"/>
      <c r="O1240" s="21">
        <v>8</v>
      </c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>
        <v>8</v>
      </c>
      <c r="AD1240" s="21"/>
      <c r="AE1240" s="21"/>
      <c r="AF1240" s="21"/>
      <c r="AG1240" s="21"/>
      <c r="AH1240" s="21"/>
      <c r="AI1240" s="21"/>
      <c r="AJ1240" s="21"/>
      <c r="AK1240" s="21"/>
      <c r="AL1240" s="21"/>
      <c r="AM1240" s="21"/>
      <c r="AN1240" s="21">
        <v>8</v>
      </c>
      <c r="AO1240" s="21"/>
      <c r="AP1240" s="21"/>
      <c r="AQ1240" s="21"/>
      <c r="AR1240" s="21"/>
      <c r="AS1240" s="21"/>
      <c r="AT1240" s="12" t="str">
        <f>HYPERLINK("http://www.openstreetmap.org/?mlat=33.5709&amp;mlon=44.5468&amp;zoom=12#map=12/33.5709/44.5468","Maplink1")</f>
        <v>Maplink1</v>
      </c>
      <c r="AU1240" s="12" t="str">
        <f>HYPERLINK("https://www.google.iq/maps/search/+33.5709,44.5468/@33.5709,44.5468,14z?hl=en","Maplink2")</f>
        <v>Maplink2</v>
      </c>
      <c r="AV1240" s="12" t="str">
        <f>HYPERLINK("http://www.bing.com/maps/?lvl=14&amp;sty=h&amp;cp=33.5709~44.5468&amp;sp=point.33.5709_44.5468","Maplink3")</f>
        <v>Maplink3</v>
      </c>
    </row>
    <row r="1241" spans="1:48" ht="15" customHeight="1" x14ac:dyDescent="0.25">
      <c r="A1241" s="19">
        <v>25039</v>
      </c>
      <c r="B1241" s="20" t="s">
        <v>14</v>
      </c>
      <c r="C1241" s="20" t="s">
        <v>2286</v>
      </c>
      <c r="D1241" s="20" t="s">
        <v>2349</v>
      </c>
      <c r="E1241" s="20" t="s">
        <v>2350</v>
      </c>
      <c r="F1241" s="20">
        <v>33.688346488100002</v>
      </c>
      <c r="G1241" s="20">
        <v>44.660855870500001</v>
      </c>
      <c r="H1241" s="22">
        <v>1</v>
      </c>
      <c r="I1241" s="22">
        <v>6</v>
      </c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>
        <v>1</v>
      </c>
      <c r="Y1241" s="21"/>
      <c r="Z1241" s="21"/>
      <c r="AA1241" s="21"/>
      <c r="AB1241" s="21"/>
      <c r="AC1241" s="21">
        <v>1</v>
      </c>
      <c r="AD1241" s="21"/>
      <c r="AE1241" s="21"/>
      <c r="AF1241" s="21"/>
      <c r="AG1241" s="21"/>
      <c r="AH1241" s="21"/>
      <c r="AI1241" s="21"/>
      <c r="AJ1241" s="21"/>
      <c r="AK1241" s="21"/>
      <c r="AL1241" s="21"/>
      <c r="AM1241" s="21"/>
      <c r="AN1241" s="21">
        <v>1</v>
      </c>
      <c r="AO1241" s="21"/>
      <c r="AP1241" s="21"/>
      <c r="AQ1241" s="21"/>
      <c r="AR1241" s="21"/>
      <c r="AS1241" s="21"/>
      <c r="AT1241" s="12" t="str">
        <f>HYPERLINK("http://www.openstreetmap.org/?mlat=33.6883&amp;mlon=44.6609&amp;zoom=12#map=12/33.6883/44.6609","Maplink1")</f>
        <v>Maplink1</v>
      </c>
      <c r="AU1241" s="12" t="str">
        <f>HYPERLINK("https://www.google.iq/maps/search/+33.6883,44.6609/@33.6883,44.6609,14z?hl=en","Maplink2")</f>
        <v>Maplink2</v>
      </c>
      <c r="AV1241" s="12" t="str">
        <f>HYPERLINK("http://www.bing.com/maps/?lvl=14&amp;sty=h&amp;cp=33.6883~44.6609&amp;sp=point.33.6883_44.6609","Maplink3")</f>
        <v>Maplink3</v>
      </c>
    </row>
    <row r="1242" spans="1:48" ht="15" customHeight="1" x14ac:dyDescent="0.25">
      <c r="A1242" s="19">
        <v>25038</v>
      </c>
      <c r="B1242" s="20" t="s">
        <v>14</v>
      </c>
      <c r="C1242" s="20" t="s">
        <v>2286</v>
      </c>
      <c r="D1242" s="20" t="s">
        <v>2351</v>
      </c>
      <c r="E1242" s="20" t="s">
        <v>2352</v>
      </c>
      <c r="F1242" s="20">
        <v>33.682539431199999</v>
      </c>
      <c r="G1242" s="20">
        <v>44.644374274400001</v>
      </c>
      <c r="H1242" s="22">
        <v>7</v>
      </c>
      <c r="I1242" s="22">
        <v>42</v>
      </c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>
        <v>7</v>
      </c>
      <c r="Y1242" s="21"/>
      <c r="Z1242" s="21"/>
      <c r="AA1242" s="21"/>
      <c r="AB1242" s="21"/>
      <c r="AC1242" s="21">
        <v>7</v>
      </c>
      <c r="AD1242" s="21"/>
      <c r="AE1242" s="21"/>
      <c r="AF1242" s="21"/>
      <c r="AG1242" s="21"/>
      <c r="AH1242" s="21"/>
      <c r="AI1242" s="21"/>
      <c r="AJ1242" s="21"/>
      <c r="AK1242" s="21"/>
      <c r="AL1242" s="21"/>
      <c r="AM1242" s="21"/>
      <c r="AN1242" s="21">
        <v>7</v>
      </c>
      <c r="AO1242" s="21"/>
      <c r="AP1242" s="21"/>
      <c r="AQ1242" s="21"/>
      <c r="AR1242" s="21"/>
      <c r="AS1242" s="21"/>
      <c r="AT1242" s="12" t="str">
        <f>HYPERLINK("http://www.openstreetmap.org/?mlat=33.6825&amp;mlon=44.6444&amp;zoom=12#map=12/33.6825/44.6444","Maplink1")</f>
        <v>Maplink1</v>
      </c>
      <c r="AU1242" s="12" t="str">
        <f>HYPERLINK("https://www.google.iq/maps/search/+33.6825,44.6444/@33.6825,44.6444,14z?hl=en","Maplink2")</f>
        <v>Maplink2</v>
      </c>
      <c r="AV1242" s="12" t="str">
        <f>HYPERLINK("http://www.bing.com/maps/?lvl=14&amp;sty=h&amp;cp=33.6825~44.6444&amp;sp=point.33.6825_44.6444","Maplink3")</f>
        <v>Maplink3</v>
      </c>
    </row>
    <row r="1243" spans="1:48" ht="15" customHeight="1" x14ac:dyDescent="0.25">
      <c r="A1243" s="19">
        <v>24918</v>
      </c>
      <c r="B1243" s="20" t="s">
        <v>14</v>
      </c>
      <c r="C1243" s="20" t="s">
        <v>2286</v>
      </c>
      <c r="D1243" s="20" t="s">
        <v>2353</v>
      </c>
      <c r="E1243" s="20" t="s">
        <v>2354</v>
      </c>
      <c r="F1243" s="20">
        <v>33.706497926399997</v>
      </c>
      <c r="G1243" s="20">
        <v>44.650128867900001</v>
      </c>
      <c r="H1243" s="22">
        <v>15</v>
      </c>
      <c r="I1243" s="22">
        <v>90</v>
      </c>
      <c r="J1243" s="21"/>
      <c r="K1243" s="21"/>
      <c r="L1243" s="21"/>
      <c r="M1243" s="21"/>
      <c r="N1243" s="21"/>
      <c r="O1243" s="21">
        <v>15</v>
      </c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>
        <v>15</v>
      </c>
      <c r="AD1243" s="21"/>
      <c r="AE1243" s="21"/>
      <c r="AF1243" s="21"/>
      <c r="AG1243" s="21"/>
      <c r="AH1243" s="21"/>
      <c r="AI1243" s="21"/>
      <c r="AJ1243" s="21"/>
      <c r="AK1243" s="21"/>
      <c r="AL1243" s="21"/>
      <c r="AM1243" s="21"/>
      <c r="AN1243" s="21"/>
      <c r="AO1243" s="21">
        <v>15</v>
      </c>
      <c r="AP1243" s="21"/>
      <c r="AQ1243" s="21"/>
      <c r="AR1243" s="21"/>
      <c r="AS1243" s="21"/>
      <c r="AT1243" s="12" t="str">
        <f>HYPERLINK("http://www.openstreetmap.org/?mlat=33.7065&amp;mlon=44.6501&amp;zoom=12#map=12/33.7065/44.6501","Maplink1")</f>
        <v>Maplink1</v>
      </c>
      <c r="AU1243" s="12" t="str">
        <f>HYPERLINK("https://www.google.iq/maps/search/+33.7065,44.6501/@33.7065,44.6501,14z?hl=en","Maplink2")</f>
        <v>Maplink2</v>
      </c>
      <c r="AV1243" s="12" t="str">
        <f>HYPERLINK("http://www.bing.com/maps/?lvl=14&amp;sty=h&amp;cp=33.7065~44.6501&amp;sp=point.33.7065_44.6501","Maplink3")</f>
        <v>Maplink3</v>
      </c>
    </row>
    <row r="1244" spans="1:48" ht="15" customHeight="1" x14ac:dyDescent="0.25">
      <c r="A1244" s="19">
        <v>11376</v>
      </c>
      <c r="B1244" s="20" t="s">
        <v>14</v>
      </c>
      <c r="C1244" s="20" t="s">
        <v>2286</v>
      </c>
      <c r="D1244" s="20" t="s">
        <v>2355</v>
      </c>
      <c r="E1244" s="20" t="s">
        <v>2356</v>
      </c>
      <c r="F1244" s="20">
        <v>33.712801390000003</v>
      </c>
      <c r="G1244" s="20">
        <v>44.652880529999997</v>
      </c>
      <c r="H1244" s="22">
        <v>13</v>
      </c>
      <c r="I1244" s="22">
        <v>78</v>
      </c>
      <c r="J1244" s="21"/>
      <c r="K1244" s="21"/>
      <c r="L1244" s="21"/>
      <c r="M1244" s="21"/>
      <c r="N1244" s="21"/>
      <c r="O1244" s="21">
        <v>13</v>
      </c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21"/>
      <c r="AH1244" s="21">
        <v>13</v>
      </c>
      <c r="AI1244" s="21"/>
      <c r="AJ1244" s="21"/>
      <c r="AK1244" s="21"/>
      <c r="AL1244" s="21"/>
      <c r="AM1244" s="21"/>
      <c r="AN1244" s="21"/>
      <c r="AO1244" s="21">
        <v>13</v>
      </c>
      <c r="AP1244" s="21"/>
      <c r="AQ1244" s="21"/>
      <c r="AR1244" s="21"/>
      <c r="AS1244" s="21"/>
      <c r="AT1244" s="12" t="str">
        <f>HYPERLINK("http://www.openstreetmap.org/?mlat=33.7128&amp;mlon=44.6529&amp;zoom=12#map=12/33.7128/44.6529","Maplink1")</f>
        <v>Maplink1</v>
      </c>
      <c r="AU1244" s="12" t="str">
        <f>HYPERLINK("https://www.google.iq/maps/search/+33.7128,44.6529/@33.7128,44.6529,14z?hl=en","Maplink2")</f>
        <v>Maplink2</v>
      </c>
      <c r="AV1244" s="12" t="str">
        <f>HYPERLINK("http://www.bing.com/maps/?lvl=14&amp;sty=h&amp;cp=33.7128~44.6529&amp;sp=point.33.7128_44.6529","Maplink3")</f>
        <v>Maplink3</v>
      </c>
    </row>
    <row r="1245" spans="1:48" ht="15" customHeight="1" x14ac:dyDescent="0.25">
      <c r="A1245" s="19">
        <v>11368</v>
      </c>
      <c r="B1245" s="20" t="s">
        <v>14</v>
      </c>
      <c r="C1245" s="20" t="s">
        <v>2286</v>
      </c>
      <c r="D1245" s="20" t="s">
        <v>2357</v>
      </c>
      <c r="E1245" s="20" t="s">
        <v>2358</v>
      </c>
      <c r="F1245" s="20">
        <v>33.72708368</v>
      </c>
      <c r="G1245" s="20">
        <v>44.660062150000002</v>
      </c>
      <c r="H1245" s="22">
        <v>12</v>
      </c>
      <c r="I1245" s="22">
        <v>72</v>
      </c>
      <c r="J1245" s="21"/>
      <c r="K1245" s="21"/>
      <c r="L1245" s="21"/>
      <c r="M1245" s="21"/>
      <c r="N1245" s="21"/>
      <c r="O1245" s="21">
        <v>12</v>
      </c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>
        <v>12</v>
      </c>
      <c r="AD1245" s="21"/>
      <c r="AE1245" s="21"/>
      <c r="AF1245" s="21"/>
      <c r="AG1245" s="21"/>
      <c r="AH1245" s="21"/>
      <c r="AI1245" s="21"/>
      <c r="AJ1245" s="21"/>
      <c r="AK1245" s="21"/>
      <c r="AL1245" s="21"/>
      <c r="AM1245" s="21"/>
      <c r="AN1245" s="21"/>
      <c r="AO1245" s="21">
        <v>12</v>
      </c>
      <c r="AP1245" s="21"/>
      <c r="AQ1245" s="21"/>
      <c r="AR1245" s="21"/>
      <c r="AS1245" s="21"/>
      <c r="AT1245" s="12" t="str">
        <f>HYPERLINK("http://www.openstreetmap.org/?mlat=33.7271&amp;mlon=44.6601&amp;zoom=12#map=12/33.7271/44.6601","Maplink1")</f>
        <v>Maplink1</v>
      </c>
      <c r="AU1245" s="12" t="str">
        <f>HYPERLINK("https://www.google.iq/maps/search/+33.7271,44.6601/@33.7271,44.6601,14z?hl=en","Maplink2")</f>
        <v>Maplink2</v>
      </c>
      <c r="AV1245" s="12" t="str">
        <f>HYPERLINK("http://www.bing.com/maps/?lvl=14&amp;sty=h&amp;cp=33.7271~44.6601&amp;sp=point.33.7271_44.6601","Maplink3")</f>
        <v>Maplink3</v>
      </c>
    </row>
    <row r="1246" spans="1:48" ht="15" customHeight="1" x14ac:dyDescent="0.25">
      <c r="A1246" s="19">
        <v>25037</v>
      </c>
      <c r="B1246" s="20" t="s">
        <v>14</v>
      </c>
      <c r="C1246" s="20" t="s">
        <v>2286</v>
      </c>
      <c r="D1246" s="20" t="s">
        <v>2359</v>
      </c>
      <c r="E1246" s="20" t="s">
        <v>2360</v>
      </c>
      <c r="F1246" s="20">
        <v>33.6980649212</v>
      </c>
      <c r="G1246" s="20">
        <v>44.6822041223</v>
      </c>
      <c r="H1246" s="22">
        <v>3</v>
      </c>
      <c r="I1246" s="22">
        <v>18</v>
      </c>
      <c r="J1246" s="21"/>
      <c r="K1246" s="21"/>
      <c r="L1246" s="21"/>
      <c r="M1246" s="21"/>
      <c r="N1246" s="21"/>
      <c r="O1246" s="21">
        <v>3</v>
      </c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>
        <v>3</v>
      </c>
      <c r="AD1246" s="21"/>
      <c r="AE1246" s="21"/>
      <c r="AF1246" s="21"/>
      <c r="AG1246" s="21"/>
      <c r="AH1246" s="21"/>
      <c r="AI1246" s="21"/>
      <c r="AJ1246" s="21"/>
      <c r="AK1246" s="21"/>
      <c r="AL1246" s="21"/>
      <c r="AM1246" s="21"/>
      <c r="AN1246" s="21"/>
      <c r="AO1246" s="21">
        <v>3</v>
      </c>
      <c r="AP1246" s="21"/>
      <c r="AQ1246" s="21"/>
      <c r="AR1246" s="21"/>
      <c r="AS1246" s="21"/>
      <c r="AT1246" s="12" t="str">
        <f>HYPERLINK("http://www.openstreetmap.org/?mlat=33.6981&amp;mlon=44.6822&amp;zoom=12#map=12/33.6981/44.6822","Maplink1")</f>
        <v>Maplink1</v>
      </c>
      <c r="AU1246" s="12" t="str">
        <f>HYPERLINK("https://www.google.iq/maps/search/+33.6981,44.6822/@33.6981,44.6822,14z?hl=en","Maplink2")</f>
        <v>Maplink2</v>
      </c>
      <c r="AV1246" s="12" t="str">
        <f>HYPERLINK("http://www.bing.com/maps/?lvl=14&amp;sty=h&amp;cp=33.6981~44.6822&amp;sp=point.33.6981_44.6822","Maplink3")</f>
        <v>Maplink3</v>
      </c>
    </row>
    <row r="1247" spans="1:48" ht="15" customHeight="1" x14ac:dyDescent="0.25">
      <c r="A1247" s="19">
        <v>25045</v>
      </c>
      <c r="B1247" s="20" t="s">
        <v>14</v>
      </c>
      <c r="C1247" s="20" t="s">
        <v>2286</v>
      </c>
      <c r="D1247" s="20" t="s">
        <v>2361</v>
      </c>
      <c r="E1247" s="20" t="s">
        <v>2362</v>
      </c>
      <c r="F1247" s="20">
        <v>33.701175790000001</v>
      </c>
      <c r="G1247" s="20">
        <v>44.794724209999998</v>
      </c>
      <c r="H1247" s="22">
        <v>28</v>
      </c>
      <c r="I1247" s="22">
        <v>168</v>
      </c>
      <c r="J1247" s="21"/>
      <c r="K1247" s="21"/>
      <c r="L1247" s="21"/>
      <c r="M1247" s="21"/>
      <c r="N1247" s="21"/>
      <c r="O1247" s="21">
        <v>28</v>
      </c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>
        <v>13</v>
      </c>
      <c r="AD1247" s="21"/>
      <c r="AE1247" s="21"/>
      <c r="AF1247" s="21"/>
      <c r="AG1247" s="21"/>
      <c r="AH1247" s="21">
        <v>15</v>
      </c>
      <c r="AI1247" s="21"/>
      <c r="AJ1247" s="21"/>
      <c r="AK1247" s="21"/>
      <c r="AL1247" s="21"/>
      <c r="AM1247" s="21"/>
      <c r="AN1247" s="21"/>
      <c r="AO1247" s="21">
        <v>15</v>
      </c>
      <c r="AP1247" s="21"/>
      <c r="AQ1247" s="21"/>
      <c r="AR1247" s="21"/>
      <c r="AS1247" s="21">
        <v>13</v>
      </c>
      <c r="AT1247" s="12" t="str">
        <f>HYPERLINK("http://www.openstreetmap.org/?mlat=33.7012&amp;mlon=44.7947&amp;zoom=12#map=12/33.7012/44.7947","Maplink1")</f>
        <v>Maplink1</v>
      </c>
      <c r="AU1247" s="12" t="str">
        <f>HYPERLINK("https://www.google.iq/maps/search/+33.7012,44.7947/@33.7012,44.7947,14z?hl=en","Maplink2")</f>
        <v>Maplink2</v>
      </c>
      <c r="AV1247" s="12" t="str">
        <f>HYPERLINK("http://www.bing.com/maps/?lvl=14&amp;sty=h&amp;cp=33.7012~44.7947&amp;sp=point.33.7012_44.7947","Maplink3")</f>
        <v>Maplink3</v>
      </c>
    </row>
    <row r="1248" spans="1:48" ht="15" customHeight="1" x14ac:dyDescent="0.25">
      <c r="A1248" s="19">
        <v>11496</v>
      </c>
      <c r="B1248" s="20" t="s">
        <v>14</v>
      </c>
      <c r="C1248" s="20" t="s">
        <v>2286</v>
      </c>
      <c r="D1248" s="20" t="s">
        <v>2363</v>
      </c>
      <c r="E1248" s="20" t="s">
        <v>2364</v>
      </c>
      <c r="F1248" s="20">
        <v>33.769522119999998</v>
      </c>
      <c r="G1248" s="20">
        <v>44.643582010000003</v>
      </c>
      <c r="H1248" s="22">
        <v>15</v>
      </c>
      <c r="I1248" s="22">
        <v>90</v>
      </c>
      <c r="J1248" s="21"/>
      <c r="K1248" s="21"/>
      <c r="L1248" s="21"/>
      <c r="M1248" s="21"/>
      <c r="N1248" s="21"/>
      <c r="O1248" s="21">
        <v>15</v>
      </c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21"/>
      <c r="AH1248" s="21">
        <v>15</v>
      </c>
      <c r="AI1248" s="21"/>
      <c r="AJ1248" s="21"/>
      <c r="AK1248" s="21"/>
      <c r="AL1248" s="21"/>
      <c r="AM1248" s="21">
        <v>15</v>
      </c>
      <c r="AN1248" s="21"/>
      <c r="AO1248" s="21"/>
      <c r="AP1248" s="21"/>
      <c r="AQ1248" s="21"/>
      <c r="AR1248" s="21"/>
      <c r="AS1248" s="21"/>
      <c r="AT1248" s="12" t="str">
        <f>HYPERLINK("http://www.openstreetmap.org/?mlat=33.7695&amp;mlon=44.6436&amp;zoom=12#map=12/33.7695/44.6436","Maplink1")</f>
        <v>Maplink1</v>
      </c>
      <c r="AU1248" s="12" t="str">
        <f>HYPERLINK("https://www.google.iq/maps/search/+33.7695,44.6436/@33.7695,44.6436,14z?hl=en","Maplink2")</f>
        <v>Maplink2</v>
      </c>
      <c r="AV1248" s="12" t="str">
        <f>HYPERLINK("http://www.bing.com/maps/?lvl=14&amp;sty=h&amp;cp=33.7695~44.6436&amp;sp=point.33.7695_44.6436","Maplink3")</f>
        <v>Maplink3</v>
      </c>
    </row>
    <row r="1249" spans="1:48" ht="15" customHeight="1" x14ac:dyDescent="0.25">
      <c r="A1249" s="19">
        <v>25050</v>
      </c>
      <c r="B1249" s="20" t="s">
        <v>14</v>
      </c>
      <c r="C1249" s="20" t="s">
        <v>2286</v>
      </c>
      <c r="D1249" s="20" t="s">
        <v>2365</v>
      </c>
      <c r="E1249" s="20" t="s">
        <v>2366</v>
      </c>
      <c r="F1249" s="20">
        <v>33.719588418900003</v>
      </c>
      <c r="G1249" s="20">
        <v>44.7755026456</v>
      </c>
      <c r="H1249" s="22">
        <v>15</v>
      </c>
      <c r="I1249" s="22">
        <v>90</v>
      </c>
      <c r="J1249" s="21"/>
      <c r="K1249" s="21"/>
      <c r="L1249" s="21"/>
      <c r="M1249" s="21"/>
      <c r="N1249" s="21"/>
      <c r="O1249" s="21">
        <v>15</v>
      </c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21"/>
      <c r="AH1249" s="21">
        <v>15</v>
      </c>
      <c r="AI1249" s="21"/>
      <c r="AJ1249" s="21"/>
      <c r="AK1249" s="21"/>
      <c r="AL1249" s="21"/>
      <c r="AM1249" s="21"/>
      <c r="AN1249" s="21"/>
      <c r="AO1249" s="21">
        <v>15</v>
      </c>
      <c r="AP1249" s="21"/>
      <c r="AQ1249" s="21"/>
      <c r="AR1249" s="21"/>
      <c r="AS1249" s="21"/>
      <c r="AT1249" s="12" t="str">
        <f>HYPERLINK("http://www.openstreetmap.org/?mlat=33.7196&amp;mlon=44.7755&amp;zoom=12#map=12/33.7196/44.7755","Maplink1")</f>
        <v>Maplink1</v>
      </c>
      <c r="AU1249" s="12" t="str">
        <f>HYPERLINK("https://www.google.iq/maps/search/+33.7196,44.7755/@33.7196,44.7755,14z?hl=en","Maplink2")</f>
        <v>Maplink2</v>
      </c>
      <c r="AV1249" s="12" t="str">
        <f>HYPERLINK("http://www.bing.com/maps/?lvl=14&amp;sty=h&amp;cp=33.7196~44.7755&amp;sp=point.33.7196_44.7755","Maplink3")</f>
        <v>Maplink3</v>
      </c>
    </row>
    <row r="1250" spans="1:48" ht="15" customHeight="1" x14ac:dyDescent="0.25">
      <c r="A1250" s="19">
        <v>11553</v>
      </c>
      <c r="B1250" s="20" t="s">
        <v>14</v>
      </c>
      <c r="C1250" s="20" t="s">
        <v>2286</v>
      </c>
      <c r="D1250" s="20" t="s">
        <v>2367</v>
      </c>
      <c r="E1250" s="20" t="s">
        <v>2368</v>
      </c>
      <c r="F1250" s="20">
        <v>33.828371009999998</v>
      </c>
      <c r="G1250" s="20">
        <v>44.673970369999999</v>
      </c>
      <c r="H1250" s="22">
        <v>10</v>
      </c>
      <c r="I1250" s="22">
        <v>60</v>
      </c>
      <c r="J1250" s="21"/>
      <c r="K1250" s="21"/>
      <c r="L1250" s="21"/>
      <c r="M1250" s="21"/>
      <c r="N1250" s="21"/>
      <c r="O1250" s="21">
        <v>10</v>
      </c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>
        <v>10</v>
      </c>
      <c r="AD1250" s="21"/>
      <c r="AE1250" s="21"/>
      <c r="AF1250" s="21"/>
      <c r="AG1250" s="21"/>
      <c r="AH1250" s="21"/>
      <c r="AI1250" s="21"/>
      <c r="AJ1250" s="21"/>
      <c r="AK1250" s="21"/>
      <c r="AL1250" s="21"/>
      <c r="AM1250" s="21"/>
      <c r="AN1250" s="21"/>
      <c r="AO1250" s="21">
        <v>10</v>
      </c>
      <c r="AP1250" s="21"/>
      <c r="AQ1250" s="21"/>
      <c r="AR1250" s="21"/>
      <c r="AS1250" s="21"/>
      <c r="AT1250" s="12" t="str">
        <f>HYPERLINK("http://www.openstreetmap.org/?mlat=33.8284&amp;mlon=44.674&amp;zoom=12#map=12/33.8284/44.674","Maplink1")</f>
        <v>Maplink1</v>
      </c>
      <c r="AU1250" s="12" t="str">
        <f>HYPERLINK("https://www.google.iq/maps/search/+33.8284,44.674/@33.8284,44.674,14z?hl=en","Maplink2")</f>
        <v>Maplink2</v>
      </c>
      <c r="AV1250" s="12" t="str">
        <f>HYPERLINK("http://www.bing.com/maps/?lvl=14&amp;sty=h&amp;cp=33.8284~44.674&amp;sp=point.33.8284_44.674","Maplink3")</f>
        <v>Maplink3</v>
      </c>
    </row>
    <row r="1251" spans="1:48" ht="15" customHeight="1" x14ac:dyDescent="0.25">
      <c r="A1251" s="19">
        <v>11463</v>
      </c>
      <c r="B1251" s="20" t="s">
        <v>14</v>
      </c>
      <c r="C1251" s="20" t="s">
        <v>2286</v>
      </c>
      <c r="D1251" s="20" t="s">
        <v>2369</v>
      </c>
      <c r="E1251" s="20" t="s">
        <v>2370</v>
      </c>
      <c r="F1251" s="20">
        <v>33.844936529999998</v>
      </c>
      <c r="G1251" s="20">
        <v>44.644540849999998</v>
      </c>
      <c r="H1251" s="22">
        <v>47</v>
      </c>
      <c r="I1251" s="22">
        <v>282</v>
      </c>
      <c r="J1251" s="21"/>
      <c r="K1251" s="21"/>
      <c r="L1251" s="21"/>
      <c r="M1251" s="21"/>
      <c r="N1251" s="21"/>
      <c r="O1251" s="21">
        <v>22</v>
      </c>
      <c r="P1251" s="21"/>
      <c r="Q1251" s="21"/>
      <c r="R1251" s="21"/>
      <c r="S1251" s="21"/>
      <c r="T1251" s="21"/>
      <c r="U1251" s="21"/>
      <c r="V1251" s="21"/>
      <c r="W1251" s="21"/>
      <c r="X1251" s="21">
        <v>25</v>
      </c>
      <c r="Y1251" s="21"/>
      <c r="Z1251" s="21"/>
      <c r="AA1251" s="21"/>
      <c r="AB1251" s="21"/>
      <c r="AC1251" s="21">
        <v>18</v>
      </c>
      <c r="AD1251" s="21"/>
      <c r="AE1251" s="21"/>
      <c r="AF1251" s="21"/>
      <c r="AG1251" s="21"/>
      <c r="AH1251" s="21">
        <v>29</v>
      </c>
      <c r="AI1251" s="21"/>
      <c r="AJ1251" s="21"/>
      <c r="AK1251" s="21"/>
      <c r="AL1251" s="21"/>
      <c r="AM1251" s="21"/>
      <c r="AN1251" s="21"/>
      <c r="AO1251" s="21">
        <v>47</v>
      </c>
      <c r="AP1251" s="21"/>
      <c r="AQ1251" s="21"/>
      <c r="AR1251" s="21"/>
      <c r="AS1251" s="21"/>
      <c r="AT1251" s="12" t="str">
        <f>HYPERLINK("http://www.openstreetmap.org/?mlat=33.8449&amp;mlon=44.6445&amp;zoom=12#map=12/33.8449/44.6445","Maplink1")</f>
        <v>Maplink1</v>
      </c>
      <c r="AU1251" s="12" t="str">
        <f>HYPERLINK("https://www.google.iq/maps/search/+33.8449,44.6445/@33.8449,44.6445,14z?hl=en","Maplink2")</f>
        <v>Maplink2</v>
      </c>
      <c r="AV1251" s="12" t="str">
        <f>HYPERLINK("http://www.bing.com/maps/?lvl=14&amp;sty=h&amp;cp=33.8449~44.6445&amp;sp=point.33.8449_44.6445","Maplink3")</f>
        <v>Maplink3</v>
      </c>
    </row>
    <row r="1252" spans="1:48" ht="15" customHeight="1" x14ac:dyDescent="0.25">
      <c r="A1252" s="19">
        <v>11217</v>
      </c>
      <c r="B1252" s="20" t="s">
        <v>14</v>
      </c>
      <c r="C1252" s="20" t="s">
        <v>2286</v>
      </c>
      <c r="D1252" s="20" t="s">
        <v>2371</v>
      </c>
      <c r="E1252" s="20" t="s">
        <v>2372</v>
      </c>
      <c r="F1252" s="20">
        <v>33.756726180000001</v>
      </c>
      <c r="G1252" s="20">
        <v>44.65495799</v>
      </c>
      <c r="H1252" s="22">
        <v>47</v>
      </c>
      <c r="I1252" s="22">
        <v>282</v>
      </c>
      <c r="J1252" s="21"/>
      <c r="K1252" s="21"/>
      <c r="L1252" s="21"/>
      <c r="M1252" s="21"/>
      <c r="N1252" s="21"/>
      <c r="O1252" s="21">
        <v>47</v>
      </c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21"/>
      <c r="AH1252" s="21">
        <v>47</v>
      </c>
      <c r="AI1252" s="21"/>
      <c r="AJ1252" s="21"/>
      <c r="AK1252" s="21"/>
      <c r="AL1252" s="21"/>
      <c r="AM1252" s="21">
        <v>47</v>
      </c>
      <c r="AN1252" s="21"/>
      <c r="AO1252" s="21"/>
      <c r="AP1252" s="21"/>
      <c r="AQ1252" s="21"/>
      <c r="AR1252" s="21"/>
      <c r="AS1252" s="21"/>
      <c r="AT1252" s="12" t="str">
        <f>HYPERLINK("http://www.openstreetmap.org/?mlat=33.7567&amp;mlon=44.655&amp;zoom=12#map=12/33.7567/44.655","Maplink1")</f>
        <v>Maplink1</v>
      </c>
      <c r="AU1252" s="12" t="str">
        <f>HYPERLINK("https://www.google.iq/maps/search/+33.7567,44.655/@33.7567,44.655,14z?hl=en","Maplink2")</f>
        <v>Maplink2</v>
      </c>
      <c r="AV1252" s="12" t="str">
        <f>HYPERLINK("http://www.bing.com/maps/?lvl=14&amp;sty=h&amp;cp=33.7567~44.655&amp;sp=point.33.7567_44.655","Maplink3")</f>
        <v>Maplink3</v>
      </c>
    </row>
    <row r="1253" spans="1:48" ht="15" customHeight="1" x14ac:dyDescent="0.25">
      <c r="A1253" s="19">
        <v>25048</v>
      </c>
      <c r="B1253" s="20" t="s">
        <v>14</v>
      </c>
      <c r="C1253" s="20" t="s">
        <v>2286</v>
      </c>
      <c r="D1253" s="20" t="s">
        <v>2373</v>
      </c>
      <c r="E1253" s="20" t="s">
        <v>2374</v>
      </c>
      <c r="F1253" s="20">
        <v>33.671177288599999</v>
      </c>
      <c r="G1253" s="20">
        <v>44.812840800899998</v>
      </c>
      <c r="H1253" s="22">
        <v>10</v>
      </c>
      <c r="I1253" s="22">
        <v>60</v>
      </c>
      <c r="J1253" s="21"/>
      <c r="K1253" s="21"/>
      <c r="L1253" s="21"/>
      <c r="M1253" s="21"/>
      <c r="N1253" s="21"/>
      <c r="O1253" s="21">
        <v>10</v>
      </c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>
        <v>10</v>
      </c>
      <c r="AD1253" s="21"/>
      <c r="AE1253" s="21"/>
      <c r="AF1253" s="21"/>
      <c r="AG1253" s="21"/>
      <c r="AH1253" s="21"/>
      <c r="AI1253" s="21"/>
      <c r="AJ1253" s="21"/>
      <c r="AK1253" s="21"/>
      <c r="AL1253" s="21"/>
      <c r="AM1253" s="21"/>
      <c r="AN1253" s="21"/>
      <c r="AO1253" s="21">
        <v>10</v>
      </c>
      <c r="AP1253" s="21"/>
      <c r="AQ1253" s="21"/>
      <c r="AR1253" s="21"/>
      <c r="AS1253" s="21"/>
      <c r="AT1253" s="12" t="str">
        <f>HYPERLINK("http://www.openstreetmap.org/?mlat=33.6712&amp;mlon=44.8128&amp;zoom=12#map=12/33.6712/44.8128","Maplink1")</f>
        <v>Maplink1</v>
      </c>
      <c r="AU1253" s="12" t="str">
        <f>HYPERLINK("https://www.google.iq/maps/search/+33.6712,44.8128/@33.6712,44.8128,14z?hl=en","Maplink2")</f>
        <v>Maplink2</v>
      </c>
      <c r="AV1253" s="12" t="str">
        <f>HYPERLINK("http://www.bing.com/maps/?lvl=14&amp;sty=h&amp;cp=33.6712~44.8128&amp;sp=point.33.6712_44.8128","Maplink3")</f>
        <v>Maplink3</v>
      </c>
    </row>
    <row r="1254" spans="1:48" ht="15" customHeight="1" x14ac:dyDescent="0.25">
      <c r="A1254" s="19">
        <v>11200</v>
      </c>
      <c r="B1254" s="20" t="s">
        <v>14</v>
      </c>
      <c r="C1254" s="20" t="s">
        <v>2286</v>
      </c>
      <c r="D1254" s="20" t="s">
        <v>2375</v>
      </c>
      <c r="E1254" s="20" t="s">
        <v>2376</v>
      </c>
      <c r="F1254" s="20">
        <v>33.803114999999998</v>
      </c>
      <c r="G1254" s="20">
        <v>44.634264960000003</v>
      </c>
      <c r="H1254" s="22">
        <v>40</v>
      </c>
      <c r="I1254" s="22">
        <v>240</v>
      </c>
      <c r="J1254" s="21"/>
      <c r="K1254" s="21"/>
      <c r="L1254" s="21"/>
      <c r="M1254" s="21"/>
      <c r="N1254" s="21"/>
      <c r="O1254" s="21">
        <v>40</v>
      </c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>
        <v>20</v>
      </c>
      <c r="AD1254" s="21"/>
      <c r="AE1254" s="21"/>
      <c r="AF1254" s="21"/>
      <c r="AG1254" s="21"/>
      <c r="AH1254" s="21">
        <v>20</v>
      </c>
      <c r="AI1254" s="21"/>
      <c r="AJ1254" s="21"/>
      <c r="AK1254" s="21"/>
      <c r="AL1254" s="21"/>
      <c r="AM1254" s="21"/>
      <c r="AN1254" s="21"/>
      <c r="AO1254" s="21">
        <v>40</v>
      </c>
      <c r="AP1254" s="21"/>
      <c r="AQ1254" s="21"/>
      <c r="AR1254" s="21"/>
      <c r="AS1254" s="21"/>
      <c r="AT1254" s="12" t="str">
        <f>HYPERLINK("http://www.openstreetmap.org/?mlat=33.8031&amp;mlon=44.6343&amp;zoom=12#map=12/33.8031/44.6343","Maplink1")</f>
        <v>Maplink1</v>
      </c>
      <c r="AU1254" s="12" t="str">
        <f>HYPERLINK("https://www.google.iq/maps/search/+33.8031,44.6343/@33.8031,44.6343,14z?hl=en","Maplink2")</f>
        <v>Maplink2</v>
      </c>
      <c r="AV1254" s="12" t="str">
        <f>HYPERLINK("http://www.bing.com/maps/?lvl=14&amp;sty=h&amp;cp=33.8031~44.6343&amp;sp=point.33.8031_44.6343","Maplink3")</f>
        <v>Maplink3</v>
      </c>
    </row>
    <row r="1255" spans="1:48" ht="15" customHeight="1" x14ac:dyDescent="0.25">
      <c r="A1255" s="19">
        <v>11193</v>
      </c>
      <c r="B1255" s="20" t="s">
        <v>14</v>
      </c>
      <c r="C1255" s="20" t="s">
        <v>2286</v>
      </c>
      <c r="D1255" s="20" t="s">
        <v>2377</v>
      </c>
      <c r="E1255" s="20" t="s">
        <v>2378</v>
      </c>
      <c r="F1255" s="20">
        <v>33.814073790000002</v>
      </c>
      <c r="G1255" s="20">
        <v>44.657461329999997</v>
      </c>
      <c r="H1255" s="22">
        <v>81</v>
      </c>
      <c r="I1255" s="22">
        <v>486</v>
      </c>
      <c r="J1255" s="21"/>
      <c r="K1255" s="21"/>
      <c r="L1255" s="21"/>
      <c r="M1255" s="21"/>
      <c r="N1255" s="21"/>
      <c r="O1255" s="21">
        <v>81</v>
      </c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>
        <v>53</v>
      </c>
      <c r="AD1255" s="21"/>
      <c r="AE1255" s="21"/>
      <c r="AF1255" s="21"/>
      <c r="AG1255" s="21"/>
      <c r="AH1255" s="21">
        <v>28</v>
      </c>
      <c r="AI1255" s="21"/>
      <c r="AJ1255" s="21"/>
      <c r="AK1255" s="21"/>
      <c r="AL1255" s="21"/>
      <c r="AM1255" s="21"/>
      <c r="AN1255" s="21">
        <v>81</v>
      </c>
      <c r="AO1255" s="21"/>
      <c r="AP1255" s="21"/>
      <c r="AQ1255" s="21"/>
      <c r="AR1255" s="21"/>
      <c r="AS1255" s="21"/>
      <c r="AT1255" s="12" t="str">
        <f>HYPERLINK("http://www.openstreetmap.org/?mlat=33.8141&amp;mlon=44.6575&amp;zoom=12#map=12/33.8141/44.6575","Maplink1")</f>
        <v>Maplink1</v>
      </c>
      <c r="AU1255" s="12" t="str">
        <f>HYPERLINK("https://www.google.iq/maps/search/+33.8141,44.6575/@33.8141,44.6575,14z?hl=en","Maplink2")</f>
        <v>Maplink2</v>
      </c>
      <c r="AV1255" s="12" t="str">
        <f>HYPERLINK("http://www.bing.com/maps/?lvl=14&amp;sty=h&amp;cp=33.8141~44.6575&amp;sp=point.33.8141_44.6575","Maplink3")</f>
        <v>Maplink3</v>
      </c>
    </row>
    <row r="1256" spans="1:48" ht="15" customHeight="1" x14ac:dyDescent="0.25">
      <c r="A1256" s="19">
        <v>11363</v>
      </c>
      <c r="B1256" s="20" t="s">
        <v>14</v>
      </c>
      <c r="C1256" s="20" t="s">
        <v>2286</v>
      </c>
      <c r="D1256" s="20" t="s">
        <v>2379</v>
      </c>
      <c r="E1256" s="20" t="s">
        <v>2380</v>
      </c>
      <c r="F1256" s="20">
        <v>33.690296650000001</v>
      </c>
      <c r="G1256" s="20">
        <v>44.79696139</v>
      </c>
      <c r="H1256" s="22">
        <v>50</v>
      </c>
      <c r="I1256" s="22">
        <v>300</v>
      </c>
      <c r="J1256" s="21"/>
      <c r="K1256" s="21"/>
      <c r="L1256" s="21"/>
      <c r="M1256" s="21"/>
      <c r="N1256" s="21"/>
      <c r="O1256" s="21">
        <v>50</v>
      </c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>
        <v>35</v>
      </c>
      <c r="AD1256" s="21"/>
      <c r="AE1256" s="21"/>
      <c r="AF1256" s="21"/>
      <c r="AG1256" s="21"/>
      <c r="AH1256" s="21">
        <v>15</v>
      </c>
      <c r="AI1256" s="21"/>
      <c r="AJ1256" s="21"/>
      <c r="AK1256" s="21"/>
      <c r="AL1256" s="21"/>
      <c r="AM1256" s="21"/>
      <c r="AN1256" s="21">
        <v>43</v>
      </c>
      <c r="AO1256" s="21"/>
      <c r="AP1256" s="21"/>
      <c r="AQ1256" s="21"/>
      <c r="AR1256" s="21"/>
      <c r="AS1256" s="21">
        <v>7</v>
      </c>
      <c r="AT1256" s="12" t="str">
        <f>HYPERLINK("http://www.openstreetmap.org/?mlat=33.6903&amp;mlon=44.797&amp;zoom=12#map=12/33.6903/44.797","Maplink1")</f>
        <v>Maplink1</v>
      </c>
      <c r="AU1256" s="12" t="str">
        <f>HYPERLINK("https://www.google.iq/maps/search/+33.6903,44.797/@33.6903,44.797,14z?hl=en","Maplink2")</f>
        <v>Maplink2</v>
      </c>
      <c r="AV1256" s="12" t="str">
        <f>HYPERLINK("http://www.bing.com/maps/?lvl=14&amp;sty=h&amp;cp=33.6903~44.797&amp;sp=point.33.6903_44.797","Maplink3")</f>
        <v>Maplink3</v>
      </c>
    </row>
    <row r="1257" spans="1:48" ht="15" customHeight="1" x14ac:dyDescent="0.25">
      <c r="A1257" s="19">
        <v>23709</v>
      </c>
      <c r="B1257" s="20" t="s">
        <v>14</v>
      </c>
      <c r="C1257" s="20" t="s">
        <v>2286</v>
      </c>
      <c r="D1257" s="20" t="s">
        <v>2381</v>
      </c>
      <c r="E1257" s="20" t="s">
        <v>2382</v>
      </c>
      <c r="F1257" s="20">
        <v>33.563936031300003</v>
      </c>
      <c r="G1257" s="20">
        <v>44.4331331156</v>
      </c>
      <c r="H1257" s="22">
        <v>25</v>
      </c>
      <c r="I1257" s="22">
        <v>150</v>
      </c>
      <c r="J1257" s="21">
        <v>5</v>
      </c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>
        <v>20</v>
      </c>
      <c r="Y1257" s="21"/>
      <c r="Z1257" s="21"/>
      <c r="AA1257" s="21"/>
      <c r="AB1257" s="21"/>
      <c r="AC1257" s="21">
        <v>5</v>
      </c>
      <c r="AD1257" s="21"/>
      <c r="AE1257" s="21"/>
      <c r="AF1257" s="21"/>
      <c r="AG1257" s="21">
        <v>20</v>
      </c>
      <c r="AH1257" s="21"/>
      <c r="AI1257" s="21"/>
      <c r="AJ1257" s="21"/>
      <c r="AK1257" s="21"/>
      <c r="AL1257" s="21">
        <v>25</v>
      </c>
      <c r="AM1257" s="21"/>
      <c r="AN1257" s="21"/>
      <c r="AO1257" s="21"/>
      <c r="AP1257" s="21"/>
      <c r="AQ1257" s="21"/>
      <c r="AR1257" s="21"/>
      <c r="AS1257" s="21"/>
      <c r="AT1257" s="12" t="str">
        <f>HYPERLINK("http://www.openstreetmap.org/?mlat=33.5639&amp;mlon=44.4331&amp;zoom=12#map=12/33.5639/44.4331","Maplink1")</f>
        <v>Maplink1</v>
      </c>
      <c r="AU1257" s="12" t="str">
        <f>HYPERLINK("https://www.google.iq/maps/search/+33.5639,44.4331/@33.5639,44.4331,14z?hl=en","Maplink2")</f>
        <v>Maplink2</v>
      </c>
      <c r="AV1257" s="12" t="str">
        <f>HYPERLINK("http://www.bing.com/maps/?lvl=14&amp;sty=h&amp;cp=33.5639~44.4331&amp;sp=point.33.5639_44.4331","Maplink3")</f>
        <v>Maplink3</v>
      </c>
    </row>
    <row r="1258" spans="1:48" ht="15" customHeight="1" x14ac:dyDescent="0.25">
      <c r="A1258" s="19">
        <v>24776</v>
      </c>
      <c r="B1258" s="20" t="s">
        <v>14</v>
      </c>
      <c r="C1258" s="20" t="s">
        <v>2286</v>
      </c>
      <c r="D1258" s="20" t="s">
        <v>2383</v>
      </c>
      <c r="E1258" s="20" t="s">
        <v>2384</v>
      </c>
      <c r="F1258" s="20">
        <v>33.752865</v>
      </c>
      <c r="G1258" s="20">
        <v>44.667651999999997</v>
      </c>
      <c r="H1258" s="22">
        <v>149</v>
      </c>
      <c r="I1258" s="22">
        <v>894</v>
      </c>
      <c r="J1258" s="21"/>
      <c r="K1258" s="21"/>
      <c r="L1258" s="21"/>
      <c r="M1258" s="21"/>
      <c r="N1258" s="21"/>
      <c r="O1258" s="21">
        <v>142</v>
      </c>
      <c r="P1258" s="21"/>
      <c r="Q1258" s="21"/>
      <c r="R1258" s="21"/>
      <c r="S1258" s="21"/>
      <c r="T1258" s="21"/>
      <c r="U1258" s="21"/>
      <c r="V1258" s="21">
        <v>2</v>
      </c>
      <c r="W1258" s="21"/>
      <c r="X1258" s="21">
        <v>5</v>
      </c>
      <c r="Y1258" s="21"/>
      <c r="Z1258" s="21"/>
      <c r="AA1258" s="21"/>
      <c r="AB1258" s="21">
        <v>149</v>
      </c>
      <c r="AC1258" s="21"/>
      <c r="AD1258" s="21"/>
      <c r="AE1258" s="21"/>
      <c r="AF1258" s="21"/>
      <c r="AG1258" s="21"/>
      <c r="AH1258" s="21"/>
      <c r="AI1258" s="21"/>
      <c r="AJ1258" s="21"/>
      <c r="AK1258" s="21"/>
      <c r="AL1258" s="21">
        <v>2</v>
      </c>
      <c r="AM1258" s="21">
        <v>45</v>
      </c>
      <c r="AN1258" s="21"/>
      <c r="AO1258" s="21">
        <v>102</v>
      </c>
      <c r="AP1258" s="21"/>
      <c r="AQ1258" s="21"/>
      <c r="AR1258" s="21"/>
      <c r="AS1258" s="21"/>
      <c r="AT1258" s="12" t="str">
        <f>HYPERLINK("http://www.openstreetmap.org/?mlat=33.7529&amp;mlon=44.6677&amp;zoom=12#map=12/33.7529/44.6677","Maplink1")</f>
        <v>Maplink1</v>
      </c>
      <c r="AU1258" s="12" t="str">
        <f>HYPERLINK("https://www.google.iq/maps/search/+33.7529,44.6677/@33.7529,44.6677,14z?hl=en","Maplink2")</f>
        <v>Maplink2</v>
      </c>
      <c r="AV1258" s="12" t="str">
        <f>HYPERLINK("http://www.bing.com/maps/?lvl=14&amp;sty=h&amp;cp=33.7529~44.6677&amp;sp=point.33.7529_44.6677","Maplink3")</f>
        <v>Maplink3</v>
      </c>
    </row>
    <row r="1259" spans="1:48" ht="15" customHeight="1" x14ac:dyDescent="0.25">
      <c r="A1259" s="19">
        <v>11208</v>
      </c>
      <c r="B1259" s="20" t="s">
        <v>14</v>
      </c>
      <c r="C1259" s="20" t="s">
        <v>2286</v>
      </c>
      <c r="D1259" s="20" t="s">
        <v>2385</v>
      </c>
      <c r="E1259" s="20" t="s">
        <v>2386</v>
      </c>
      <c r="F1259" s="20">
        <v>33.751911999999997</v>
      </c>
      <c r="G1259" s="20">
        <v>44.665942999999999</v>
      </c>
      <c r="H1259" s="22">
        <v>63</v>
      </c>
      <c r="I1259" s="22">
        <v>378</v>
      </c>
      <c r="J1259" s="21"/>
      <c r="K1259" s="21"/>
      <c r="L1259" s="21"/>
      <c r="M1259" s="21"/>
      <c r="N1259" s="21"/>
      <c r="O1259" s="21">
        <v>63</v>
      </c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>
        <v>20</v>
      </c>
      <c r="AD1259" s="21"/>
      <c r="AE1259" s="21"/>
      <c r="AF1259" s="21"/>
      <c r="AG1259" s="21"/>
      <c r="AH1259" s="21">
        <v>43</v>
      </c>
      <c r="AI1259" s="21"/>
      <c r="AJ1259" s="21"/>
      <c r="AK1259" s="21"/>
      <c r="AL1259" s="21"/>
      <c r="AM1259" s="21"/>
      <c r="AN1259" s="21"/>
      <c r="AO1259" s="21">
        <v>63</v>
      </c>
      <c r="AP1259" s="21"/>
      <c r="AQ1259" s="21"/>
      <c r="AR1259" s="21"/>
      <c r="AS1259" s="21"/>
      <c r="AT1259" s="12" t="str">
        <f>HYPERLINK("http://www.openstreetmap.org/?mlat=33.7519&amp;mlon=44.6659&amp;zoom=12#map=12/33.7519/44.6659","Maplink1")</f>
        <v>Maplink1</v>
      </c>
      <c r="AU1259" s="12" t="str">
        <f>HYPERLINK("https://www.google.iq/maps/search/+33.7519,44.6659/@33.7519,44.6659,14z?hl=en","Maplink2")</f>
        <v>Maplink2</v>
      </c>
      <c r="AV1259" s="12" t="str">
        <f>HYPERLINK("http://www.bing.com/maps/?lvl=14&amp;sty=h&amp;cp=33.7519~44.6659&amp;sp=point.33.7519_44.6659","Maplink3")</f>
        <v>Maplink3</v>
      </c>
    </row>
    <row r="1260" spans="1:48" ht="15" customHeight="1" x14ac:dyDescent="0.25">
      <c r="A1260" s="19">
        <v>11426</v>
      </c>
      <c r="B1260" s="20" t="s">
        <v>14</v>
      </c>
      <c r="C1260" s="20" t="s">
        <v>2286</v>
      </c>
      <c r="D1260" s="20" t="s">
        <v>2387</v>
      </c>
      <c r="E1260" s="20" t="s">
        <v>2388</v>
      </c>
      <c r="F1260" s="20">
        <v>33.750594470000003</v>
      </c>
      <c r="G1260" s="20">
        <v>44.615930650000003</v>
      </c>
      <c r="H1260" s="22">
        <v>10</v>
      </c>
      <c r="I1260" s="22">
        <v>60</v>
      </c>
      <c r="J1260" s="21"/>
      <c r="K1260" s="21"/>
      <c r="L1260" s="21"/>
      <c r="M1260" s="21"/>
      <c r="N1260" s="21"/>
      <c r="O1260" s="21">
        <v>10</v>
      </c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21"/>
      <c r="AH1260" s="21">
        <v>10</v>
      </c>
      <c r="AI1260" s="21"/>
      <c r="AJ1260" s="21"/>
      <c r="AK1260" s="21"/>
      <c r="AL1260" s="21"/>
      <c r="AM1260" s="21"/>
      <c r="AN1260" s="21"/>
      <c r="AO1260" s="21">
        <v>10</v>
      </c>
      <c r="AP1260" s="21"/>
      <c r="AQ1260" s="21"/>
      <c r="AR1260" s="21"/>
      <c r="AS1260" s="21"/>
      <c r="AT1260" s="12" t="str">
        <f>HYPERLINK("http://www.openstreetmap.org/?mlat=33.7506&amp;mlon=44.6159&amp;zoom=12#map=12/33.7506/44.6159","Maplink1")</f>
        <v>Maplink1</v>
      </c>
      <c r="AU1260" s="12" t="str">
        <f>HYPERLINK("https://www.google.iq/maps/search/+33.7506,44.6159/@33.7506,44.6159,14z?hl=en","Maplink2")</f>
        <v>Maplink2</v>
      </c>
      <c r="AV1260" s="12" t="str">
        <f>HYPERLINK("http://www.bing.com/maps/?lvl=14&amp;sty=h&amp;cp=33.7506~44.6159&amp;sp=point.33.7506_44.6159","Maplink3")</f>
        <v>Maplink3</v>
      </c>
    </row>
    <row r="1261" spans="1:48" ht="15" customHeight="1" x14ac:dyDescent="0.25">
      <c r="A1261" s="19">
        <v>24919</v>
      </c>
      <c r="B1261" s="20" t="s">
        <v>14</v>
      </c>
      <c r="C1261" s="20" t="s">
        <v>2286</v>
      </c>
      <c r="D1261" s="20" t="s">
        <v>2389</v>
      </c>
      <c r="E1261" s="20" t="s">
        <v>2390</v>
      </c>
      <c r="F1261" s="20">
        <v>33.800422699999999</v>
      </c>
      <c r="G1261" s="20">
        <v>44.672922079999999</v>
      </c>
      <c r="H1261" s="22">
        <v>18</v>
      </c>
      <c r="I1261" s="22">
        <v>108</v>
      </c>
      <c r="J1261" s="21"/>
      <c r="K1261" s="21"/>
      <c r="L1261" s="21"/>
      <c r="M1261" s="21"/>
      <c r="N1261" s="21"/>
      <c r="O1261" s="21">
        <v>18</v>
      </c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>
        <v>18</v>
      </c>
      <c r="AD1261" s="21"/>
      <c r="AE1261" s="21"/>
      <c r="AF1261" s="21"/>
      <c r="AG1261" s="21"/>
      <c r="AH1261" s="21"/>
      <c r="AI1261" s="21"/>
      <c r="AJ1261" s="21"/>
      <c r="AK1261" s="21"/>
      <c r="AL1261" s="21"/>
      <c r="AM1261" s="21"/>
      <c r="AN1261" s="21"/>
      <c r="AO1261" s="21">
        <v>18</v>
      </c>
      <c r="AP1261" s="21"/>
      <c r="AQ1261" s="21"/>
      <c r="AR1261" s="21"/>
      <c r="AS1261" s="21"/>
      <c r="AT1261" s="12" t="str">
        <f>HYPERLINK("http://www.openstreetmap.org/?mlat=33.8004&amp;mlon=44.6729&amp;zoom=12#map=12/33.8004/44.6729","Maplink1")</f>
        <v>Maplink1</v>
      </c>
      <c r="AU1261" s="12" t="str">
        <f>HYPERLINK("https://www.google.iq/maps/search/+33.8004,44.6729/@33.8004,44.6729,14z?hl=en","Maplink2")</f>
        <v>Maplink2</v>
      </c>
      <c r="AV1261" s="12" t="str">
        <f>HYPERLINK("http://www.bing.com/maps/?lvl=14&amp;sty=h&amp;cp=33.8004~44.6729&amp;sp=point.33.8004_44.6729","Maplink3")</f>
        <v>Maplink3</v>
      </c>
    </row>
    <row r="1262" spans="1:48" ht="15" customHeight="1" x14ac:dyDescent="0.25">
      <c r="A1262" s="19">
        <v>25043</v>
      </c>
      <c r="B1262" s="20" t="s">
        <v>14</v>
      </c>
      <c r="C1262" s="20" t="s">
        <v>2286</v>
      </c>
      <c r="D1262" s="20" t="s">
        <v>2391</v>
      </c>
      <c r="E1262" s="20" t="s">
        <v>2392</v>
      </c>
      <c r="F1262" s="20">
        <v>33.720373519699997</v>
      </c>
      <c r="G1262" s="20">
        <v>44.774222121900003</v>
      </c>
      <c r="H1262" s="22">
        <v>20</v>
      </c>
      <c r="I1262" s="22">
        <v>120</v>
      </c>
      <c r="J1262" s="21"/>
      <c r="K1262" s="21"/>
      <c r="L1262" s="21"/>
      <c r="M1262" s="21"/>
      <c r="N1262" s="21"/>
      <c r="O1262" s="21">
        <v>20</v>
      </c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>
        <v>15</v>
      </c>
      <c r="AD1262" s="21"/>
      <c r="AE1262" s="21"/>
      <c r="AF1262" s="21"/>
      <c r="AG1262" s="21"/>
      <c r="AH1262" s="21">
        <v>5</v>
      </c>
      <c r="AI1262" s="21"/>
      <c r="AJ1262" s="21"/>
      <c r="AK1262" s="21"/>
      <c r="AL1262" s="21"/>
      <c r="AM1262" s="21"/>
      <c r="AN1262" s="21"/>
      <c r="AO1262" s="21">
        <v>20</v>
      </c>
      <c r="AP1262" s="21"/>
      <c r="AQ1262" s="21"/>
      <c r="AR1262" s="21"/>
      <c r="AS1262" s="21"/>
      <c r="AT1262" s="12" t="str">
        <f>HYPERLINK("http://www.openstreetmap.org/?mlat=33.7204&amp;mlon=44.7742&amp;zoom=12#map=12/33.7204/44.7742","Maplink1")</f>
        <v>Maplink1</v>
      </c>
      <c r="AU1262" s="12" t="str">
        <f>HYPERLINK("https://www.google.iq/maps/search/+33.7204,44.7742/@33.7204,44.7742,14z?hl=en","Maplink2")</f>
        <v>Maplink2</v>
      </c>
      <c r="AV1262" s="12" t="str">
        <f>HYPERLINK("http://www.bing.com/maps/?lvl=14&amp;sty=h&amp;cp=33.7204~44.7742&amp;sp=point.33.7204_44.7742","Maplink3")</f>
        <v>Maplink3</v>
      </c>
    </row>
    <row r="1263" spans="1:48" ht="15" customHeight="1" x14ac:dyDescent="0.25">
      <c r="A1263" s="19">
        <v>25053</v>
      </c>
      <c r="B1263" s="20" t="s">
        <v>14</v>
      </c>
      <c r="C1263" s="20" t="s">
        <v>2286</v>
      </c>
      <c r="D1263" s="20" t="s">
        <v>2393</v>
      </c>
      <c r="E1263" s="20" t="s">
        <v>2394</v>
      </c>
      <c r="F1263" s="20">
        <v>33.740680050000002</v>
      </c>
      <c r="G1263" s="20">
        <v>44.81137949</v>
      </c>
      <c r="H1263" s="22">
        <v>7</v>
      </c>
      <c r="I1263" s="22">
        <v>42</v>
      </c>
      <c r="J1263" s="21"/>
      <c r="K1263" s="21"/>
      <c r="L1263" s="21"/>
      <c r="M1263" s="21"/>
      <c r="N1263" s="21"/>
      <c r="O1263" s="21">
        <v>7</v>
      </c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21"/>
      <c r="AH1263" s="21">
        <v>7</v>
      </c>
      <c r="AI1263" s="21"/>
      <c r="AJ1263" s="21"/>
      <c r="AK1263" s="21"/>
      <c r="AL1263" s="21"/>
      <c r="AM1263" s="21"/>
      <c r="AN1263" s="21"/>
      <c r="AO1263" s="21">
        <v>7</v>
      </c>
      <c r="AP1263" s="21"/>
      <c r="AQ1263" s="21"/>
      <c r="AR1263" s="21"/>
      <c r="AS1263" s="21"/>
      <c r="AT1263" s="12" t="str">
        <f>HYPERLINK("http://www.openstreetmap.org/?mlat=33.7407&amp;mlon=44.8114&amp;zoom=12#map=12/33.7407/44.8114","Maplink1")</f>
        <v>Maplink1</v>
      </c>
      <c r="AU1263" s="12" t="str">
        <f>HYPERLINK("https://www.google.iq/maps/search/+33.7407,44.8114/@33.7407,44.8114,14z?hl=en","Maplink2")</f>
        <v>Maplink2</v>
      </c>
      <c r="AV1263" s="12" t="str">
        <f>HYPERLINK("http://www.bing.com/maps/?lvl=14&amp;sty=h&amp;cp=33.7407~44.8114&amp;sp=point.33.7407_44.8114","Maplink3")</f>
        <v>Maplink3</v>
      </c>
    </row>
    <row r="1264" spans="1:48" ht="15" customHeight="1" x14ac:dyDescent="0.25">
      <c r="A1264" s="19">
        <v>25466</v>
      </c>
      <c r="B1264" s="20" t="s">
        <v>14</v>
      </c>
      <c r="C1264" s="20" t="s">
        <v>2286</v>
      </c>
      <c r="D1264" s="20" t="s">
        <v>2395</v>
      </c>
      <c r="E1264" s="20" t="s">
        <v>2396</v>
      </c>
      <c r="F1264" s="20">
        <v>33.749491640000002</v>
      </c>
      <c r="G1264" s="20">
        <v>44.623125649999999</v>
      </c>
      <c r="H1264" s="22">
        <v>15</v>
      </c>
      <c r="I1264" s="22">
        <v>90</v>
      </c>
      <c r="J1264" s="21"/>
      <c r="K1264" s="21"/>
      <c r="L1264" s="21"/>
      <c r="M1264" s="21"/>
      <c r="N1264" s="21"/>
      <c r="O1264" s="21">
        <v>15</v>
      </c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21"/>
      <c r="AH1264" s="21">
        <v>15</v>
      </c>
      <c r="AI1264" s="21"/>
      <c r="AJ1264" s="21"/>
      <c r="AK1264" s="21"/>
      <c r="AL1264" s="21"/>
      <c r="AM1264" s="21">
        <v>15</v>
      </c>
      <c r="AN1264" s="21"/>
      <c r="AO1264" s="21"/>
      <c r="AP1264" s="21"/>
      <c r="AQ1264" s="21"/>
      <c r="AR1264" s="21"/>
      <c r="AS1264" s="21"/>
      <c r="AT1264" s="12" t="str">
        <f>HYPERLINK("http://www.openstreetmap.org/?mlat=33.7495&amp;mlon=44.6231&amp;zoom=12#map=12/33.7495/44.6231","Maplink1")</f>
        <v>Maplink1</v>
      </c>
      <c r="AU1264" s="12" t="str">
        <f>HYPERLINK("https://www.google.iq/maps/search/+33.7495,44.6231/@33.7495,44.6231,14z?hl=en","Maplink2")</f>
        <v>Maplink2</v>
      </c>
      <c r="AV1264" s="12" t="str">
        <f>HYPERLINK("http://www.bing.com/maps/?lvl=14&amp;sty=h&amp;cp=33.7495~44.6231&amp;sp=point.33.7495_44.6231","Maplink3")</f>
        <v>Maplink3</v>
      </c>
    </row>
    <row r="1265" spans="1:48" ht="15" customHeight="1" x14ac:dyDescent="0.25">
      <c r="A1265" s="19">
        <v>25042</v>
      </c>
      <c r="B1265" s="20" t="s">
        <v>14</v>
      </c>
      <c r="C1265" s="20" t="s">
        <v>2286</v>
      </c>
      <c r="D1265" s="20" t="s">
        <v>2397</v>
      </c>
      <c r="E1265" s="20" t="s">
        <v>2398</v>
      </c>
      <c r="F1265" s="20">
        <v>33.687309137600003</v>
      </c>
      <c r="G1265" s="20">
        <v>44.828249800400002</v>
      </c>
      <c r="H1265" s="22">
        <v>18</v>
      </c>
      <c r="I1265" s="22">
        <v>108</v>
      </c>
      <c r="J1265" s="21"/>
      <c r="K1265" s="21"/>
      <c r="L1265" s="21"/>
      <c r="M1265" s="21"/>
      <c r="N1265" s="21"/>
      <c r="O1265" s="21">
        <v>18</v>
      </c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21"/>
      <c r="AH1265" s="21">
        <v>18</v>
      </c>
      <c r="AI1265" s="21"/>
      <c r="AJ1265" s="21"/>
      <c r="AK1265" s="21"/>
      <c r="AL1265" s="21"/>
      <c r="AM1265" s="21"/>
      <c r="AN1265" s="21"/>
      <c r="AO1265" s="21">
        <v>18</v>
      </c>
      <c r="AP1265" s="21"/>
      <c r="AQ1265" s="21"/>
      <c r="AR1265" s="21"/>
      <c r="AS1265" s="21"/>
      <c r="AT1265" s="12" t="str">
        <f>HYPERLINK("http://www.openstreetmap.org/?mlat=33.6873&amp;mlon=44.8282&amp;zoom=12#map=12/33.6873/44.8282","Maplink1")</f>
        <v>Maplink1</v>
      </c>
      <c r="AU1265" s="12" t="str">
        <f>HYPERLINK("https://www.google.iq/maps/search/+33.6873,44.8282/@33.6873,44.8282,14z?hl=en","Maplink2")</f>
        <v>Maplink2</v>
      </c>
      <c r="AV1265" s="12" t="str">
        <f>HYPERLINK("http://www.bing.com/maps/?lvl=14&amp;sty=h&amp;cp=33.6873~44.8282&amp;sp=point.33.6873_44.8282","Maplink3")</f>
        <v>Maplink3</v>
      </c>
    </row>
    <row r="1266" spans="1:48" ht="15" customHeight="1" x14ac:dyDescent="0.25">
      <c r="A1266" s="19">
        <v>11212</v>
      </c>
      <c r="B1266" s="20" t="s">
        <v>14</v>
      </c>
      <c r="C1266" s="20" t="s">
        <v>2286</v>
      </c>
      <c r="D1266" s="20" t="s">
        <v>2399</v>
      </c>
      <c r="E1266" s="20" t="s">
        <v>2400</v>
      </c>
      <c r="F1266" s="20">
        <v>33.740384659999997</v>
      </c>
      <c r="G1266" s="20">
        <v>44.636594700000003</v>
      </c>
      <c r="H1266" s="22">
        <v>5</v>
      </c>
      <c r="I1266" s="22">
        <v>30</v>
      </c>
      <c r="J1266" s="21"/>
      <c r="K1266" s="21"/>
      <c r="L1266" s="21"/>
      <c r="M1266" s="21"/>
      <c r="N1266" s="21"/>
      <c r="O1266" s="21">
        <v>5</v>
      </c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21"/>
      <c r="AH1266" s="21">
        <v>5</v>
      </c>
      <c r="AI1266" s="21"/>
      <c r="AJ1266" s="21"/>
      <c r="AK1266" s="21"/>
      <c r="AL1266" s="21"/>
      <c r="AM1266" s="21"/>
      <c r="AN1266" s="21"/>
      <c r="AO1266" s="21">
        <v>5</v>
      </c>
      <c r="AP1266" s="21"/>
      <c r="AQ1266" s="21"/>
      <c r="AR1266" s="21"/>
      <c r="AS1266" s="21"/>
      <c r="AT1266" s="12" t="str">
        <f>HYPERLINK("http://www.openstreetmap.org/?mlat=33.7404&amp;mlon=44.6366&amp;zoom=12#map=12/33.7404/44.6366","Maplink1")</f>
        <v>Maplink1</v>
      </c>
      <c r="AU1266" s="12" t="str">
        <f>HYPERLINK("https://www.google.iq/maps/search/+33.7404,44.6366/@33.7404,44.6366,14z?hl=en","Maplink2")</f>
        <v>Maplink2</v>
      </c>
      <c r="AV1266" s="12" t="str">
        <f>HYPERLINK("http://www.bing.com/maps/?lvl=14&amp;sty=h&amp;cp=33.7404~44.6366&amp;sp=point.33.7404_44.6366","Maplink3")</f>
        <v>Maplink3</v>
      </c>
    </row>
    <row r="1267" spans="1:48" ht="15" customHeight="1" x14ac:dyDescent="0.25">
      <c r="A1267" s="19">
        <v>24914</v>
      </c>
      <c r="B1267" s="20" t="s">
        <v>14</v>
      </c>
      <c r="C1267" s="20" t="s">
        <v>2286</v>
      </c>
      <c r="D1267" s="20" t="s">
        <v>2401</v>
      </c>
      <c r="E1267" s="20" t="s">
        <v>2402</v>
      </c>
      <c r="F1267" s="20">
        <v>33.718614680000002</v>
      </c>
      <c r="G1267" s="20">
        <v>44.622481010000001</v>
      </c>
      <c r="H1267" s="22">
        <v>31</v>
      </c>
      <c r="I1267" s="22">
        <v>186</v>
      </c>
      <c r="J1267" s="21"/>
      <c r="K1267" s="21"/>
      <c r="L1267" s="21"/>
      <c r="M1267" s="21"/>
      <c r="N1267" s="21"/>
      <c r="O1267" s="21">
        <v>31</v>
      </c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21"/>
      <c r="AH1267" s="21">
        <v>31</v>
      </c>
      <c r="AI1267" s="21"/>
      <c r="AJ1267" s="21"/>
      <c r="AK1267" s="21"/>
      <c r="AL1267" s="21"/>
      <c r="AM1267" s="21"/>
      <c r="AN1267" s="21"/>
      <c r="AO1267" s="21">
        <v>31</v>
      </c>
      <c r="AP1267" s="21"/>
      <c r="AQ1267" s="21"/>
      <c r="AR1267" s="21"/>
      <c r="AS1267" s="21"/>
      <c r="AT1267" s="12" t="str">
        <f>HYPERLINK("http://www.openstreetmap.org/?mlat=33.7186&amp;mlon=44.6225&amp;zoom=12#map=12/33.7186/44.6225","Maplink1")</f>
        <v>Maplink1</v>
      </c>
      <c r="AU1267" s="12" t="str">
        <f>HYPERLINK("https://www.google.iq/maps/search/+33.7186,44.6225/@33.7186,44.6225,14z?hl=en","Maplink2")</f>
        <v>Maplink2</v>
      </c>
      <c r="AV1267" s="12" t="str">
        <f>HYPERLINK("http://www.bing.com/maps/?lvl=14&amp;sty=h&amp;cp=33.7186~44.6225&amp;sp=point.33.7186_44.6225","Maplink3")</f>
        <v>Maplink3</v>
      </c>
    </row>
    <row r="1268" spans="1:48" ht="15" customHeight="1" x14ac:dyDescent="0.25">
      <c r="A1268" s="19">
        <v>11214</v>
      </c>
      <c r="B1268" s="20" t="s">
        <v>14</v>
      </c>
      <c r="C1268" s="20" t="s">
        <v>2286</v>
      </c>
      <c r="D1268" s="20" t="s">
        <v>2403</v>
      </c>
      <c r="E1268" s="20" t="s">
        <v>2404</v>
      </c>
      <c r="F1268" s="20">
        <v>33.811577059999998</v>
      </c>
      <c r="G1268" s="20">
        <v>44.677217259999999</v>
      </c>
      <c r="H1268" s="22">
        <v>50</v>
      </c>
      <c r="I1268" s="22">
        <v>300</v>
      </c>
      <c r="J1268" s="21"/>
      <c r="K1268" s="21"/>
      <c r="L1268" s="21"/>
      <c r="M1268" s="21"/>
      <c r="N1268" s="21"/>
      <c r="O1268" s="21">
        <v>50</v>
      </c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>
        <v>50</v>
      </c>
      <c r="AD1268" s="21"/>
      <c r="AE1268" s="21"/>
      <c r="AF1268" s="21"/>
      <c r="AG1268" s="21"/>
      <c r="AH1268" s="21"/>
      <c r="AI1268" s="21"/>
      <c r="AJ1268" s="21"/>
      <c r="AK1268" s="21"/>
      <c r="AL1268" s="21"/>
      <c r="AM1268" s="21"/>
      <c r="AN1268" s="21"/>
      <c r="AO1268" s="21">
        <v>50</v>
      </c>
      <c r="AP1268" s="21"/>
      <c r="AQ1268" s="21"/>
      <c r="AR1268" s="21"/>
      <c r="AS1268" s="21"/>
      <c r="AT1268" s="12" t="str">
        <f>HYPERLINK("http://www.openstreetmap.org/?mlat=33.8116&amp;mlon=44.6772&amp;zoom=12#map=12/33.8116/44.6772","Maplink1")</f>
        <v>Maplink1</v>
      </c>
      <c r="AU1268" s="12" t="str">
        <f>HYPERLINK("https://www.google.iq/maps/search/+33.8116,44.6772/@33.8116,44.6772,14z?hl=en","Maplink2")</f>
        <v>Maplink2</v>
      </c>
      <c r="AV1268" s="12" t="str">
        <f>HYPERLINK("http://www.bing.com/maps/?lvl=14&amp;sty=h&amp;cp=33.8116~44.6772&amp;sp=point.33.8116_44.6772","Maplink3")</f>
        <v>Maplink3</v>
      </c>
    </row>
    <row r="1269" spans="1:48" ht="15" customHeight="1" x14ac:dyDescent="0.25">
      <c r="A1269" s="19">
        <v>11230</v>
      </c>
      <c r="B1269" s="20" t="s">
        <v>14</v>
      </c>
      <c r="C1269" s="20" t="s">
        <v>2405</v>
      </c>
      <c r="D1269" s="20" t="s">
        <v>2406</v>
      </c>
      <c r="E1269" s="20" t="s">
        <v>2407</v>
      </c>
      <c r="F1269" s="20">
        <v>33.694971396299998</v>
      </c>
      <c r="G1269" s="20">
        <v>45.079813006400002</v>
      </c>
      <c r="H1269" s="22">
        <v>8</v>
      </c>
      <c r="I1269" s="22">
        <v>48</v>
      </c>
      <c r="J1269" s="21"/>
      <c r="K1269" s="21"/>
      <c r="L1269" s="21"/>
      <c r="M1269" s="21"/>
      <c r="N1269" s="21"/>
      <c r="O1269" s="21">
        <v>8</v>
      </c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>
        <v>8</v>
      </c>
      <c r="AD1269" s="21"/>
      <c r="AE1269" s="21"/>
      <c r="AF1269" s="21"/>
      <c r="AG1269" s="21"/>
      <c r="AH1269" s="21"/>
      <c r="AI1269" s="21"/>
      <c r="AJ1269" s="21"/>
      <c r="AK1269" s="21"/>
      <c r="AL1269" s="21"/>
      <c r="AM1269" s="21">
        <v>8</v>
      </c>
      <c r="AN1269" s="21"/>
      <c r="AO1269" s="21"/>
      <c r="AP1269" s="21"/>
      <c r="AQ1269" s="21"/>
      <c r="AR1269" s="21"/>
      <c r="AS1269" s="21"/>
      <c r="AT1269" s="12" t="str">
        <f>HYPERLINK("http://www.openstreetmap.org/?mlat=33.695&amp;mlon=45.0798&amp;zoom=12#map=12/33.695/45.0798","Maplink1")</f>
        <v>Maplink1</v>
      </c>
      <c r="AU1269" s="12" t="str">
        <f>HYPERLINK("https://www.google.iq/maps/search/+33.695,45.0798/@33.695,45.0798,14z?hl=en","Maplink2")</f>
        <v>Maplink2</v>
      </c>
      <c r="AV1269" s="12" t="str">
        <f>HYPERLINK("http://www.bing.com/maps/?lvl=14&amp;sty=h&amp;cp=33.695~45.0798&amp;sp=point.33.695_45.0798","Maplink3")</f>
        <v>Maplink3</v>
      </c>
    </row>
    <row r="1270" spans="1:48" ht="15" customHeight="1" x14ac:dyDescent="0.25">
      <c r="A1270" s="19">
        <v>11338</v>
      </c>
      <c r="B1270" s="20" t="s">
        <v>14</v>
      </c>
      <c r="C1270" s="20" t="s">
        <v>2405</v>
      </c>
      <c r="D1270" s="20" t="s">
        <v>2408</v>
      </c>
      <c r="E1270" s="20" t="s">
        <v>2288</v>
      </c>
      <c r="F1270" s="20">
        <v>33.692334539999997</v>
      </c>
      <c r="G1270" s="20">
        <v>45.065061479999997</v>
      </c>
      <c r="H1270" s="22">
        <v>3</v>
      </c>
      <c r="I1270" s="22">
        <v>18</v>
      </c>
      <c r="J1270" s="21"/>
      <c r="K1270" s="21"/>
      <c r="L1270" s="21"/>
      <c r="M1270" s="21"/>
      <c r="N1270" s="21"/>
      <c r="O1270" s="21">
        <v>3</v>
      </c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21"/>
      <c r="AH1270" s="21">
        <v>3</v>
      </c>
      <c r="AI1270" s="21"/>
      <c r="AJ1270" s="21"/>
      <c r="AK1270" s="21"/>
      <c r="AL1270" s="21"/>
      <c r="AM1270" s="21">
        <v>3</v>
      </c>
      <c r="AN1270" s="21"/>
      <c r="AO1270" s="21"/>
      <c r="AP1270" s="21"/>
      <c r="AQ1270" s="21"/>
      <c r="AR1270" s="21"/>
      <c r="AS1270" s="21"/>
      <c r="AT1270" s="12" t="str">
        <f>HYPERLINK("http://www.openstreetmap.org/?mlat=33.6923&amp;mlon=45.0651&amp;zoom=12#map=12/33.6923/45.0651","Maplink1")</f>
        <v>Maplink1</v>
      </c>
      <c r="AU1270" s="12" t="str">
        <f>HYPERLINK("https://www.google.iq/maps/search/+33.6923,45.0651/@33.6923,45.0651,14z?hl=en","Maplink2")</f>
        <v>Maplink2</v>
      </c>
      <c r="AV1270" s="12" t="str">
        <f>HYPERLINK("http://www.bing.com/maps/?lvl=14&amp;sty=h&amp;cp=33.6923~45.0651&amp;sp=point.33.6923_45.0651","Maplink3")</f>
        <v>Maplink3</v>
      </c>
    </row>
    <row r="1271" spans="1:48" ht="15" customHeight="1" x14ac:dyDescent="0.25">
      <c r="A1271" s="19">
        <v>25238</v>
      </c>
      <c r="B1271" s="20" t="s">
        <v>14</v>
      </c>
      <c r="C1271" s="20" t="s">
        <v>2405</v>
      </c>
      <c r="D1271" s="20" t="s">
        <v>2409</v>
      </c>
      <c r="E1271" s="20" t="s">
        <v>2410</v>
      </c>
      <c r="F1271" s="20">
        <v>33.695120000000003</v>
      </c>
      <c r="G1271" s="20">
        <v>45.077916999999999</v>
      </c>
      <c r="H1271" s="22">
        <v>14</v>
      </c>
      <c r="I1271" s="22">
        <v>84</v>
      </c>
      <c r="J1271" s="21"/>
      <c r="K1271" s="21"/>
      <c r="L1271" s="21"/>
      <c r="M1271" s="21"/>
      <c r="N1271" s="21"/>
      <c r="O1271" s="21">
        <v>14</v>
      </c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>
        <v>8</v>
      </c>
      <c r="AD1271" s="21"/>
      <c r="AE1271" s="21"/>
      <c r="AF1271" s="21"/>
      <c r="AG1271" s="21"/>
      <c r="AH1271" s="21">
        <v>6</v>
      </c>
      <c r="AI1271" s="21"/>
      <c r="AJ1271" s="21"/>
      <c r="AK1271" s="21"/>
      <c r="AL1271" s="21"/>
      <c r="AM1271" s="21">
        <v>14</v>
      </c>
      <c r="AN1271" s="21"/>
      <c r="AO1271" s="21"/>
      <c r="AP1271" s="21"/>
      <c r="AQ1271" s="21"/>
      <c r="AR1271" s="21"/>
      <c r="AS1271" s="21"/>
      <c r="AT1271" s="12" t="str">
        <f>HYPERLINK("http://www.openstreetmap.org/?mlat=33.6951&amp;mlon=45.0779&amp;zoom=12#map=12/33.6951/45.0779","Maplink1")</f>
        <v>Maplink1</v>
      </c>
      <c r="AU1271" s="12" t="str">
        <f>HYPERLINK("https://www.google.iq/maps/search/+33.6951,45.0779/@33.6951,45.0779,14z?hl=en","Maplink2")</f>
        <v>Maplink2</v>
      </c>
      <c r="AV1271" s="12" t="str">
        <f>HYPERLINK("http://www.bing.com/maps/?lvl=14&amp;sty=h&amp;cp=33.6951~45.0779&amp;sp=point.33.6951_45.0779","Maplink3")</f>
        <v>Maplink3</v>
      </c>
    </row>
    <row r="1272" spans="1:48" ht="15" customHeight="1" x14ac:dyDescent="0.25">
      <c r="A1272" s="19">
        <v>11231</v>
      </c>
      <c r="B1272" s="20" t="s">
        <v>14</v>
      </c>
      <c r="C1272" s="20" t="s">
        <v>2405</v>
      </c>
      <c r="D1272" s="20" t="s">
        <v>2411</v>
      </c>
      <c r="E1272" s="20" t="s">
        <v>2412</v>
      </c>
      <c r="F1272" s="20">
        <v>33.6991097919</v>
      </c>
      <c r="G1272" s="20">
        <v>45.078143537999999</v>
      </c>
      <c r="H1272" s="22">
        <v>3</v>
      </c>
      <c r="I1272" s="22">
        <v>18</v>
      </c>
      <c r="J1272" s="21"/>
      <c r="K1272" s="21"/>
      <c r="L1272" s="21"/>
      <c r="M1272" s="21"/>
      <c r="N1272" s="21"/>
      <c r="O1272" s="21">
        <v>3</v>
      </c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21"/>
      <c r="AH1272" s="21">
        <v>3</v>
      </c>
      <c r="AI1272" s="21"/>
      <c r="AJ1272" s="21"/>
      <c r="AK1272" s="21"/>
      <c r="AL1272" s="21"/>
      <c r="AM1272" s="21">
        <v>3</v>
      </c>
      <c r="AN1272" s="21"/>
      <c r="AO1272" s="21"/>
      <c r="AP1272" s="21"/>
      <c r="AQ1272" s="21"/>
      <c r="AR1272" s="21"/>
      <c r="AS1272" s="21"/>
      <c r="AT1272" s="12" t="str">
        <f>HYPERLINK("http://www.openstreetmap.org/?mlat=33.6991&amp;mlon=45.0781&amp;zoom=12#map=12/33.6991/45.0781","Maplink1")</f>
        <v>Maplink1</v>
      </c>
      <c r="AU1272" s="12" t="str">
        <f>HYPERLINK("https://www.google.iq/maps/search/+33.6991,45.0781/@33.6991,45.0781,14z?hl=en","Maplink2")</f>
        <v>Maplink2</v>
      </c>
      <c r="AV1272" s="12" t="str">
        <f>HYPERLINK("http://www.bing.com/maps/?lvl=14&amp;sty=h&amp;cp=33.6991~45.0781&amp;sp=point.33.6991_45.0781","Maplink3")</f>
        <v>Maplink3</v>
      </c>
    </row>
    <row r="1273" spans="1:48" ht="15" customHeight="1" x14ac:dyDescent="0.25">
      <c r="A1273" s="19">
        <v>11226</v>
      </c>
      <c r="B1273" s="20" t="s">
        <v>14</v>
      </c>
      <c r="C1273" s="20" t="s">
        <v>2405</v>
      </c>
      <c r="D1273" s="20" t="s">
        <v>2413</v>
      </c>
      <c r="E1273" s="20" t="s">
        <v>2362</v>
      </c>
      <c r="F1273" s="20">
        <v>33.686665466000001</v>
      </c>
      <c r="G1273" s="20">
        <v>45.065690034699998</v>
      </c>
      <c r="H1273" s="22">
        <v>15</v>
      </c>
      <c r="I1273" s="22">
        <v>90</v>
      </c>
      <c r="J1273" s="21">
        <v>10</v>
      </c>
      <c r="K1273" s="21"/>
      <c r="L1273" s="21"/>
      <c r="M1273" s="21"/>
      <c r="N1273" s="21"/>
      <c r="O1273" s="21">
        <v>5</v>
      </c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>
        <v>5</v>
      </c>
      <c r="AD1273" s="21"/>
      <c r="AE1273" s="21"/>
      <c r="AF1273" s="21"/>
      <c r="AG1273" s="21"/>
      <c r="AH1273" s="21">
        <v>10</v>
      </c>
      <c r="AI1273" s="21"/>
      <c r="AJ1273" s="21"/>
      <c r="AK1273" s="21"/>
      <c r="AL1273" s="21"/>
      <c r="AM1273" s="21">
        <v>14</v>
      </c>
      <c r="AN1273" s="21"/>
      <c r="AO1273" s="21"/>
      <c r="AP1273" s="21">
        <v>1</v>
      </c>
      <c r="AQ1273" s="21"/>
      <c r="AR1273" s="21"/>
      <c r="AS1273" s="21"/>
      <c r="AT1273" s="12" t="str">
        <f>HYPERLINK("http://www.openstreetmap.org/?mlat=33.6867&amp;mlon=45.0657&amp;zoom=12#map=12/33.6867/45.0657","Maplink1")</f>
        <v>Maplink1</v>
      </c>
      <c r="AU1273" s="12" t="str">
        <f>HYPERLINK("https://www.google.iq/maps/search/+33.6867,45.0657/@33.6867,45.0657,14z?hl=en","Maplink2")</f>
        <v>Maplink2</v>
      </c>
      <c r="AV1273" s="12" t="str">
        <f>HYPERLINK("http://www.bing.com/maps/?lvl=14&amp;sty=h&amp;cp=33.6867~45.0657&amp;sp=point.33.6867_45.0657","Maplink3")</f>
        <v>Maplink3</v>
      </c>
    </row>
    <row r="1274" spans="1:48" ht="15" customHeight="1" x14ac:dyDescent="0.25">
      <c r="A1274" s="19">
        <v>11547</v>
      </c>
      <c r="B1274" s="20" t="s">
        <v>14</v>
      </c>
      <c r="C1274" s="20" t="s">
        <v>2405</v>
      </c>
      <c r="D1274" s="20" t="s">
        <v>2414</v>
      </c>
      <c r="E1274" s="20" t="s">
        <v>2415</v>
      </c>
      <c r="F1274" s="20">
        <v>33.6974441224</v>
      </c>
      <c r="G1274" s="20">
        <v>45.063243088299998</v>
      </c>
      <c r="H1274" s="22">
        <v>4</v>
      </c>
      <c r="I1274" s="22">
        <v>24</v>
      </c>
      <c r="J1274" s="21"/>
      <c r="K1274" s="21"/>
      <c r="L1274" s="21"/>
      <c r="M1274" s="21"/>
      <c r="N1274" s="21"/>
      <c r="O1274" s="21">
        <v>4</v>
      </c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>
        <v>4</v>
      </c>
      <c r="AD1274" s="21"/>
      <c r="AE1274" s="21"/>
      <c r="AF1274" s="21"/>
      <c r="AG1274" s="21"/>
      <c r="AH1274" s="21"/>
      <c r="AI1274" s="21"/>
      <c r="AJ1274" s="21"/>
      <c r="AK1274" s="21"/>
      <c r="AL1274" s="21"/>
      <c r="AM1274" s="21">
        <v>4</v>
      </c>
      <c r="AN1274" s="21"/>
      <c r="AO1274" s="21"/>
      <c r="AP1274" s="21"/>
      <c r="AQ1274" s="21"/>
      <c r="AR1274" s="21"/>
      <c r="AS1274" s="21"/>
      <c r="AT1274" s="12" t="str">
        <f>HYPERLINK("http://www.openstreetmap.org/?mlat=33.6974&amp;mlon=45.0632&amp;zoom=12#map=12/33.6974/45.0632","Maplink1")</f>
        <v>Maplink1</v>
      </c>
      <c r="AU1274" s="12" t="str">
        <f>HYPERLINK("https://www.google.iq/maps/search/+33.6974,45.0632/@33.6974,45.0632,14z?hl=en","Maplink2")</f>
        <v>Maplink2</v>
      </c>
      <c r="AV1274" s="12" t="str">
        <f>HYPERLINK("http://www.bing.com/maps/?lvl=14&amp;sty=h&amp;cp=33.6974~45.0632&amp;sp=point.33.6974_45.0632","Maplink3")</f>
        <v>Maplink3</v>
      </c>
    </row>
    <row r="1275" spans="1:48" ht="15" customHeight="1" x14ac:dyDescent="0.25">
      <c r="A1275" s="19">
        <v>11257</v>
      </c>
      <c r="B1275" s="20" t="s">
        <v>14</v>
      </c>
      <c r="C1275" s="20" t="s">
        <v>2405</v>
      </c>
      <c r="D1275" s="20" t="s">
        <v>2416</v>
      </c>
      <c r="E1275" s="20" t="s">
        <v>2417</v>
      </c>
      <c r="F1275" s="20">
        <v>33.742399419999998</v>
      </c>
      <c r="G1275" s="20">
        <v>45.542146019999997</v>
      </c>
      <c r="H1275" s="22">
        <v>75</v>
      </c>
      <c r="I1275" s="22">
        <v>450</v>
      </c>
      <c r="J1275" s="21"/>
      <c r="K1275" s="21"/>
      <c r="L1275" s="21"/>
      <c r="M1275" s="21"/>
      <c r="N1275" s="21"/>
      <c r="O1275" s="21">
        <v>75</v>
      </c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21"/>
      <c r="AH1275" s="21">
        <v>75</v>
      </c>
      <c r="AI1275" s="21"/>
      <c r="AJ1275" s="21"/>
      <c r="AK1275" s="21"/>
      <c r="AL1275" s="21"/>
      <c r="AM1275" s="21"/>
      <c r="AN1275" s="21">
        <v>25</v>
      </c>
      <c r="AO1275" s="21">
        <v>50</v>
      </c>
      <c r="AP1275" s="21"/>
      <c r="AQ1275" s="21"/>
      <c r="AR1275" s="21"/>
      <c r="AS1275" s="21"/>
      <c r="AT1275" s="12" t="str">
        <f>HYPERLINK("http://www.openstreetmap.org/?mlat=33.7424&amp;mlon=45.5421&amp;zoom=12#map=12/33.7424/45.5421","Maplink1")</f>
        <v>Maplink1</v>
      </c>
      <c r="AU1275" s="12" t="str">
        <f>HYPERLINK("https://www.google.iq/maps/search/+33.7424,45.5421/@33.7424,45.5421,14z?hl=en","Maplink2")</f>
        <v>Maplink2</v>
      </c>
      <c r="AV1275" s="12" t="str">
        <f>HYPERLINK("http://www.bing.com/maps/?lvl=14&amp;sty=h&amp;cp=33.7424~45.5421&amp;sp=point.33.7424_45.5421","Maplink3")</f>
        <v>Maplink3</v>
      </c>
    </row>
    <row r="1276" spans="1:48" ht="15" customHeight="1" x14ac:dyDescent="0.25">
      <c r="A1276" s="19">
        <v>10894</v>
      </c>
      <c r="B1276" s="20" t="s">
        <v>14</v>
      </c>
      <c r="C1276" s="20" t="s">
        <v>2405</v>
      </c>
      <c r="D1276" s="20" t="s">
        <v>2418</v>
      </c>
      <c r="E1276" s="20" t="s">
        <v>2419</v>
      </c>
      <c r="F1276" s="20">
        <v>33.745732099999998</v>
      </c>
      <c r="G1276" s="20">
        <v>45.551964750000003</v>
      </c>
      <c r="H1276" s="22">
        <v>102</v>
      </c>
      <c r="I1276" s="22">
        <v>612</v>
      </c>
      <c r="J1276" s="21"/>
      <c r="K1276" s="21"/>
      <c r="L1276" s="21"/>
      <c r="M1276" s="21"/>
      <c r="N1276" s="21"/>
      <c r="O1276" s="21">
        <v>102</v>
      </c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>
        <v>60</v>
      </c>
      <c r="AD1276" s="21"/>
      <c r="AE1276" s="21"/>
      <c r="AF1276" s="21"/>
      <c r="AG1276" s="21"/>
      <c r="AH1276" s="21">
        <v>42</v>
      </c>
      <c r="AI1276" s="21"/>
      <c r="AJ1276" s="21"/>
      <c r="AK1276" s="21"/>
      <c r="AL1276" s="21"/>
      <c r="AM1276" s="21"/>
      <c r="AN1276" s="21">
        <v>90</v>
      </c>
      <c r="AO1276" s="21"/>
      <c r="AP1276" s="21"/>
      <c r="AQ1276" s="21"/>
      <c r="AR1276" s="21"/>
      <c r="AS1276" s="21">
        <v>12</v>
      </c>
      <c r="AT1276" s="12" t="str">
        <f>HYPERLINK("http://www.openstreetmap.org/?mlat=33.7457&amp;mlon=45.552&amp;zoom=12#map=12/33.7457/45.552","Maplink1")</f>
        <v>Maplink1</v>
      </c>
      <c r="AU1276" s="12" t="str">
        <f>HYPERLINK("https://www.google.iq/maps/search/+33.7457,45.552/@33.7457,45.552,14z?hl=en","Maplink2")</f>
        <v>Maplink2</v>
      </c>
      <c r="AV1276" s="12" t="str">
        <f>HYPERLINK("http://www.bing.com/maps/?lvl=14&amp;sty=h&amp;cp=33.7457~45.552&amp;sp=point.33.7457_45.552","Maplink3")</f>
        <v>Maplink3</v>
      </c>
    </row>
    <row r="1277" spans="1:48" ht="15" customHeight="1" x14ac:dyDescent="0.25">
      <c r="A1277" s="19">
        <v>10419</v>
      </c>
      <c r="B1277" s="20" t="s">
        <v>14</v>
      </c>
      <c r="C1277" s="20" t="s">
        <v>2420</v>
      </c>
      <c r="D1277" s="20" t="s">
        <v>2421</v>
      </c>
      <c r="E1277" s="20" t="s">
        <v>2422</v>
      </c>
      <c r="F1277" s="20">
        <v>34.341716310000002</v>
      </c>
      <c r="G1277" s="20">
        <v>45.377914949999997</v>
      </c>
      <c r="H1277" s="22">
        <v>30</v>
      </c>
      <c r="I1277" s="22">
        <v>180</v>
      </c>
      <c r="J1277" s="21"/>
      <c r="K1277" s="21"/>
      <c r="L1277" s="21"/>
      <c r="M1277" s="21"/>
      <c r="N1277" s="21"/>
      <c r="O1277" s="21">
        <v>30</v>
      </c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21"/>
      <c r="AH1277" s="21">
        <v>30</v>
      </c>
      <c r="AI1277" s="21"/>
      <c r="AJ1277" s="21"/>
      <c r="AK1277" s="21"/>
      <c r="AL1277" s="21"/>
      <c r="AM1277" s="21">
        <v>15</v>
      </c>
      <c r="AN1277" s="21">
        <v>15</v>
      </c>
      <c r="AO1277" s="21"/>
      <c r="AP1277" s="21"/>
      <c r="AQ1277" s="21"/>
      <c r="AR1277" s="21"/>
      <c r="AS1277" s="21"/>
      <c r="AT1277" s="12" t="str">
        <f>HYPERLINK("http://www.openstreetmap.org/?mlat=34.3417&amp;mlon=45.3779&amp;zoom=12#map=12/34.3417/45.3779","Maplink1")</f>
        <v>Maplink1</v>
      </c>
      <c r="AU1277" s="12" t="str">
        <f>HYPERLINK("https://www.google.iq/maps/search/+34.3417,45.3779/@34.3417,45.3779,14z?hl=en","Maplink2")</f>
        <v>Maplink2</v>
      </c>
      <c r="AV1277" s="12" t="str">
        <f>HYPERLINK("http://www.bing.com/maps/?lvl=14&amp;sty=h&amp;cp=34.3417~45.3779&amp;sp=point.34.3417_45.3779","Maplink3")</f>
        <v>Maplink3</v>
      </c>
    </row>
    <row r="1278" spans="1:48" ht="15" customHeight="1" x14ac:dyDescent="0.25">
      <c r="A1278" s="19">
        <v>11145</v>
      </c>
      <c r="B1278" s="20" t="s">
        <v>14</v>
      </c>
      <c r="C1278" s="20" t="s">
        <v>2420</v>
      </c>
      <c r="D1278" s="20" t="s">
        <v>2423</v>
      </c>
      <c r="E1278" s="20" t="s">
        <v>2424</v>
      </c>
      <c r="F1278" s="20">
        <v>34.377513559999997</v>
      </c>
      <c r="G1278" s="20">
        <v>45.325277380000003</v>
      </c>
      <c r="H1278" s="22">
        <v>7</v>
      </c>
      <c r="I1278" s="22">
        <v>42</v>
      </c>
      <c r="J1278" s="21"/>
      <c r="K1278" s="21"/>
      <c r="L1278" s="21"/>
      <c r="M1278" s="21"/>
      <c r="N1278" s="21"/>
      <c r="O1278" s="21">
        <v>7</v>
      </c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>
        <v>3</v>
      </c>
      <c r="AD1278" s="21"/>
      <c r="AE1278" s="21"/>
      <c r="AF1278" s="21"/>
      <c r="AG1278" s="21"/>
      <c r="AH1278" s="21">
        <v>4</v>
      </c>
      <c r="AI1278" s="21"/>
      <c r="AJ1278" s="21"/>
      <c r="AK1278" s="21"/>
      <c r="AL1278" s="21"/>
      <c r="AM1278" s="21">
        <v>3</v>
      </c>
      <c r="AN1278" s="21">
        <v>4</v>
      </c>
      <c r="AO1278" s="21"/>
      <c r="AP1278" s="21"/>
      <c r="AQ1278" s="21"/>
      <c r="AR1278" s="21"/>
      <c r="AS1278" s="21"/>
      <c r="AT1278" s="12" t="str">
        <f>HYPERLINK("http://www.openstreetmap.org/?mlat=34.3775&amp;mlon=45.3253&amp;zoom=12#map=12/34.3775/45.3253","Maplink1")</f>
        <v>Maplink1</v>
      </c>
      <c r="AU1278" s="12" t="str">
        <f>HYPERLINK("https://www.google.iq/maps/search/+34.3775,45.3253/@34.3775,45.3253,14z?hl=en","Maplink2")</f>
        <v>Maplink2</v>
      </c>
      <c r="AV1278" s="12" t="str">
        <f>HYPERLINK("http://www.bing.com/maps/?lvl=14&amp;sty=h&amp;cp=34.3775~45.3253&amp;sp=point.34.3775_45.3253","Maplink3")</f>
        <v>Maplink3</v>
      </c>
    </row>
    <row r="1279" spans="1:48" ht="15" customHeight="1" x14ac:dyDescent="0.25">
      <c r="A1279" s="19">
        <v>24388</v>
      </c>
      <c r="B1279" s="20" t="s">
        <v>14</v>
      </c>
      <c r="C1279" s="20" t="s">
        <v>2420</v>
      </c>
      <c r="D1279" s="20" t="s">
        <v>2425</v>
      </c>
      <c r="E1279" s="20" t="s">
        <v>2426</v>
      </c>
      <c r="F1279" s="20">
        <v>34.315760684799997</v>
      </c>
      <c r="G1279" s="20">
        <v>45.3214385542</v>
      </c>
      <c r="H1279" s="22">
        <v>5</v>
      </c>
      <c r="I1279" s="22">
        <v>30</v>
      </c>
      <c r="J1279" s="21"/>
      <c r="K1279" s="21"/>
      <c r="L1279" s="21"/>
      <c r="M1279" s="21"/>
      <c r="N1279" s="21"/>
      <c r="O1279" s="21">
        <v>5</v>
      </c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21"/>
      <c r="AH1279" s="21">
        <v>5</v>
      </c>
      <c r="AI1279" s="21"/>
      <c r="AJ1279" s="21"/>
      <c r="AK1279" s="21"/>
      <c r="AL1279" s="21"/>
      <c r="AM1279" s="21">
        <v>5</v>
      </c>
      <c r="AN1279" s="21"/>
      <c r="AO1279" s="21"/>
      <c r="AP1279" s="21"/>
      <c r="AQ1279" s="21"/>
      <c r="AR1279" s="21"/>
      <c r="AS1279" s="21"/>
      <c r="AT1279" s="12" t="str">
        <f>HYPERLINK("http://www.openstreetmap.org/?mlat=34.3158&amp;mlon=45.3214&amp;zoom=12#map=12/34.3158/45.3214","Maplink1")</f>
        <v>Maplink1</v>
      </c>
      <c r="AU1279" s="12" t="str">
        <f>HYPERLINK("https://www.google.iq/maps/search/+34.3158,45.3214/@34.3158,45.3214,14z?hl=en","Maplink2")</f>
        <v>Maplink2</v>
      </c>
      <c r="AV1279" s="12" t="str">
        <f>HYPERLINK("http://www.bing.com/maps/?lvl=14&amp;sty=h&amp;cp=34.3158~45.3214&amp;sp=point.34.3158_45.3214","Maplink3")</f>
        <v>Maplink3</v>
      </c>
    </row>
    <row r="1280" spans="1:48" ht="15" customHeight="1" x14ac:dyDescent="0.25">
      <c r="A1280" s="19">
        <v>24354</v>
      </c>
      <c r="B1280" s="20" t="s">
        <v>14</v>
      </c>
      <c r="C1280" s="20" t="s">
        <v>2420</v>
      </c>
      <c r="D1280" s="20" t="s">
        <v>2427</v>
      </c>
      <c r="E1280" s="20" t="s">
        <v>2428</v>
      </c>
      <c r="F1280" s="20">
        <v>34.344047889999999</v>
      </c>
      <c r="G1280" s="20">
        <v>45.401012180000002</v>
      </c>
      <c r="H1280" s="22">
        <v>50</v>
      </c>
      <c r="I1280" s="22">
        <v>300</v>
      </c>
      <c r="J1280" s="21"/>
      <c r="K1280" s="21"/>
      <c r="L1280" s="21"/>
      <c r="M1280" s="21"/>
      <c r="N1280" s="21"/>
      <c r="O1280" s="21">
        <v>50</v>
      </c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>
        <v>10</v>
      </c>
      <c r="AD1280" s="21"/>
      <c r="AE1280" s="21"/>
      <c r="AF1280" s="21"/>
      <c r="AG1280" s="21"/>
      <c r="AH1280" s="21">
        <v>40</v>
      </c>
      <c r="AI1280" s="21"/>
      <c r="AJ1280" s="21"/>
      <c r="AK1280" s="21"/>
      <c r="AL1280" s="21"/>
      <c r="AM1280" s="21">
        <v>35</v>
      </c>
      <c r="AN1280" s="21">
        <v>15</v>
      </c>
      <c r="AO1280" s="21"/>
      <c r="AP1280" s="21"/>
      <c r="AQ1280" s="21"/>
      <c r="AR1280" s="21"/>
      <c r="AS1280" s="21"/>
      <c r="AT1280" s="12" t="str">
        <f>HYPERLINK("http://www.openstreetmap.org/?mlat=34.344&amp;mlon=45.401&amp;zoom=12#map=12/34.344/45.401","Maplink1")</f>
        <v>Maplink1</v>
      </c>
      <c r="AU1280" s="12" t="str">
        <f>HYPERLINK("https://www.google.iq/maps/search/+34.344,45.401/@34.344,45.401,14z?hl=en","Maplink2")</f>
        <v>Maplink2</v>
      </c>
      <c r="AV1280" s="12" t="str">
        <f>HYPERLINK("http://www.bing.com/maps/?lvl=14&amp;sty=h&amp;cp=34.344~45.401&amp;sp=point.34.344_45.401","Maplink3")</f>
        <v>Maplink3</v>
      </c>
    </row>
    <row r="1281" spans="1:48" ht="15" customHeight="1" x14ac:dyDescent="0.25">
      <c r="A1281" s="19">
        <v>24510</v>
      </c>
      <c r="B1281" s="20" t="s">
        <v>14</v>
      </c>
      <c r="C1281" s="20" t="s">
        <v>2420</v>
      </c>
      <c r="D1281" s="20" t="s">
        <v>2429</v>
      </c>
      <c r="E1281" s="20" t="s">
        <v>2430</v>
      </c>
      <c r="F1281" s="20">
        <v>34.323453440000002</v>
      </c>
      <c r="G1281" s="20">
        <v>45.277724970000001</v>
      </c>
      <c r="H1281" s="22">
        <v>2</v>
      </c>
      <c r="I1281" s="22">
        <v>12</v>
      </c>
      <c r="J1281" s="21"/>
      <c r="K1281" s="21"/>
      <c r="L1281" s="21"/>
      <c r="M1281" s="21"/>
      <c r="N1281" s="21"/>
      <c r="O1281" s="21">
        <v>2</v>
      </c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>
        <v>2</v>
      </c>
      <c r="AD1281" s="21"/>
      <c r="AE1281" s="21"/>
      <c r="AF1281" s="21"/>
      <c r="AG1281" s="21"/>
      <c r="AH1281" s="21"/>
      <c r="AI1281" s="21"/>
      <c r="AJ1281" s="21"/>
      <c r="AK1281" s="21"/>
      <c r="AL1281" s="21"/>
      <c r="AM1281" s="21">
        <v>2</v>
      </c>
      <c r="AN1281" s="21"/>
      <c r="AO1281" s="21"/>
      <c r="AP1281" s="21"/>
      <c r="AQ1281" s="21"/>
      <c r="AR1281" s="21"/>
      <c r="AS1281" s="21"/>
      <c r="AT1281" s="12" t="str">
        <f>HYPERLINK("http://www.openstreetmap.org/?mlat=34.3235&amp;mlon=45.2777&amp;zoom=12#map=12/34.3235/45.2777","Maplink1")</f>
        <v>Maplink1</v>
      </c>
      <c r="AU1281" s="12" t="str">
        <f>HYPERLINK("https://www.google.iq/maps/search/+34.3235,45.2777/@34.3235,45.2777,14z?hl=en","Maplink2")</f>
        <v>Maplink2</v>
      </c>
      <c r="AV1281" s="12" t="str">
        <f>HYPERLINK("http://www.bing.com/maps/?lvl=14&amp;sty=h&amp;cp=34.3235~45.2777&amp;sp=point.34.3235_45.2777","Maplink3")</f>
        <v>Maplink3</v>
      </c>
    </row>
    <row r="1282" spans="1:48" ht="15" customHeight="1" x14ac:dyDescent="0.25">
      <c r="A1282" s="19">
        <v>33443</v>
      </c>
      <c r="B1282" s="20" t="s">
        <v>14</v>
      </c>
      <c r="C1282" s="20" t="s">
        <v>2420</v>
      </c>
      <c r="D1282" s="20" t="s">
        <v>5977</v>
      </c>
      <c r="E1282" s="20" t="s">
        <v>5978</v>
      </c>
      <c r="F1282" s="20">
        <v>34.345193999999999</v>
      </c>
      <c r="G1282" s="20">
        <v>45.395378999999998</v>
      </c>
      <c r="H1282" s="22">
        <v>7</v>
      </c>
      <c r="I1282" s="22">
        <v>42</v>
      </c>
      <c r="J1282" s="21"/>
      <c r="K1282" s="21"/>
      <c r="L1282" s="21"/>
      <c r="M1282" s="21"/>
      <c r="N1282" s="21"/>
      <c r="O1282" s="21">
        <v>7</v>
      </c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>
        <v>7</v>
      </c>
      <c r="AD1282" s="21"/>
      <c r="AE1282" s="21"/>
      <c r="AF1282" s="21"/>
      <c r="AG1282" s="21"/>
      <c r="AH1282" s="21"/>
      <c r="AI1282" s="21"/>
      <c r="AJ1282" s="21"/>
      <c r="AK1282" s="21"/>
      <c r="AL1282" s="21"/>
      <c r="AM1282" s="21">
        <v>3</v>
      </c>
      <c r="AN1282" s="21">
        <v>4</v>
      </c>
      <c r="AO1282" s="21"/>
      <c r="AP1282" s="21"/>
      <c r="AQ1282" s="21"/>
      <c r="AR1282" s="21"/>
      <c r="AS1282" s="21"/>
      <c r="AT1282" s="12" t="str">
        <f>HYPERLINK("http://www.openstreetmap.org/?mlat=34.3452&amp;mlon=45.3954&amp;zoom=12#map=12/34.3452/45.3954","Maplink1")</f>
        <v>Maplink1</v>
      </c>
      <c r="AU1282" s="12" t="str">
        <f>HYPERLINK("https://www.google.iq/maps/search/+34.3452,45.3954/@34.3452,45.3954,14z?hl=en","Maplink2")</f>
        <v>Maplink2</v>
      </c>
      <c r="AV1282" s="12" t="str">
        <f>HYPERLINK("http://www.bing.com/maps/?lvl=14&amp;sty=h&amp;cp=34.3452~45.3954&amp;sp=point.34.3452_45.3954","Maplink3")</f>
        <v>Maplink3</v>
      </c>
    </row>
    <row r="1283" spans="1:48" ht="15" customHeight="1" x14ac:dyDescent="0.25">
      <c r="A1283" s="19">
        <v>27286</v>
      </c>
      <c r="B1283" s="20" t="s">
        <v>14</v>
      </c>
      <c r="C1283" s="20" t="s">
        <v>2420</v>
      </c>
      <c r="D1283" s="20" t="s">
        <v>2431</v>
      </c>
      <c r="E1283" s="20" t="s">
        <v>2432</v>
      </c>
      <c r="F1283" s="20">
        <v>34.321971779999998</v>
      </c>
      <c r="G1283" s="20">
        <v>45.450311390000003</v>
      </c>
      <c r="H1283" s="22">
        <v>235</v>
      </c>
      <c r="I1283" s="22">
        <v>1410</v>
      </c>
      <c r="J1283" s="21"/>
      <c r="K1283" s="21"/>
      <c r="L1283" s="21"/>
      <c r="M1283" s="21"/>
      <c r="N1283" s="21"/>
      <c r="O1283" s="21">
        <v>235</v>
      </c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>
        <v>235</v>
      </c>
      <c r="AC1283" s="21"/>
      <c r="AD1283" s="21"/>
      <c r="AE1283" s="21"/>
      <c r="AF1283" s="21"/>
      <c r="AG1283" s="21"/>
      <c r="AH1283" s="21"/>
      <c r="AI1283" s="21"/>
      <c r="AJ1283" s="21"/>
      <c r="AK1283" s="21"/>
      <c r="AL1283" s="21"/>
      <c r="AM1283" s="21">
        <v>235</v>
      </c>
      <c r="AN1283" s="21"/>
      <c r="AO1283" s="21"/>
      <c r="AP1283" s="21"/>
      <c r="AQ1283" s="21"/>
      <c r="AR1283" s="21"/>
      <c r="AS1283" s="21"/>
      <c r="AT1283" s="12" t="str">
        <f>HYPERLINK("http://www.openstreetmap.org/?mlat=34.322&amp;mlon=45.4503&amp;zoom=12#map=12/34.322/45.4503","Maplink1")</f>
        <v>Maplink1</v>
      </c>
      <c r="AU1283" s="12" t="str">
        <f>HYPERLINK("https://www.google.iq/maps/search/+34.322,45.4503/@34.322,45.4503,14z?hl=en","Maplink2")</f>
        <v>Maplink2</v>
      </c>
      <c r="AV1283" s="12" t="str">
        <f>HYPERLINK("http://www.bing.com/maps/?lvl=14&amp;sty=h&amp;cp=34.322~45.4503&amp;sp=point.34.322_45.4503","Maplink3")</f>
        <v>Maplink3</v>
      </c>
    </row>
    <row r="1284" spans="1:48" ht="15" customHeight="1" x14ac:dyDescent="0.25">
      <c r="A1284" s="19">
        <v>24405</v>
      </c>
      <c r="B1284" s="20" t="s">
        <v>14</v>
      </c>
      <c r="C1284" s="20" t="s">
        <v>2420</v>
      </c>
      <c r="D1284" s="20" t="s">
        <v>2433</v>
      </c>
      <c r="E1284" s="20" t="s">
        <v>2434</v>
      </c>
      <c r="F1284" s="20">
        <v>34.36027593</v>
      </c>
      <c r="G1284" s="20">
        <v>45.220848650000001</v>
      </c>
      <c r="H1284" s="22">
        <v>17</v>
      </c>
      <c r="I1284" s="22">
        <v>102</v>
      </c>
      <c r="J1284" s="21"/>
      <c r="K1284" s="21"/>
      <c r="L1284" s="21"/>
      <c r="M1284" s="21"/>
      <c r="N1284" s="21"/>
      <c r="O1284" s="21">
        <v>17</v>
      </c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>
        <v>10</v>
      </c>
      <c r="AD1284" s="21"/>
      <c r="AE1284" s="21"/>
      <c r="AF1284" s="21"/>
      <c r="AG1284" s="21"/>
      <c r="AH1284" s="21"/>
      <c r="AI1284" s="21">
        <v>6</v>
      </c>
      <c r="AJ1284" s="21">
        <v>1</v>
      </c>
      <c r="AK1284" s="21"/>
      <c r="AL1284" s="21"/>
      <c r="AM1284" s="21">
        <v>2</v>
      </c>
      <c r="AN1284" s="21">
        <v>10</v>
      </c>
      <c r="AO1284" s="21">
        <v>5</v>
      </c>
      <c r="AP1284" s="21"/>
      <c r="AQ1284" s="21"/>
      <c r="AR1284" s="21"/>
      <c r="AS1284" s="21"/>
      <c r="AT1284" s="12" t="str">
        <f>HYPERLINK("http://www.openstreetmap.org/?mlat=34.3603&amp;mlon=45.2208&amp;zoom=12#map=12/34.3603/45.2208","Maplink1")</f>
        <v>Maplink1</v>
      </c>
      <c r="AU1284" s="12" t="str">
        <f>HYPERLINK("https://www.google.iq/maps/search/+34.3603,45.2208/@34.3603,45.2208,14z?hl=en","Maplink2")</f>
        <v>Maplink2</v>
      </c>
      <c r="AV1284" s="12" t="str">
        <f>HYPERLINK("http://www.bing.com/maps/?lvl=14&amp;sty=h&amp;cp=34.3603~45.2208&amp;sp=point.34.3603_45.2208","Maplink3")</f>
        <v>Maplink3</v>
      </c>
    </row>
    <row r="1285" spans="1:48" ht="15" customHeight="1" x14ac:dyDescent="0.25">
      <c r="A1285" s="19">
        <v>25627</v>
      </c>
      <c r="B1285" s="20" t="s">
        <v>14</v>
      </c>
      <c r="C1285" s="20" t="s">
        <v>2420</v>
      </c>
      <c r="D1285" s="20" t="s">
        <v>2435</v>
      </c>
      <c r="E1285" s="20" t="s">
        <v>2436</v>
      </c>
      <c r="F1285" s="20">
        <v>34.352093349999997</v>
      </c>
      <c r="G1285" s="20">
        <v>45.243790529999998</v>
      </c>
      <c r="H1285" s="22">
        <v>8</v>
      </c>
      <c r="I1285" s="22">
        <v>48</v>
      </c>
      <c r="J1285" s="21"/>
      <c r="K1285" s="21"/>
      <c r="L1285" s="21"/>
      <c r="M1285" s="21"/>
      <c r="N1285" s="21"/>
      <c r="O1285" s="21">
        <v>8</v>
      </c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>
        <v>8</v>
      </c>
      <c r="AD1285" s="21"/>
      <c r="AE1285" s="21"/>
      <c r="AF1285" s="21"/>
      <c r="AG1285" s="21"/>
      <c r="AH1285" s="21"/>
      <c r="AI1285" s="21"/>
      <c r="AJ1285" s="21"/>
      <c r="AK1285" s="21"/>
      <c r="AL1285" s="21"/>
      <c r="AM1285" s="21">
        <v>8</v>
      </c>
      <c r="AN1285" s="21"/>
      <c r="AO1285" s="21"/>
      <c r="AP1285" s="21"/>
      <c r="AQ1285" s="21"/>
      <c r="AR1285" s="21"/>
      <c r="AS1285" s="21"/>
      <c r="AT1285" s="12" t="str">
        <f>HYPERLINK("http://www.openstreetmap.org/?mlat=34.3521&amp;mlon=45.2438&amp;zoom=12#map=12/34.3521/45.2438","Maplink1")</f>
        <v>Maplink1</v>
      </c>
      <c r="AU1285" s="12" t="str">
        <f>HYPERLINK("https://www.google.iq/maps/search/+34.3521,45.2438/@34.3521,45.2438,14z?hl=en","Maplink2")</f>
        <v>Maplink2</v>
      </c>
      <c r="AV1285" s="12" t="str">
        <f>HYPERLINK("http://www.bing.com/maps/?lvl=14&amp;sty=h&amp;cp=34.3521~45.2438&amp;sp=point.34.3521_45.2438","Maplink3")</f>
        <v>Maplink3</v>
      </c>
    </row>
    <row r="1286" spans="1:48" ht="15" customHeight="1" x14ac:dyDescent="0.25">
      <c r="A1286" s="19">
        <v>25341</v>
      </c>
      <c r="B1286" s="20" t="s">
        <v>14</v>
      </c>
      <c r="C1286" s="20" t="s">
        <v>2420</v>
      </c>
      <c r="D1286" s="20" t="s">
        <v>2437</v>
      </c>
      <c r="E1286" s="20" t="s">
        <v>2438</v>
      </c>
      <c r="F1286" s="20">
        <v>34.364014070000003</v>
      </c>
      <c r="G1286" s="20">
        <v>45.380967980000001</v>
      </c>
      <c r="H1286" s="22">
        <v>30</v>
      </c>
      <c r="I1286" s="22">
        <v>180</v>
      </c>
      <c r="J1286" s="21"/>
      <c r="K1286" s="21"/>
      <c r="L1286" s="21">
        <v>2</v>
      </c>
      <c r="M1286" s="21"/>
      <c r="N1286" s="21"/>
      <c r="O1286" s="21">
        <v>28</v>
      </c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>
        <v>8</v>
      </c>
      <c r="AD1286" s="21"/>
      <c r="AE1286" s="21"/>
      <c r="AF1286" s="21"/>
      <c r="AG1286" s="21"/>
      <c r="AH1286" s="21">
        <v>22</v>
      </c>
      <c r="AI1286" s="21"/>
      <c r="AJ1286" s="21"/>
      <c r="AK1286" s="21"/>
      <c r="AL1286" s="21"/>
      <c r="AM1286" s="21">
        <v>30</v>
      </c>
      <c r="AN1286" s="21"/>
      <c r="AO1286" s="21"/>
      <c r="AP1286" s="21"/>
      <c r="AQ1286" s="21"/>
      <c r="AR1286" s="21"/>
      <c r="AS1286" s="21"/>
      <c r="AT1286" s="12" t="str">
        <f>HYPERLINK("http://www.openstreetmap.org/?mlat=34.364&amp;mlon=45.381&amp;zoom=12#map=12/34.364/45.381","Maplink1")</f>
        <v>Maplink1</v>
      </c>
      <c r="AU1286" s="12" t="str">
        <f>HYPERLINK("https://www.google.iq/maps/search/+34.364,45.381/@34.364,45.381,14z?hl=en","Maplink2")</f>
        <v>Maplink2</v>
      </c>
      <c r="AV1286" s="12" t="str">
        <f>HYPERLINK("http://www.bing.com/maps/?lvl=14&amp;sty=h&amp;cp=34.364~45.381&amp;sp=point.34.364_45.381","Maplink3")</f>
        <v>Maplink3</v>
      </c>
    </row>
    <row r="1287" spans="1:48" ht="15" customHeight="1" x14ac:dyDescent="0.25">
      <c r="A1287" s="19">
        <v>24386</v>
      </c>
      <c r="B1287" s="20" t="s">
        <v>14</v>
      </c>
      <c r="C1287" s="20" t="s">
        <v>2420</v>
      </c>
      <c r="D1287" s="20" t="s">
        <v>2439</v>
      </c>
      <c r="E1287" s="20" t="s">
        <v>2440</v>
      </c>
      <c r="F1287" s="20">
        <v>34.384427129999999</v>
      </c>
      <c r="G1287" s="20">
        <v>45.291829870000001</v>
      </c>
      <c r="H1287" s="22">
        <v>2</v>
      </c>
      <c r="I1287" s="22">
        <v>12</v>
      </c>
      <c r="J1287" s="21"/>
      <c r="K1287" s="21"/>
      <c r="L1287" s="21"/>
      <c r="M1287" s="21"/>
      <c r="N1287" s="21"/>
      <c r="O1287" s="21">
        <v>2</v>
      </c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>
        <v>2</v>
      </c>
      <c r="AD1287" s="21"/>
      <c r="AE1287" s="21"/>
      <c r="AF1287" s="21"/>
      <c r="AG1287" s="21"/>
      <c r="AH1287" s="21"/>
      <c r="AI1287" s="21"/>
      <c r="AJ1287" s="21"/>
      <c r="AK1287" s="21"/>
      <c r="AL1287" s="21"/>
      <c r="AM1287" s="21">
        <v>2</v>
      </c>
      <c r="AN1287" s="21"/>
      <c r="AO1287" s="21"/>
      <c r="AP1287" s="21"/>
      <c r="AQ1287" s="21"/>
      <c r="AR1287" s="21"/>
      <c r="AS1287" s="21"/>
      <c r="AT1287" s="12" t="str">
        <f>HYPERLINK("http://www.openstreetmap.org/?mlat=34.3844&amp;mlon=45.2918&amp;zoom=12#map=12/34.3844/45.2918","Maplink1")</f>
        <v>Maplink1</v>
      </c>
      <c r="AU1287" s="12" t="str">
        <f>HYPERLINK("https://www.google.iq/maps/search/+34.3844,45.2918/@34.3844,45.2918,14z?hl=en","Maplink2")</f>
        <v>Maplink2</v>
      </c>
      <c r="AV1287" s="12" t="str">
        <f>HYPERLINK("http://www.bing.com/maps/?lvl=14&amp;sty=h&amp;cp=34.3844~45.2918&amp;sp=point.34.3844_45.2918","Maplink3")</f>
        <v>Maplink3</v>
      </c>
    </row>
    <row r="1288" spans="1:48" ht="15" customHeight="1" x14ac:dyDescent="0.25">
      <c r="A1288" s="19">
        <v>24404</v>
      </c>
      <c r="B1288" s="20" t="s">
        <v>14</v>
      </c>
      <c r="C1288" s="20" t="s">
        <v>2420</v>
      </c>
      <c r="D1288" s="20" t="s">
        <v>2441</v>
      </c>
      <c r="E1288" s="20" t="s">
        <v>2442</v>
      </c>
      <c r="F1288" s="20">
        <v>34.367156809999997</v>
      </c>
      <c r="G1288" s="20">
        <v>45.243923610000003</v>
      </c>
      <c r="H1288" s="22">
        <v>12</v>
      </c>
      <c r="I1288" s="22">
        <v>72</v>
      </c>
      <c r="J1288" s="21"/>
      <c r="K1288" s="21"/>
      <c r="L1288" s="21"/>
      <c r="M1288" s="21"/>
      <c r="N1288" s="21"/>
      <c r="O1288" s="21">
        <v>12</v>
      </c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21"/>
      <c r="AH1288" s="21"/>
      <c r="AI1288" s="21"/>
      <c r="AJ1288" s="21">
        <v>12</v>
      </c>
      <c r="AK1288" s="21"/>
      <c r="AL1288" s="21"/>
      <c r="AM1288" s="21">
        <v>4</v>
      </c>
      <c r="AN1288" s="21"/>
      <c r="AO1288" s="21">
        <v>8</v>
      </c>
      <c r="AP1288" s="21"/>
      <c r="AQ1288" s="21"/>
      <c r="AR1288" s="21"/>
      <c r="AS1288" s="21"/>
      <c r="AT1288" s="12" t="str">
        <f>HYPERLINK("http://www.openstreetmap.org/?mlat=34.3672&amp;mlon=45.2439&amp;zoom=12#map=12/34.3672/45.2439","Maplink1")</f>
        <v>Maplink1</v>
      </c>
      <c r="AU1288" s="12" t="str">
        <f>HYPERLINK("https://www.google.iq/maps/search/+34.3672,45.2439/@34.3672,45.2439,14z?hl=en","Maplink2")</f>
        <v>Maplink2</v>
      </c>
      <c r="AV1288" s="12" t="str">
        <f>HYPERLINK("http://www.bing.com/maps/?lvl=14&amp;sty=h&amp;cp=34.3672~45.2439&amp;sp=point.34.3672_45.2439","Maplink3")</f>
        <v>Maplink3</v>
      </c>
    </row>
    <row r="1289" spans="1:48" ht="15" customHeight="1" x14ac:dyDescent="0.25">
      <c r="A1289" s="19">
        <v>24407</v>
      </c>
      <c r="B1289" s="20" t="s">
        <v>14</v>
      </c>
      <c r="C1289" s="20" t="s">
        <v>2420</v>
      </c>
      <c r="D1289" s="20" t="s">
        <v>2443</v>
      </c>
      <c r="E1289" s="20" t="s">
        <v>2444</v>
      </c>
      <c r="F1289" s="20">
        <v>34.399876030000001</v>
      </c>
      <c r="G1289" s="20">
        <v>45.236506169999998</v>
      </c>
      <c r="H1289" s="22">
        <v>28</v>
      </c>
      <c r="I1289" s="22">
        <v>168</v>
      </c>
      <c r="J1289" s="21"/>
      <c r="K1289" s="21"/>
      <c r="L1289" s="21"/>
      <c r="M1289" s="21"/>
      <c r="N1289" s="21"/>
      <c r="O1289" s="21">
        <v>28</v>
      </c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>
        <v>10</v>
      </c>
      <c r="AD1289" s="21"/>
      <c r="AE1289" s="21"/>
      <c r="AF1289" s="21"/>
      <c r="AG1289" s="21"/>
      <c r="AH1289" s="21"/>
      <c r="AI1289" s="21"/>
      <c r="AJ1289" s="21">
        <v>18</v>
      </c>
      <c r="AK1289" s="21"/>
      <c r="AL1289" s="21"/>
      <c r="AM1289" s="21">
        <v>28</v>
      </c>
      <c r="AN1289" s="21"/>
      <c r="AO1289" s="21"/>
      <c r="AP1289" s="21"/>
      <c r="AQ1289" s="21"/>
      <c r="AR1289" s="21"/>
      <c r="AS1289" s="21"/>
      <c r="AT1289" s="12" t="str">
        <f>HYPERLINK("http://www.openstreetmap.org/?mlat=34.3999&amp;mlon=45.2365&amp;zoom=12#map=12/34.3999/45.2365","Maplink1")</f>
        <v>Maplink1</v>
      </c>
      <c r="AU1289" s="12" t="str">
        <f>HYPERLINK("https://www.google.iq/maps/search/+34.3999,45.2365/@34.3999,45.2365,14z?hl=en","Maplink2")</f>
        <v>Maplink2</v>
      </c>
      <c r="AV1289" s="12" t="str">
        <f>HYPERLINK("http://www.bing.com/maps/?lvl=14&amp;sty=h&amp;cp=34.3999~45.2365&amp;sp=point.34.3999_45.2365","Maplink3")</f>
        <v>Maplink3</v>
      </c>
    </row>
    <row r="1290" spans="1:48" ht="15" customHeight="1" x14ac:dyDescent="0.25">
      <c r="A1290" s="19">
        <v>24395</v>
      </c>
      <c r="B1290" s="20" t="s">
        <v>14</v>
      </c>
      <c r="C1290" s="20" t="s">
        <v>2420</v>
      </c>
      <c r="D1290" s="20" t="s">
        <v>2445</v>
      </c>
      <c r="E1290" s="20" t="s">
        <v>123</v>
      </c>
      <c r="F1290" s="20">
        <v>34.348568890000003</v>
      </c>
      <c r="G1290" s="20">
        <v>45.407521889999998</v>
      </c>
      <c r="H1290" s="22">
        <v>23</v>
      </c>
      <c r="I1290" s="22">
        <v>138</v>
      </c>
      <c r="J1290" s="21"/>
      <c r="K1290" s="21"/>
      <c r="L1290" s="21"/>
      <c r="M1290" s="21"/>
      <c r="N1290" s="21"/>
      <c r="O1290" s="21">
        <v>23</v>
      </c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21"/>
      <c r="AH1290" s="21">
        <v>20</v>
      </c>
      <c r="AI1290" s="21"/>
      <c r="AJ1290" s="21">
        <v>3</v>
      </c>
      <c r="AK1290" s="21"/>
      <c r="AL1290" s="21"/>
      <c r="AM1290" s="21">
        <v>18</v>
      </c>
      <c r="AN1290" s="21">
        <v>5</v>
      </c>
      <c r="AO1290" s="21"/>
      <c r="AP1290" s="21"/>
      <c r="AQ1290" s="21"/>
      <c r="AR1290" s="21"/>
      <c r="AS1290" s="21"/>
      <c r="AT1290" s="12" t="str">
        <f>HYPERLINK("http://www.openstreetmap.org/?mlat=34.3486&amp;mlon=45.4075&amp;zoom=12#map=12/34.3486/45.4075","Maplink1")</f>
        <v>Maplink1</v>
      </c>
      <c r="AU1290" s="12" t="str">
        <f>HYPERLINK("https://www.google.iq/maps/search/+34.3486,45.4075/@34.3486,45.4075,14z?hl=en","Maplink2")</f>
        <v>Maplink2</v>
      </c>
      <c r="AV1290" s="12" t="str">
        <f>HYPERLINK("http://www.bing.com/maps/?lvl=14&amp;sty=h&amp;cp=34.3486~45.4075&amp;sp=point.34.3486_45.4075","Maplink3")</f>
        <v>Maplink3</v>
      </c>
    </row>
    <row r="1291" spans="1:48" ht="15" customHeight="1" x14ac:dyDescent="0.25">
      <c r="A1291" s="19">
        <v>10676</v>
      </c>
      <c r="B1291" s="20" t="s">
        <v>14</v>
      </c>
      <c r="C1291" s="20" t="s">
        <v>2420</v>
      </c>
      <c r="D1291" s="20" t="s">
        <v>2446</v>
      </c>
      <c r="E1291" s="20" t="s">
        <v>2447</v>
      </c>
      <c r="F1291" s="20">
        <v>34.33151651</v>
      </c>
      <c r="G1291" s="20">
        <v>45.399610979999999</v>
      </c>
      <c r="H1291" s="22">
        <v>20</v>
      </c>
      <c r="I1291" s="22">
        <v>120</v>
      </c>
      <c r="J1291" s="21"/>
      <c r="K1291" s="21"/>
      <c r="L1291" s="21"/>
      <c r="M1291" s="21"/>
      <c r="N1291" s="21"/>
      <c r="O1291" s="21">
        <v>20</v>
      </c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>
        <v>20</v>
      </c>
      <c r="AD1291" s="21"/>
      <c r="AE1291" s="21"/>
      <c r="AF1291" s="21"/>
      <c r="AG1291" s="21"/>
      <c r="AH1291" s="21"/>
      <c r="AI1291" s="21"/>
      <c r="AJ1291" s="21"/>
      <c r="AK1291" s="21"/>
      <c r="AL1291" s="21"/>
      <c r="AM1291" s="21">
        <v>20</v>
      </c>
      <c r="AN1291" s="21"/>
      <c r="AO1291" s="21"/>
      <c r="AP1291" s="21"/>
      <c r="AQ1291" s="21"/>
      <c r="AR1291" s="21"/>
      <c r="AS1291" s="21"/>
      <c r="AT1291" s="12" t="str">
        <f>HYPERLINK("http://www.openstreetmap.org/?mlat=34.3315&amp;mlon=45.3996&amp;zoom=12#map=12/34.3315/45.3996","Maplink1")</f>
        <v>Maplink1</v>
      </c>
      <c r="AU1291" s="12" t="str">
        <f>HYPERLINK("https://www.google.iq/maps/search/+34.3315,45.3996/@34.3315,45.3996,14z?hl=en","Maplink2")</f>
        <v>Maplink2</v>
      </c>
      <c r="AV1291" s="12" t="str">
        <f>HYPERLINK("http://www.bing.com/maps/?lvl=14&amp;sty=h&amp;cp=34.3315~45.3996&amp;sp=point.34.3315_45.3996","Maplink3")</f>
        <v>Maplink3</v>
      </c>
    </row>
    <row r="1292" spans="1:48" ht="15" customHeight="1" x14ac:dyDescent="0.25">
      <c r="A1292" s="19">
        <v>24352</v>
      </c>
      <c r="B1292" s="20" t="s">
        <v>14</v>
      </c>
      <c r="C1292" s="20" t="s">
        <v>2420</v>
      </c>
      <c r="D1292" s="20" t="s">
        <v>2448</v>
      </c>
      <c r="E1292" s="20" t="s">
        <v>2449</v>
      </c>
      <c r="F1292" s="20">
        <v>34.301654360000001</v>
      </c>
      <c r="G1292" s="20">
        <v>45.346879299999998</v>
      </c>
      <c r="H1292" s="22">
        <v>17</v>
      </c>
      <c r="I1292" s="22">
        <v>102</v>
      </c>
      <c r="J1292" s="21"/>
      <c r="K1292" s="21"/>
      <c r="L1292" s="21"/>
      <c r="M1292" s="21"/>
      <c r="N1292" s="21"/>
      <c r="O1292" s="21">
        <v>17</v>
      </c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21"/>
      <c r="AH1292" s="21">
        <v>5</v>
      </c>
      <c r="AI1292" s="21"/>
      <c r="AJ1292" s="21">
        <v>12</v>
      </c>
      <c r="AK1292" s="21"/>
      <c r="AL1292" s="21"/>
      <c r="AM1292" s="21">
        <v>17</v>
      </c>
      <c r="AN1292" s="21"/>
      <c r="AO1292" s="21"/>
      <c r="AP1292" s="21"/>
      <c r="AQ1292" s="21"/>
      <c r="AR1292" s="21"/>
      <c r="AS1292" s="21"/>
      <c r="AT1292" s="12" t="str">
        <f>HYPERLINK("http://www.openstreetmap.org/?mlat=34.3017&amp;mlon=45.3469&amp;zoom=12#map=12/34.3017/45.3469","Maplink1")</f>
        <v>Maplink1</v>
      </c>
      <c r="AU1292" s="12" t="str">
        <f>HYPERLINK("https://www.google.iq/maps/search/+34.3017,45.3469/@34.3017,45.3469,14z?hl=en","Maplink2")</f>
        <v>Maplink2</v>
      </c>
      <c r="AV1292" s="12" t="str">
        <f>HYPERLINK("http://www.bing.com/maps/?lvl=14&amp;sty=h&amp;cp=34.3017~45.3469&amp;sp=point.34.3017_45.3469","Maplink3")</f>
        <v>Maplink3</v>
      </c>
    </row>
    <row r="1293" spans="1:48" ht="15" customHeight="1" x14ac:dyDescent="0.25">
      <c r="A1293" s="19">
        <v>25257</v>
      </c>
      <c r="B1293" s="20" t="s">
        <v>14</v>
      </c>
      <c r="C1293" s="20" t="s">
        <v>2420</v>
      </c>
      <c r="D1293" s="20" t="s">
        <v>2450</v>
      </c>
      <c r="E1293" s="20" t="s">
        <v>2451</v>
      </c>
      <c r="F1293" s="20">
        <v>34.317932450000001</v>
      </c>
      <c r="G1293" s="20">
        <v>45.362310450000003</v>
      </c>
      <c r="H1293" s="22">
        <v>350</v>
      </c>
      <c r="I1293" s="22">
        <v>2100</v>
      </c>
      <c r="J1293" s="21"/>
      <c r="K1293" s="21"/>
      <c r="L1293" s="21"/>
      <c r="M1293" s="21"/>
      <c r="N1293" s="21"/>
      <c r="O1293" s="21">
        <v>350</v>
      </c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>
        <v>15</v>
      </c>
      <c r="AD1293" s="21"/>
      <c r="AE1293" s="21"/>
      <c r="AF1293" s="21"/>
      <c r="AG1293" s="21"/>
      <c r="AH1293" s="21">
        <v>225</v>
      </c>
      <c r="AI1293" s="21"/>
      <c r="AJ1293" s="21">
        <v>110</v>
      </c>
      <c r="AK1293" s="21"/>
      <c r="AL1293" s="21"/>
      <c r="AM1293" s="21">
        <v>325</v>
      </c>
      <c r="AN1293" s="21">
        <v>25</v>
      </c>
      <c r="AO1293" s="21"/>
      <c r="AP1293" s="21"/>
      <c r="AQ1293" s="21"/>
      <c r="AR1293" s="21"/>
      <c r="AS1293" s="21"/>
      <c r="AT1293" s="12" t="str">
        <f>HYPERLINK("http://www.openstreetmap.org/?mlat=34.3179&amp;mlon=45.3623&amp;zoom=12#map=12/34.3179/45.3623","Maplink1")</f>
        <v>Maplink1</v>
      </c>
      <c r="AU1293" s="12" t="str">
        <f>HYPERLINK("https://www.google.iq/maps/search/+34.3179,45.3623/@34.3179,45.3623,14z?hl=en","Maplink2")</f>
        <v>Maplink2</v>
      </c>
      <c r="AV1293" s="12" t="str">
        <f>HYPERLINK("http://www.bing.com/maps/?lvl=14&amp;sty=h&amp;cp=34.3179~45.3623&amp;sp=point.34.3179_45.3623","Maplink3")</f>
        <v>Maplink3</v>
      </c>
    </row>
    <row r="1294" spans="1:48" ht="15" customHeight="1" x14ac:dyDescent="0.25">
      <c r="A1294" s="19">
        <v>24400</v>
      </c>
      <c r="B1294" s="20" t="s">
        <v>14</v>
      </c>
      <c r="C1294" s="20" t="s">
        <v>2420</v>
      </c>
      <c r="D1294" s="20" t="s">
        <v>2452</v>
      </c>
      <c r="E1294" s="20" t="s">
        <v>2453</v>
      </c>
      <c r="F1294" s="20">
        <v>34.3566254777</v>
      </c>
      <c r="G1294" s="20">
        <v>45.240180803199998</v>
      </c>
      <c r="H1294" s="22">
        <v>8</v>
      </c>
      <c r="I1294" s="22">
        <v>48</v>
      </c>
      <c r="J1294" s="21"/>
      <c r="K1294" s="21"/>
      <c r="L1294" s="21"/>
      <c r="M1294" s="21"/>
      <c r="N1294" s="21"/>
      <c r="O1294" s="21">
        <v>8</v>
      </c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21"/>
      <c r="AH1294" s="21">
        <v>5</v>
      </c>
      <c r="AI1294" s="21"/>
      <c r="AJ1294" s="21">
        <v>3</v>
      </c>
      <c r="AK1294" s="21"/>
      <c r="AL1294" s="21"/>
      <c r="AM1294" s="21">
        <v>3</v>
      </c>
      <c r="AN1294" s="21">
        <v>5</v>
      </c>
      <c r="AO1294" s="21"/>
      <c r="AP1294" s="21"/>
      <c r="AQ1294" s="21"/>
      <c r="AR1294" s="21"/>
      <c r="AS1294" s="21"/>
      <c r="AT1294" s="12" t="str">
        <f>HYPERLINK("http://www.openstreetmap.org/?mlat=34.3566&amp;mlon=45.2402&amp;zoom=12#map=12/34.3566/45.2402","Maplink1")</f>
        <v>Maplink1</v>
      </c>
      <c r="AU1294" s="12" t="str">
        <f>HYPERLINK("https://www.google.iq/maps/search/+34.3566,45.2402/@34.3566,45.2402,14z?hl=en","Maplink2")</f>
        <v>Maplink2</v>
      </c>
      <c r="AV1294" s="12" t="str">
        <f>HYPERLINK("http://www.bing.com/maps/?lvl=14&amp;sty=h&amp;cp=34.3566~45.2402&amp;sp=point.34.3566_45.2402","Maplink3")</f>
        <v>Maplink3</v>
      </c>
    </row>
    <row r="1295" spans="1:48" ht="15" customHeight="1" x14ac:dyDescent="0.25">
      <c r="A1295" s="19">
        <v>27296</v>
      </c>
      <c r="B1295" s="20" t="s">
        <v>14</v>
      </c>
      <c r="C1295" s="20" t="s">
        <v>2420</v>
      </c>
      <c r="D1295" s="20" t="s">
        <v>2454</v>
      </c>
      <c r="E1295" s="20" t="s">
        <v>2455</v>
      </c>
      <c r="F1295" s="20">
        <v>34.314968489999998</v>
      </c>
      <c r="G1295" s="20">
        <v>45.402947070000003</v>
      </c>
      <c r="H1295" s="22">
        <v>47</v>
      </c>
      <c r="I1295" s="22">
        <v>282</v>
      </c>
      <c r="J1295" s="21"/>
      <c r="K1295" s="21"/>
      <c r="L1295" s="21"/>
      <c r="M1295" s="21"/>
      <c r="N1295" s="21"/>
      <c r="O1295" s="21">
        <v>47</v>
      </c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>
        <v>2</v>
      </c>
      <c r="AD1295" s="21"/>
      <c r="AE1295" s="21"/>
      <c r="AF1295" s="21"/>
      <c r="AG1295" s="21"/>
      <c r="AH1295" s="21">
        <v>45</v>
      </c>
      <c r="AI1295" s="21"/>
      <c r="AJ1295" s="21"/>
      <c r="AK1295" s="21"/>
      <c r="AL1295" s="21"/>
      <c r="AM1295" s="21">
        <v>17</v>
      </c>
      <c r="AN1295" s="21">
        <v>30</v>
      </c>
      <c r="AO1295" s="21"/>
      <c r="AP1295" s="21"/>
      <c r="AQ1295" s="21"/>
      <c r="AR1295" s="21"/>
      <c r="AS1295" s="21"/>
      <c r="AT1295" s="12" t="str">
        <f>HYPERLINK("http://www.openstreetmap.org/?mlat=34.315&amp;mlon=45.4029&amp;zoom=12#map=12/34.315/45.4029","Maplink1")</f>
        <v>Maplink1</v>
      </c>
      <c r="AU1295" s="12" t="str">
        <f>HYPERLINK("https://www.google.iq/maps/search/+34.315,45.4029/@34.315,45.4029,14z?hl=en","Maplink2")</f>
        <v>Maplink2</v>
      </c>
      <c r="AV1295" s="12" t="str">
        <f>HYPERLINK("http://www.bing.com/maps/?lvl=14&amp;sty=h&amp;cp=34.315~45.4029&amp;sp=point.34.315_45.4029","Maplink3")</f>
        <v>Maplink3</v>
      </c>
    </row>
    <row r="1296" spans="1:48" ht="15" customHeight="1" x14ac:dyDescent="0.25">
      <c r="A1296" s="19">
        <v>27297</v>
      </c>
      <c r="B1296" s="20" t="s">
        <v>14</v>
      </c>
      <c r="C1296" s="20" t="s">
        <v>2420</v>
      </c>
      <c r="D1296" s="20" t="s">
        <v>2456</v>
      </c>
      <c r="E1296" s="20" t="s">
        <v>2457</v>
      </c>
      <c r="F1296" s="20">
        <v>34.319249249999999</v>
      </c>
      <c r="G1296" s="20">
        <v>45.403688260000003</v>
      </c>
      <c r="H1296" s="22">
        <v>60</v>
      </c>
      <c r="I1296" s="22">
        <v>360</v>
      </c>
      <c r="J1296" s="21"/>
      <c r="K1296" s="21"/>
      <c r="L1296" s="21"/>
      <c r="M1296" s="21"/>
      <c r="N1296" s="21"/>
      <c r="O1296" s="21">
        <v>60</v>
      </c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>
        <v>15</v>
      </c>
      <c r="AD1296" s="21"/>
      <c r="AE1296" s="21"/>
      <c r="AF1296" s="21"/>
      <c r="AG1296" s="21"/>
      <c r="AH1296" s="21">
        <v>35</v>
      </c>
      <c r="AI1296" s="21"/>
      <c r="AJ1296" s="21">
        <v>10</v>
      </c>
      <c r="AK1296" s="21"/>
      <c r="AL1296" s="21"/>
      <c r="AM1296" s="21">
        <v>30</v>
      </c>
      <c r="AN1296" s="21">
        <v>30</v>
      </c>
      <c r="AO1296" s="21"/>
      <c r="AP1296" s="21"/>
      <c r="AQ1296" s="21"/>
      <c r="AR1296" s="21"/>
      <c r="AS1296" s="21"/>
      <c r="AT1296" s="12" t="str">
        <f>HYPERLINK("http://www.openstreetmap.org/?mlat=34.3192&amp;mlon=45.4037&amp;zoom=12#map=12/34.3192/45.4037","Maplink1")</f>
        <v>Maplink1</v>
      </c>
      <c r="AU1296" s="12" t="str">
        <f>HYPERLINK("https://www.google.iq/maps/search/+34.3192,45.4037/@34.3192,45.4037,14z?hl=en","Maplink2")</f>
        <v>Maplink2</v>
      </c>
      <c r="AV1296" s="12" t="str">
        <f>HYPERLINK("http://www.bing.com/maps/?lvl=14&amp;sty=h&amp;cp=34.3192~45.4037&amp;sp=point.34.3192_45.4037","Maplink3")</f>
        <v>Maplink3</v>
      </c>
    </row>
    <row r="1297" spans="1:48" ht="15" customHeight="1" x14ac:dyDescent="0.25">
      <c r="A1297" s="19">
        <v>27298</v>
      </c>
      <c r="B1297" s="20" t="s">
        <v>14</v>
      </c>
      <c r="C1297" s="20" t="s">
        <v>2420</v>
      </c>
      <c r="D1297" s="20" t="s">
        <v>2458</v>
      </c>
      <c r="E1297" s="20" t="s">
        <v>2459</v>
      </c>
      <c r="F1297" s="20">
        <v>34.319785230000001</v>
      </c>
      <c r="G1297" s="20">
        <v>45.39996859</v>
      </c>
      <c r="H1297" s="22">
        <v>9</v>
      </c>
      <c r="I1297" s="22">
        <v>54</v>
      </c>
      <c r="J1297" s="21"/>
      <c r="K1297" s="21"/>
      <c r="L1297" s="21"/>
      <c r="M1297" s="21"/>
      <c r="N1297" s="21"/>
      <c r="O1297" s="21">
        <v>9</v>
      </c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21"/>
      <c r="AH1297" s="21">
        <v>9</v>
      </c>
      <c r="AI1297" s="21"/>
      <c r="AJ1297" s="21"/>
      <c r="AK1297" s="21"/>
      <c r="AL1297" s="21"/>
      <c r="AM1297" s="21">
        <v>9</v>
      </c>
      <c r="AN1297" s="21"/>
      <c r="AO1297" s="21"/>
      <c r="AP1297" s="21"/>
      <c r="AQ1297" s="21"/>
      <c r="AR1297" s="21"/>
      <c r="AS1297" s="21"/>
      <c r="AT1297" s="12" t="str">
        <f>HYPERLINK("http://www.openstreetmap.org/?mlat=34.3198&amp;mlon=45.4&amp;zoom=12#map=12/34.3198/45.4","Maplink1")</f>
        <v>Maplink1</v>
      </c>
      <c r="AU1297" s="12" t="str">
        <f>HYPERLINK("https://www.google.iq/maps/search/+34.3198,45.4/@34.3198,45.4,14z?hl=en","Maplink2")</f>
        <v>Maplink2</v>
      </c>
      <c r="AV1297" s="12" t="str">
        <f>HYPERLINK("http://www.bing.com/maps/?lvl=14&amp;sty=h&amp;cp=34.3198~45.4&amp;sp=point.34.3198_45.4","Maplink3")</f>
        <v>Maplink3</v>
      </c>
    </row>
    <row r="1298" spans="1:48" ht="15" customHeight="1" x14ac:dyDescent="0.25">
      <c r="A1298" s="19">
        <v>10399</v>
      </c>
      <c r="B1298" s="20" t="s">
        <v>14</v>
      </c>
      <c r="C1298" s="20" t="s">
        <v>2420</v>
      </c>
      <c r="D1298" s="20" t="s">
        <v>4918</v>
      </c>
      <c r="E1298" s="20" t="s">
        <v>5798</v>
      </c>
      <c r="F1298" s="20">
        <v>34.59836</v>
      </c>
      <c r="G1298" s="20">
        <v>45.354669999999999</v>
      </c>
      <c r="H1298" s="22">
        <v>13</v>
      </c>
      <c r="I1298" s="22">
        <v>78</v>
      </c>
      <c r="J1298" s="21"/>
      <c r="K1298" s="21"/>
      <c r="L1298" s="21"/>
      <c r="M1298" s="21"/>
      <c r="N1298" s="21"/>
      <c r="O1298" s="21">
        <v>10</v>
      </c>
      <c r="P1298" s="21"/>
      <c r="Q1298" s="21"/>
      <c r="R1298" s="21"/>
      <c r="S1298" s="21"/>
      <c r="T1298" s="21"/>
      <c r="U1298" s="21"/>
      <c r="V1298" s="21"/>
      <c r="W1298" s="21"/>
      <c r="X1298" s="21">
        <v>3</v>
      </c>
      <c r="Y1298" s="21"/>
      <c r="Z1298" s="21"/>
      <c r="AA1298" s="21"/>
      <c r="AB1298" s="21"/>
      <c r="AC1298" s="21"/>
      <c r="AD1298" s="21"/>
      <c r="AE1298" s="21"/>
      <c r="AF1298" s="21"/>
      <c r="AG1298" s="21"/>
      <c r="AH1298" s="21">
        <v>13</v>
      </c>
      <c r="AI1298" s="21"/>
      <c r="AJ1298" s="21"/>
      <c r="AK1298" s="21"/>
      <c r="AL1298" s="21"/>
      <c r="AM1298" s="21">
        <v>3</v>
      </c>
      <c r="AN1298" s="21">
        <v>1</v>
      </c>
      <c r="AO1298" s="21">
        <v>2</v>
      </c>
      <c r="AP1298" s="21"/>
      <c r="AQ1298" s="21">
        <v>2</v>
      </c>
      <c r="AR1298" s="21"/>
      <c r="AS1298" s="21">
        <v>5</v>
      </c>
      <c r="AT1298" s="12" t="str">
        <f>HYPERLINK("http://www.openstreetmap.org/?mlat=34.5984&amp;mlon=45.3547&amp;zoom=12#map=12/34.5984/45.3547","Maplink1")</f>
        <v>Maplink1</v>
      </c>
      <c r="AU1298" s="12" t="str">
        <f>HYPERLINK("https://www.google.iq/maps/search/+34.5984,45.3547/@34.5984,45.3547,14z?hl=en","Maplink2")</f>
        <v>Maplink2</v>
      </c>
      <c r="AV1298" s="12" t="str">
        <f>HYPERLINK("http://www.bing.com/maps/?lvl=14&amp;sty=h&amp;cp=34.5984~45.3547&amp;sp=point.34.5984_45.3547","Maplink3")</f>
        <v>Maplink3</v>
      </c>
    </row>
    <row r="1299" spans="1:48" ht="15" customHeight="1" x14ac:dyDescent="0.25">
      <c r="A1299" s="19">
        <v>27299</v>
      </c>
      <c r="B1299" s="20" t="s">
        <v>14</v>
      </c>
      <c r="C1299" s="20" t="s">
        <v>2420</v>
      </c>
      <c r="D1299" s="20" t="s">
        <v>2460</v>
      </c>
      <c r="E1299" s="20" t="s">
        <v>2461</v>
      </c>
      <c r="F1299" s="20">
        <v>34.3469792</v>
      </c>
      <c r="G1299" s="20">
        <v>45.390969779999999</v>
      </c>
      <c r="H1299" s="22">
        <v>7</v>
      </c>
      <c r="I1299" s="22">
        <v>42</v>
      </c>
      <c r="J1299" s="21"/>
      <c r="K1299" s="21"/>
      <c r="L1299" s="21"/>
      <c r="M1299" s="21"/>
      <c r="N1299" s="21"/>
      <c r="O1299" s="21">
        <v>7</v>
      </c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21"/>
      <c r="AH1299" s="21">
        <v>7</v>
      </c>
      <c r="AI1299" s="21"/>
      <c r="AJ1299" s="21"/>
      <c r="AK1299" s="21"/>
      <c r="AL1299" s="21"/>
      <c r="AM1299" s="21">
        <v>5</v>
      </c>
      <c r="AN1299" s="21">
        <v>2</v>
      </c>
      <c r="AO1299" s="21"/>
      <c r="AP1299" s="21"/>
      <c r="AQ1299" s="21"/>
      <c r="AR1299" s="21"/>
      <c r="AS1299" s="21"/>
      <c r="AT1299" s="12" t="str">
        <f>HYPERLINK("http://www.openstreetmap.org/?mlat=34.347&amp;mlon=45.391&amp;zoom=12#map=12/34.347/45.391","Maplink1")</f>
        <v>Maplink1</v>
      </c>
      <c r="AU1299" s="12" t="str">
        <f>HYPERLINK("https://www.google.iq/maps/search/+34.347,45.391/@34.347,45.391,14z?hl=en","Maplink2")</f>
        <v>Maplink2</v>
      </c>
      <c r="AV1299" s="12" t="str">
        <f>HYPERLINK("http://www.bing.com/maps/?lvl=14&amp;sty=h&amp;cp=34.347~45.391&amp;sp=point.34.347_45.391","Maplink3")</f>
        <v>Maplink3</v>
      </c>
    </row>
    <row r="1300" spans="1:48" ht="15" customHeight="1" x14ac:dyDescent="0.25">
      <c r="A1300" s="19">
        <v>24387</v>
      </c>
      <c r="B1300" s="20" t="s">
        <v>14</v>
      </c>
      <c r="C1300" s="20" t="s">
        <v>2420</v>
      </c>
      <c r="D1300" s="20" t="s">
        <v>2462</v>
      </c>
      <c r="E1300" s="20" t="s">
        <v>2463</v>
      </c>
      <c r="F1300" s="20">
        <v>34.378298180000002</v>
      </c>
      <c r="G1300" s="20">
        <v>45.276417969999997</v>
      </c>
      <c r="H1300" s="22">
        <v>5</v>
      </c>
      <c r="I1300" s="22">
        <v>30</v>
      </c>
      <c r="J1300" s="21"/>
      <c r="K1300" s="21"/>
      <c r="L1300" s="21"/>
      <c r="M1300" s="21"/>
      <c r="N1300" s="21"/>
      <c r="O1300" s="21">
        <v>5</v>
      </c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>
        <v>5</v>
      </c>
      <c r="AD1300" s="21"/>
      <c r="AE1300" s="21"/>
      <c r="AF1300" s="21"/>
      <c r="AG1300" s="21"/>
      <c r="AH1300" s="21"/>
      <c r="AI1300" s="21"/>
      <c r="AJ1300" s="21"/>
      <c r="AK1300" s="21"/>
      <c r="AL1300" s="21"/>
      <c r="AM1300" s="21"/>
      <c r="AN1300" s="21">
        <v>5</v>
      </c>
      <c r="AO1300" s="21"/>
      <c r="AP1300" s="21"/>
      <c r="AQ1300" s="21"/>
      <c r="AR1300" s="21"/>
      <c r="AS1300" s="21"/>
      <c r="AT1300" s="12" t="str">
        <f>HYPERLINK("http://www.openstreetmap.org/?mlat=34.3783&amp;mlon=45.2764&amp;zoom=12#map=12/34.3783/45.2764","Maplink1")</f>
        <v>Maplink1</v>
      </c>
      <c r="AU1300" s="12" t="str">
        <f>HYPERLINK("https://www.google.iq/maps/search/+34.3783,45.2764/@34.3783,45.2764,14z?hl=en","Maplink2")</f>
        <v>Maplink2</v>
      </c>
      <c r="AV1300" s="12" t="str">
        <f>HYPERLINK("http://www.bing.com/maps/?lvl=14&amp;sty=h&amp;cp=34.3783~45.2764&amp;sp=point.34.3783_45.2764","Maplink3")</f>
        <v>Maplink3</v>
      </c>
    </row>
    <row r="1301" spans="1:48" ht="15" customHeight="1" x14ac:dyDescent="0.25">
      <c r="A1301" s="19">
        <v>25467</v>
      </c>
      <c r="B1301" s="20" t="s">
        <v>14</v>
      </c>
      <c r="C1301" s="20" t="s">
        <v>2420</v>
      </c>
      <c r="D1301" s="20" t="s">
        <v>2464</v>
      </c>
      <c r="E1301" s="20" t="s">
        <v>2465</v>
      </c>
      <c r="F1301" s="20">
        <v>34.338353419999997</v>
      </c>
      <c r="G1301" s="20">
        <v>45.393077120000001</v>
      </c>
      <c r="H1301" s="22">
        <v>55</v>
      </c>
      <c r="I1301" s="22">
        <v>330</v>
      </c>
      <c r="J1301" s="21"/>
      <c r="K1301" s="21"/>
      <c r="L1301" s="21"/>
      <c r="M1301" s="21"/>
      <c r="N1301" s="21"/>
      <c r="O1301" s="21">
        <v>55</v>
      </c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21"/>
      <c r="AH1301" s="21">
        <v>37</v>
      </c>
      <c r="AI1301" s="21"/>
      <c r="AJ1301" s="21">
        <v>18</v>
      </c>
      <c r="AK1301" s="21"/>
      <c r="AL1301" s="21"/>
      <c r="AM1301" s="21">
        <v>44</v>
      </c>
      <c r="AN1301" s="21">
        <v>11</v>
      </c>
      <c r="AO1301" s="21"/>
      <c r="AP1301" s="21"/>
      <c r="AQ1301" s="21"/>
      <c r="AR1301" s="21"/>
      <c r="AS1301" s="21"/>
      <c r="AT1301" s="12" t="str">
        <f>HYPERLINK("http://www.openstreetmap.org/?mlat=34.3384&amp;mlon=45.3931&amp;zoom=12#map=12/34.3384/45.3931","Maplink1")</f>
        <v>Maplink1</v>
      </c>
      <c r="AU1301" s="12" t="str">
        <f>HYPERLINK("https://www.google.iq/maps/search/+34.3384,45.3931/@34.3384,45.3931,14z?hl=en","Maplink2")</f>
        <v>Maplink2</v>
      </c>
      <c r="AV1301" s="12" t="str">
        <f>HYPERLINK("http://www.bing.com/maps/?lvl=14&amp;sty=h&amp;cp=34.3384~45.3931&amp;sp=point.34.3384_45.3931","Maplink3")</f>
        <v>Maplink3</v>
      </c>
    </row>
    <row r="1302" spans="1:48" ht="15" customHeight="1" x14ac:dyDescent="0.25">
      <c r="A1302" s="19">
        <v>24403</v>
      </c>
      <c r="B1302" s="20" t="s">
        <v>14</v>
      </c>
      <c r="C1302" s="20" t="s">
        <v>2420</v>
      </c>
      <c r="D1302" s="20" t="s">
        <v>2466</v>
      </c>
      <c r="E1302" s="20" t="s">
        <v>2467</v>
      </c>
      <c r="F1302" s="20">
        <v>34.390967613800001</v>
      </c>
      <c r="G1302" s="20">
        <v>45.305683336500003</v>
      </c>
      <c r="H1302" s="22">
        <v>9</v>
      </c>
      <c r="I1302" s="22">
        <v>54</v>
      </c>
      <c r="J1302" s="21"/>
      <c r="K1302" s="21"/>
      <c r="L1302" s="21"/>
      <c r="M1302" s="21"/>
      <c r="N1302" s="21"/>
      <c r="O1302" s="21">
        <v>9</v>
      </c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>
        <v>9</v>
      </c>
      <c r="AD1302" s="21"/>
      <c r="AE1302" s="21"/>
      <c r="AF1302" s="21"/>
      <c r="AG1302" s="21"/>
      <c r="AH1302" s="21"/>
      <c r="AI1302" s="21"/>
      <c r="AJ1302" s="21"/>
      <c r="AK1302" s="21"/>
      <c r="AL1302" s="21"/>
      <c r="AM1302" s="21">
        <v>4</v>
      </c>
      <c r="AN1302" s="21">
        <v>5</v>
      </c>
      <c r="AO1302" s="21"/>
      <c r="AP1302" s="21"/>
      <c r="AQ1302" s="21"/>
      <c r="AR1302" s="21"/>
      <c r="AS1302" s="21"/>
      <c r="AT1302" s="12" t="str">
        <f>HYPERLINK("http://www.openstreetmap.org/?mlat=34.391&amp;mlon=45.3057&amp;zoom=12#map=12/34.391/45.3057","Maplink1")</f>
        <v>Maplink1</v>
      </c>
      <c r="AU1302" s="12" t="str">
        <f>HYPERLINK("https://www.google.iq/maps/search/+34.391,45.3057/@34.391,45.3057,14z?hl=en","Maplink2")</f>
        <v>Maplink2</v>
      </c>
      <c r="AV1302" s="12" t="str">
        <f>HYPERLINK("http://www.bing.com/maps/?lvl=14&amp;sty=h&amp;cp=34.391~45.3057&amp;sp=point.34.391_45.3057","Maplink3")</f>
        <v>Maplink3</v>
      </c>
    </row>
    <row r="1303" spans="1:48" ht="15" customHeight="1" x14ac:dyDescent="0.25">
      <c r="A1303" s="19">
        <v>24401</v>
      </c>
      <c r="B1303" s="20" t="s">
        <v>14</v>
      </c>
      <c r="C1303" s="20" t="s">
        <v>2420</v>
      </c>
      <c r="D1303" s="20" t="s">
        <v>2468</v>
      </c>
      <c r="E1303" s="20" t="s">
        <v>2469</v>
      </c>
      <c r="F1303" s="20">
        <v>34.364072180000001</v>
      </c>
      <c r="G1303" s="20">
        <v>45.238159619999998</v>
      </c>
      <c r="H1303" s="22">
        <v>27</v>
      </c>
      <c r="I1303" s="22">
        <v>162</v>
      </c>
      <c r="J1303" s="21"/>
      <c r="K1303" s="21"/>
      <c r="L1303" s="21"/>
      <c r="M1303" s="21"/>
      <c r="N1303" s="21"/>
      <c r="O1303" s="21">
        <v>27</v>
      </c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>
        <v>27</v>
      </c>
      <c r="AD1303" s="21"/>
      <c r="AE1303" s="21"/>
      <c r="AF1303" s="21"/>
      <c r="AG1303" s="21"/>
      <c r="AH1303" s="21"/>
      <c r="AI1303" s="21"/>
      <c r="AJ1303" s="21"/>
      <c r="AK1303" s="21"/>
      <c r="AL1303" s="21"/>
      <c r="AM1303" s="21">
        <v>13</v>
      </c>
      <c r="AN1303" s="21"/>
      <c r="AO1303" s="21">
        <v>14</v>
      </c>
      <c r="AP1303" s="21"/>
      <c r="AQ1303" s="21"/>
      <c r="AR1303" s="21"/>
      <c r="AS1303" s="21"/>
      <c r="AT1303" s="12" t="str">
        <f>HYPERLINK("http://www.openstreetmap.org/?mlat=34.3641&amp;mlon=45.2382&amp;zoom=12#map=12/34.3641/45.2382","Maplink1")</f>
        <v>Maplink1</v>
      </c>
      <c r="AU1303" s="12" t="str">
        <f>HYPERLINK("https://www.google.iq/maps/search/+34.3641,45.2382/@34.3641,45.2382,14z?hl=en","Maplink2")</f>
        <v>Maplink2</v>
      </c>
      <c r="AV1303" s="12" t="str">
        <f>HYPERLINK("http://www.bing.com/maps/?lvl=14&amp;sty=h&amp;cp=34.3641~45.2382&amp;sp=point.34.3641_45.2382","Maplink3")</f>
        <v>Maplink3</v>
      </c>
    </row>
    <row r="1304" spans="1:48" ht="15" customHeight="1" x14ac:dyDescent="0.25">
      <c r="A1304" s="19">
        <v>24394</v>
      </c>
      <c r="B1304" s="20" t="s">
        <v>14</v>
      </c>
      <c r="C1304" s="20" t="s">
        <v>2420</v>
      </c>
      <c r="D1304" s="20" t="s">
        <v>2470</v>
      </c>
      <c r="E1304" s="20" t="s">
        <v>2471</v>
      </c>
      <c r="F1304" s="20">
        <v>34.313737000000003</v>
      </c>
      <c r="G1304" s="20">
        <v>45.323535999999997</v>
      </c>
      <c r="H1304" s="22">
        <v>3</v>
      </c>
      <c r="I1304" s="22">
        <v>18</v>
      </c>
      <c r="J1304" s="21"/>
      <c r="K1304" s="21"/>
      <c r="L1304" s="21"/>
      <c r="M1304" s="21"/>
      <c r="N1304" s="21"/>
      <c r="O1304" s="21">
        <v>3</v>
      </c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>
        <v>3</v>
      </c>
      <c r="AD1304" s="21"/>
      <c r="AE1304" s="21"/>
      <c r="AF1304" s="21"/>
      <c r="AG1304" s="21"/>
      <c r="AH1304" s="21"/>
      <c r="AI1304" s="21"/>
      <c r="AJ1304" s="21"/>
      <c r="AK1304" s="21"/>
      <c r="AL1304" s="21"/>
      <c r="AM1304" s="21">
        <v>3</v>
      </c>
      <c r="AN1304" s="21"/>
      <c r="AO1304" s="21"/>
      <c r="AP1304" s="21"/>
      <c r="AQ1304" s="21"/>
      <c r="AR1304" s="21"/>
      <c r="AS1304" s="21"/>
      <c r="AT1304" s="12" t="str">
        <f>HYPERLINK("http://www.openstreetmap.org/?mlat=34.3137&amp;mlon=45.3235&amp;zoom=12#map=12/34.3137/45.3235","Maplink1")</f>
        <v>Maplink1</v>
      </c>
      <c r="AU1304" s="12" t="str">
        <f>HYPERLINK("https://www.google.iq/maps/search/+34.3137,45.3235/@34.3137,45.3235,14z?hl=en","Maplink2")</f>
        <v>Maplink2</v>
      </c>
      <c r="AV1304" s="12" t="str">
        <f>HYPERLINK("http://www.bing.com/maps/?lvl=14&amp;sty=h&amp;cp=34.3137~45.3235&amp;sp=point.34.3137_45.3235","Maplink3")</f>
        <v>Maplink3</v>
      </c>
    </row>
    <row r="1305" spans="1:48" ht="15" customHeight="1" x14ac:dyDescent="0.25">
      <c r="A1305" s="19">
        <v>25626</v>
      </c>
      <c r="B1305" s="20" t="s">
        <v>14</v>
      </c>
      <c r="C1305" s="20" t="s">
        <v>2420</v>
      </c>
      <c r="D1305" s="20" t="s">
        <v>2472</v>
      </c>
      <c r="E1305" s="20" t="s">
        <v>2473</v>
      </c>
      <c r="F1305" s="20">
        <v>34.381718659999997</v>
      </c>
      <c r="G1305" s="20">
        <v>45.255764855599999</v>
      </c>
      <c r="H1305" s="22">
        <v>3</v>
      </c>
      <c r="I1305" s="22">
        <v>18</v>
      </c>
      <c r="J1305" s="21"/>
      <c r="K1305" s="21"/>
      <c r="L1305" s="21"/>
      <c r="M1305" s="21"/>
      <c r="N1305" s="21"/>
      <c r="O1305" s="21">
        <v>3</v>
      </c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21"/>
      <c r="AH1305" s="21"/>
      <c r="AI1305" s="21"/>
      <c r="AJ1305" s="21">
        <v>3</v>
      </c>
      <c r="AK1305" s="21"/>
      <c r="AL1305" s="21"/>
      <c r="AM1305" s="21">
        <v>3</v>
      </c>
      <c r="AN1305" s="21"/>
      <c r="AO1305" s="21"/>
      <c r="AP1305" s="21"/>
      <c r="AQ1305" s="21"/>
      <c r="AR1305" s="21"/>
      <c r="AS1305" s="21"/>
      <c r="AT1305" s="12" t="str">
        <f>HYPERLINK("http://www.openstreetmap.org/?mlat=34.3817&amp;mlon=45.2558&amp;zoom=12#map=12/34.3817/45.2558","Maplink1")</f>
        <v>Maplink1</v>
      </c>
      <c r="AU1305" s="12" t="str">
        <f>HYPERLINK("https://www.google.iq/maps/search/+34.3817,45.2558/@34.3817,45.2558,14z?hl=en","Maplink2")</f>
        <v>Maplink2</v>
      </c>
      <c r="AV1305" s="12" t="str">
        <f>HYPERLINK("http://www.bing.com/maps/?lvl=14&amp;sty=h&amp;cp=34.3817~45.2558&amp;sp=point.34.3817_45.2558","Maplink3")</f>
        <v>Maplink3</v>
      </c>
    </row>
    <row r="1306" spans="1:48" ht="15" customHeight="1" x14ac:dyDescent="0.25">
      <c r="A1306" s="19">
        <v>24410</v>
      </c>
      <c r="B1306" s="20" t="s">
        <v>14</v>
      </c>
      <c r="C1306" s="20" t="s">
        <v>2420</v>
      </c>
      <c r="D1306" s="20" t="s">
        <v>2474</v>
      </c>
      <c r="E1306" s="20" t="s">
        <v>2475</v>
      </c>
      <c r="F1306" s="20">
        <v>34.435600020000003</v>
      </c>
      <c r="G1306" s="20">
        <v>45.255191830000001</v>
      </c>
      <c r="H1306" s="22">
        <v>5</v>
      </c>
      <c r="I1306" s="22">
        <v>30</v>
      </c>
      <c r="J1306" s="21"/>
      <c r="K1306" s="21"/>
      <c r="L1306" s="21"/>
      <c r="M1306" s="21"/>
      <c r="N1306" s="21"/>
      <c r="O1306" s="21">
        <v>5</v>
      </c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21"/>
      <c r="AH1306" s="21">
        <v>5</v>
      </c>
      <c r="AI1306" s="21"/>
      <c r="AJ1306" s="21"/>
      <c r="AK1306" s="21"/>
      <c r="AL1306" s="21"/>
      <c r="AM1306" s="21">
        <v>5</v>
      </c>
      <c r="AN1306" s="21"/>
      <c r="AO1306" s="21"/>
      <c r="AP1306" s="21"/>
      <c r="AQ1306" s="21"/>
      <c r="AR1306" s="21"/>
      <c r="AS1306" s="21"/>
      <c r="AT1306" s="12" t="str">
        <f>HYPERLINK("http://www.openstreetmap.org/?mlat=34.4356&amp;mlon=45.2552&amp;zoom=12#map=12/34.4356/45.2552","Maplink1")</f>
        <v>Maplink1</v>
      </c>
      <c r="AU1306" s="12" t="str">
        <f>HYPERLINK("https://www.google.iq/maps/search/+34.4356,45.2552/@34.4356,45.2552,14z?hl=en","Maplink2")</f>
        <v>Maplink2</v>
      </c>
      <c r="AV1306" s="12" t="str">
        <f>HYPERLINK("http://www.bing.com/maps/?lvl=14&amp;sty=h&amp;cp=34.4356~45.2552&amp;sp=point.34.4356_45.2552","Maplink3")</f>
        <v>Maplink3</v>
      </c>
    </row>
    <row r="1307" spans="1:48" ht="15" customHeight="1" x14ac:dyDescent="0.25">
      <c r="A1307" s="19">
        <v>24312</v>
      </c>
      <c r="B1307" s="20" t="s">
        <v>14</v>
      </c>
      <c r="C1307" s="20" t="s">
        <v>2420</v>
      </c>
      <c r="D1307" s="20" t="s">
        <v>2476</v>
      </c>
      <c r="E1307" s="20" t="s">
        <v>2477</v>
      </c>
      <c r="F1307" s="20">
        <v>34.341766759999999</v>
      </c>
      <c r="G1307" s="20">
        <v>45.362194440000003</v>
      </c>
      <c r="H1307" s="22">
        <v>140</v>
      </c>
      <c r="I1307" s="22">
        <v>840</v>
      </c>
      <c r="J1307" s="21">
        <v>2</v>
      </c>
      <c r="K1307" s="21"/>
      <c r="L1307" s="21"/>
      <c r="M1307" s="21"/>
      <c r="N1307" s="21"/>
      <c r="O1307" s="21">
        <v>136</v>
      </c>
      <c r="P1307" s="21"/>
      <c r="Q1307" s="21"/>
      <c r="R1307" s="21"/>
      <c r="S1307" s="21"/>
      <c r="T1307" s="21"/>
      <c r="U1307" s="21"/>
      <c r="V1307" s="21">
        <v>2</v>
      </c>
      <c r="W1307" s="21"/>
      <c r="X1307" s="21"/>
      <c r="Y1307" s="21"/>
      <c r="Z1307" s="21"/>
      <c r="AA1307" s="21"/>
      <c r="AB1307" s="21"/>
      <c r="AC1307" s="21">
        <v>30</v>
      </c>
      <c r="AD1307" s="21"/>
      <c r="AE1307" s="21"/>
      <c r="AF1307" s="21"/>
      <c r="AG1307" s="21"/>
      <c r="AH1307" s="21">
        <v>90</v>
      </c>
      <c r="AI1307" s="21"/>
      <c r="AJ1307" s="21">
        <v>20</v>
      </c>
      <c r="AK1307" s="21"/>
      <c r="AL1307" s="21">
        <v>2</v>
      </c>
      <c r="AM1307" s="21">
        <v>123</v>
      </c>
      <c r="AN1307" s="21">
        <v>15</v>
      </c>
      <c r="AO1307" s="21"/>
      <c r="AP1307" s="21"/>
      <c r="AQ1307" s="21"/>
      <c r="AR1307" s="21"/>
      <c r="AS1307" s="21"/>
      <c r="AT1307" s="12" t="str">
        <f>HYPERLINK("http://www.openstreetmap.org/?mlat=34.3418&amp;mlon=45.3622&amp;zoom=12#map=12/34.3418/45.3622","Maplink1")</f>
        <v>Maplink1</v>
      </c>
      <c r="AU1307" s="12" t="str">
        <f>HYPERLINK("https://www.google.iq/maps/search/+34.3418,45.3622/@34.3418,45.3622,14z?hl=en","Maplink2")</f>
        <v>Maplink2</v>
      </c>
      <c r="AV1307" s="12" t="str">
        <f>HYPERLINK("http://www.bing.com/maps/?lvl=14&amp;sty=h&amp;cp=34.3418~45.3622&amp;sp=point.34.3418_45.3622","Maplink3")</f>
        <v>Maplink3</v>
      </c>
    </row>
    <row r="1308" spans="1:48" ht="15" customHeight="1" x14ac:dyDescent="0.25">
      <c r="A1308" s="19">
        <v>10666</v>
      </c>
      <c r="B1308" s="20" t="s">
        <v>14</v>
      </c>
      <c r="C1308" s="20" t="s">
        <v>2420</v>
      </c>
      <c r="D1308" s="20" t="s">
        <v>2478</v>
      </c>
      <c r="E1308" s="20" t="s">
        <v>2479</v>
      </c>
      <c r="F1308" s="20">
        <v>34.3048300496</v>
      </c>
      <c r="G1308" s="20">
        <v>45.389522784900002</v>
      </c>
      <c r="H1308" s="22">
        <v>30</v>
      </c>
      <c r="I1308" s="22">
        <v>180</v>
      </c>
      <c r="J1308" s="21"/>
      <c r="K1308" s="21"/>
      <c r="L1308" s="21"/>
      <c r="M1308" s="21"/>
      <c r="N1308" s="21"/>
      <c r="O1308" s="21">
        <v>30</v>
      </c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>
        <v>5</v>
      </c>
      <c r="AD1308" s="21"/>
      <c r="AE1308" s="21"/>
      <c r="AF1308" s="21"/>
      <c r="AG1308" s="21"/>
      <c r="AH1308" s="21">
        <v>2</v>
      </c>
      <c r="AI1308" s="21"/>
      <c r="AJ1308" s="21">
        <v>23</v>
      </c>
      <c r="AK1308" s="21"/>
      <c r="AL1308" s="21"/>
      <c r="AM1308" s="21">
        <v>30</v>
      </c>
      <c r="AN1308" s="21"/>
      <c r="AO1308" s="21"/>
      <c r="AP1308" s="21"/>
      <c r="AQ1308" s="21"/>
      <c r="AR1308" s="21"/>
      <c r="AS1308" s="21"/>
      <c r="AT1308" s="12" t="str">
        <f>HYPERLINK("http://www.openstreetmap.org/?mlat=34.3048&amp;mlon=45.3895&amp;zoom=12#map=12/34.3048/45.3895","Maplink1")</f>
        <v>Maplink1</v>
      </c>
      <c r="AU1308" s="12" t="str">
        <f>HYPERLINK("https://www.google.iq/maps/search/+34.3048,45.3895/@34.3048,45.3895,14z?hl=en","Maplink2")</f>
        <v>Maplink2</v>
      </c>
      <c r="AV1308" s="12" t="str">
        <f>HYPERLINK("http://www.bing.com/maps/?lvl=14&amp;sty=h&amp;cp=34.3048~45.3895&amp;sp=point.34.3048_45.3895","Maplink3")</f>
        <v>Maplink3</v>
      </c>
    </row>
    <row r="1309" spans="1:48" ht="15" customHeight="1" x14ac:dyDescent="0.25">
      <c r="A1309" s="19">
        <v>24409</v>
      </c>
      <c r="B1309" s="20" t="s">
        <v>14</v>
      </c>
      <c r="C1309" s="20" t="s">
        <v>2420</v>
      </c>
      <c r="D1309" s="20" t="s">
        <v>2480</v>
      </c>
      <c r="E1309" s="20" t="s">
        <v>2481</v>
      </c>
      <c r="F1309" s="20">
        <v>34.472438263299999</v>
      </c>
      <c r="G1309" s="20">
        <v>45.213552310799997</v>
      </c>
      <c r="H1309" s="22">
        <v>5</v>
      </c>
      <c r="I1309" s="22">
        <v>30</v>
      </c>
      <c r="J1309" s="21"/>
      <c r="K1309" s="21"/>
      <c r="L1309" s="21"/>
      <c r="M1309" s="21"/>
      <c r="N1309" s="21"/>
      <c r="O1309" s="21">
        <v>5</v>
      </c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>
        <v>2</v>
      </c>
      <c r="AD1309" s="21"/>
      <c r="AE1309" s="21"/>
      <c r="AF1309" s="21"/>
      <c r="AG1309" s="21"/>
      <c r="AH1309" s="21">
        <v>3</v>
      </c>
      <c r="AI1309" s="21"/>
      <c r="AJ1309" s="21"/>
      <c r="AK1309" s="21"/>
      <c r="AL1309" s="21"/>
      <c r="AM1309" s="21">
        <v>5</v>
      </c>
      <c r="AN1309" s="21"/>
      <c r="AO1309" s="21"/>
      <c r="AP1309" s="21"/>
      <c r="AQ1309" s="21"/>
      <c r="AR1309" s="21"/>
      <c r="AS1309" s="21"/>
      <c r="AT1309" s="12" t="str">
        <f>HYPERLINK("http://www.openstreetmap.org/?mlat=34.4724&amp;mlon=45.2136&amp;zoom=12#map=12/34.4724/45.2136","Maplink1")</f>
        <v>Maplink1</v>
      </c>
      <c r="AU1309" s="12" t="str">
        <f>HYPERLINK("https://www.google.iq/maps/search/+34.4724,45.2136/@34.4724,45.2136,14z?hl=en","Maplink2")</f>
        <v>Maplink2</v>
      </c>
      <c r="AV1309" s="12" t="str">
        <f>HYPERLINK("http://www.bing.com/maps/?lvl=14&amp;sty=h&amp;cp=34.4724~45.2136&amp;sp=point.34.4724_45.2136","Maplink3")</f>
        <v>Maplink3</v>
      </c>
    </row>
    <row r="1310" spans="1:48" ht="15" customHeight="1" x14ac:dyDescent="0.25">
      <c r="A1310" s="19">
        <v>33359</v>
      </c>
      <c r="B1310" s="20" t="s">
        <v>14</v>
      </c>
      <c r="C1310" s="20" t="s">
        <v>2420</v>
      </c>
      <c r="D1310" s="20" t="s">
        <v>5799</v>
      </c>
      <c r="E1310" s="20" t="s">
        <v>5800</v>
      </c>
      <c r="F1310" s="20">
        <v>34.514919999999996</v>
      </c>
      <c r="G1310" s="20">
        <v>45.340029999999999</v>
      </c>
      <c r="H1310" s="22">
        <v>5</v>
      </c>
      <c r="I1310" s="22">
        <v>30</v>
      </c>
      <c r="J1310" s="21"/>
      <c r="K1310" s="21"/>
      <c r="L1310" s="21"/>
      <c r="M1310" s="21"/>
      <c r="N1310" s="21"/>
      <c r="O1310" s="21">
        <v>5</v>
      </c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21"/>
      <c r="AH1310" s="21">
        <v>5</v>
      </c>
      <c r="AI1310" s="21"/>
      <c r="AJ1310" s="21"/>
      <c r="AK1310" s="21"/>
      <c r="AL1310" s="21"/>
      <c r="AM1310" s="21">
        <v>4</v>
      </c>
      <c r="AN1310" s="21">
        <v>1</v>
      </c>
      <c r="AO1310" s="21"/>
      <c r="AP1310" s="21"/>
      <c r="AQ1310" s="21"/>
      <c r="AR1310" s="21"/>
      <c r="AS1310" s="21"/>
      <c r="AT1310" s="12" t="str">
        <f>HYPERLINK("http://www.openstreetmap.org/?mlat=34.5149&amp;mlon=45.34&amp;zoom=12#map=12/34.5149/45.34","Maplink1")</f>
        <v>Maplink1</v>
      </c>
      <c r="AU1310" s="12" t="str">
        <f>HYPERLINK("https://www.google.iq/maps/search/+34.5149,45.34/@34.5149,45.34,14z?hl=en","Maplink2")</f>
        <v>Maplink2</v>
      </c>
      <c r="AV1310" s="12" t="str">
        <f>HYPERLINK("http://www.bing.com/maps/?lvl=14&amp;sty=h&amp;cp=34.5149~45.34&amp;sp=point.34.5149_45.34","Maplink3")</f>
        <v>Maplink3</v>
      </c>
    </row>
    <row r="1311" spans="1:48" ht="15" customHeight="1" x14ac:dyDescent="0.25">
      <c r="A1311" s="19">
        <v>25343</v>
      </c>
      <c r="B1311" s="20" t="s">
        <v>14</v>
      </c>
      <c r="C1311" s="20" t="s">
        <v>2420</v>
      </c>
      <c r="D1311" s="20" t="s">
        <v>2482</v>
      </c>
      <c r="E1311" s="20" t="s">
        <v>2483</v>
      </c>
      <c r="F1311" s="20">
        <v>34.331082950000003</v>
      </c>
      <c r="G1311" s="20">
        <v>45.381465749999997</v>
      </c>
      <c r="H1311" s="22">
        <v>12</v>
      </c>
      <c r="I1311" s="22">
        <v>72</v>
      </c>
      <c r="J1311" s="21"/>
      <c r="K1311" s="21"/>
      <c r="L1311" s="21"/>
      <c r="M1311" s="21"/>
      <c r="N1311" s="21"/>
      <c r="O1311" s="21">
        <v>12</v>
      </c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21"/>
      <c r="AH1311" s="21">
        <v>12</v>
      </c>
      <c r="AI1311" s="21"/>
      <c r="AJ1311" s="21"/>
      <c r="AK1311" s="21"/>
      <c r="AL1311" s="21"/>
      <c r="AM1311" s="21">
        <v>12</v>
      </c>
      <c r="AN1311" s="21"/>
      <c r="AO1311" s="21"/>
      <c r="AP1311" s="21"/>
      <c r="AQ1311" s="21"/>
      <c r="AR1311" s="21"/>
      <c r="AS1311" s="21"/>
      <c r="AT1311" s="12" t="str">
        <f>HYPERLINK("http://www.openstreetmap.org/?mlat=34.3311&amp;mlon=45.3815&amp;zoom=12#map=12/34.3311/45.3815","Maplink1")</f>
        <v>Maplink1</v>
      </c>
      <c r="AU1311" s="12" t="str">
        <f>HYPERLINK("https://www.google.iq/maps/search/+34.3311,45.3815/@34.3311,45.3815,14z?hl=en","Maplink2")</f>
        <v>Maplink2</v>
      </c>
      <c r="AV1311" s="12" t="str">
        <f>HYPERLINK("http://www.bing.com/maps/?lvl=14&amp;sty=h&amp;cp=34.3311~45.3815&amp;sp=point.34.3311_45.3815","Maplink3")</f>
        <v>Maplink3</v>
      </c>
    </row>
    <row r="1312" spans="1:48" ht="15" customHeight="1" x14ac:dyDescent="0.25">
      <c r="A1312" s="19">
        <v>24777</v>
      </c>
      <c r="B1312" s="20" t="s">
        <v>14</v>
      </c>
      <c r="C1312" s="20" t="s">
        <v>2420</v>
      </c>
      <c r="D1312" s="20" t="s">
        <v>2484</v>
      </c>
      <c r="E1312" s="20" t="s">
        <v>2485</v>
      </c>
      <c r="F1312" s="20">
        <v>34.327138849999997</v>
      </c>
      <c r="G1312" s="20">
        <v>45.44853037</v>
      </c>
      <c r="H1312" s="22">
        <v>678</v>
      </c>
      <c r="I1312" s="22">
        <v>4068</v>
      </c>
      <c r="J1312" s="21"/>
      <c r="K1312" s="21"/>
      <c r="L1312" s="21"/>
      <c r="M1312" s="21"/>
      <c r="N1312" s="21"/>
      <c r="O1312" s="21">
        <v>678</v>
      </c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>
        <v>678</v>
      </c>
      <c r="AC1312" s="21"/>
      <c r="AD1312" s="21"/>
      <c r="AE1312" s="21"/>
      <c r="AF1312" s="21"/>
      <c r="AG1312" s="21"/>
      <c r="AH1312" s="21"/>
      <c r="AI1312" s="21"/>
      <c r="AJ1312" s="21"/>
      <c r="AK1312" s="21"/>
      <c r="AL1312" s="21"/>
      <c r="AM1312" s="21">
        <v>500</v>
      </c>
      <c r="AN1312" s="21">
        <v>178</v>
      </c>
      <c r="AO1312" s="21"/>
      <c r="AP1312" s="21"/>
      <c r="AQ1312" s="21"/>
      <c r="AR1312" s="21"/>
      <c r="AS1312" s="21"/>
      <c r="AT1312" s="12" t="str">
        <f>HYPERLINK("http://www.openstreetmap.org/?mlat=34.3271&amp;mlon=45.4485&amp;zoom=12#map=12/34.3271/45.4485","Maplink1")</f>
        <v>Maplink1</v>
      </c>
      <c r="AU1312" s="12" t="str">
        <f>HYPERLINK("https://www.google.iq/maps/search/+34.3271,45.4485/@34.3271,45.4485,14z?hl=en","Maplink2")</f>
        <v>Maplink2</v>
      </c>
      <c r="AV1312" s="12" t="str">
        <f>HYPERLINK("http://www.bing.com/maps/?lvl=14&amp;sty=h&amp;cp=34.3271~45.4485&amp;sp=point.34.3271_45.4485","Maplink3")</f>
        <v>Maplink3</v>
      </c>
    </row>
    <row r="1313" spans="1:48" ht="15" customHeight="1" x14ac:dyDescent="0.25">
      <c r="A1313" s="19">
        <v>24398</v>
      </c>
      <c r="B1313" s="20" t="s">
        <v>14</v>
      </c>
      <c r="C1313" s="20" t="s">
        <v>2420</v>
      </c>
      <c r="D1313" s="20" t="s">
        <v>2486</v>
      </c>
      <c r="E1313" s="20" t="s">
        <v>2487</v>
      </c>
      <c r="F1313" s="20">
        <v>34.359171369999999</v>
      </c>
      <c r="G1313" s="20">
        <v>45.262120379999999</v>
      </c>
      <c r="H1313" s="22">
        <v>7</v>
      </c>
      <c r="I1313" s="22">
        <v>42</v>
      </c>
      <c r="J1313" s="21"/>
      <c r="K1313" s="21"/>
      <c r="L1313" s="21"/>
      <c r="M1313" s="21"/>
      <c r="N1313" s="21"/>
      <c r="O1313" s="21">
        <v>7</v>
      </c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>
        <v>7</v>
      </c>
      <c r="AD1313" s="21"/>
      <c r="AE1313" s="21"/>
      <c r="AF1313" s="21"/>
      <c r="AG1313" s="21"/>
      <c r="AH1313" s="21"/>
      <c r="AI1313" s="21"/>
      <c r="AJ1313" s="21"/>
      <c r="AK1313" s="21"/>
      <c r="AL1313" s="21"/>
      <c r="AM1313" s="21">
        <v>7</v>
      </c>
      <c r="AN1313" s="21"/>
      <c r="AO1313" s="21"/>
      <c r="AP1313" s="21"/>
      <c r="AQ1313" s="21"/>
      <c r="AR1313" s="21"/>
      <c r="AS1313" s="21"/>
      <c r="AT1313" s="12" t="str">
        <f>HYPERLINK("http://www.openstreetmap.org/?mlat=34.3592&amp;mlon=45.2621&amp;zoom=12#map=12/34.3592/45.2621","Maplink1")</f>
        <v>Maplink1</v>
      </c>
      <c r="AU1313" s="12" t="str">
        <f>HYPERLINK("https://www.google.iq/maps/search/+34.3592,45.2621/@34.3592,45.2621,14z?hl=en","Maplink2")</f>
        <v>Maplink2</v>
      </c>
      <c r="AV1313" s="12" t="str">
        <f>HYPERLINK("http://www.bing.com/maps/?lvl=14&amp;sty=h&amp;cp=34.3592~45.2621&amp;sp=point.34.3592_45.2621","Maplink3")</f>
        <v>Maplink3</v>
      </c>
    </row>
    <row r="1314" spans="1:48" ht="15" customHeight="1" x14ac:dyDescent="0.25">
      <c r="A1314" s="19">
        <v>10530</v>
      </c>
      <c r="B1314" s="20" t="s">
        <v>14</v>
      </c>
      <c r="C1314" s="20" t="s">
        <v>2420</v>
      </c>
      <c r="D1314" s="20" t="s">
        <v>2488</v>
      </c>
      <c r="E1314" s="20" t="s">
        <v>2489</v>
      </c>
      <c r="F1314" s="20">
        <v>34.330023179999998</v>
      </c>
      <c r="G1314" s="20">
        <v>45.363207940000002</v>
      </c>
      <c r="H1314" s="22">
        <v>3</v>
      </c>
      <c r="I1314" s="22">
        <v>18</v>
      </c>
      <c r="J1314" s="21"/>
      <c r="K1314" s="21"/>
      <c r="L1314" s="21"/>
      <c r="M1314" s="21"/>
      <c r="N1314" s="21"/>
      <c r="O1314" s="21">
        <v>3</v>
      </c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>
        <v>3</v>
      </c>
      <c r="AD1314" s="21"/>
      <c r="AE1314" s="21"/>
      <c r="AF1314" s="21"/>
      <c r="AG1314" s="21"/>
      <c r="AH1314" s="21"/>
      <c r="AI1314" s="21"/>
      <c r="AJ1314" s="21"/>
      <c r="AK1314" s="21"/>
      <c r="AL1314" s="21"/>
      <c r="AM1314" s="21"/>
      <c r="AN1314" s="21">
        <v>3</v>
      </c>
      <c r="AO1314" s="21"/>
      <c r="AP1314" s="21"/>
      <c r="AQ1314" s="21"/>
      <c r="AR1314" s="21"/>
      <c r="AS1314" s="21"/>
      <c r="AT1314" s="12" t="str">
        <f>HYPERLINK("http://www.openstreetmap.org/?mlat=34.33&amp;mlon=45.3632&amp;zoom=12#map=12/34.33/45.3632","Maplink1")</f>
        <v>Maplink1</v>
      </c>
      <c r="AU1314" s="12" t="str">
        <f>HYPERLINK("https://www.google.iq/maps/search/+34.33,45.3632/@34.33,45.3632,14z?hl=en","Maplink2")</f>
        <v>Maplink2</v>
      </c>
      <c r="AV1314" s="12" t="str">
        <f>HYPERLINK("http://www.bing.com/maps/?lvl=14&amp;sty=h&amp;cp=34.33~45.3632&amp;sp=point.34.33_45.3632","Maplink3")</f>
        <v>Maplink3</v>
      </c>
    </row>
    <row r="1315" spans="1:48" ht="15" customHeight="1" x14ac:dyDescent="0.25">
      <c r="A1315" s="19">
        <v>24351</v>
      </c>
      <c r="B1315" s="20" t="s">
        <v>14</v>
      </c>
      <c r="C1315" s="20" t="s">
        <v>2420</v>
      </c>
      <c r="D1315" s="20" t="s">
        <v>2490</v>
      </c>
      <c r="E1315" s="20" t="s">
        <v>2491</v>
      </c>
      <c r="F1315" s="20">
        <v>34.343173880000002</v>
      </c>
      <c r="G1315" s="20">
        <v>45.389151820000002</v>
      </c>
      <c r="H1315" s="22">
        <v>41</v>
      </c>
      <c r="I1315" s="22">
        <v>246</v>
      </c>
      <c r="J1315" s="21"/>
      <c r="K1315" s="21"/>
      <c r="L1315" s="21"/>
      <c r="M1315" s="21"/>
      <c r="N1315" s="21"/>
      <c r="O1315" s="21">
        <v>41</v>
      </c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21"/>
      <c r="AH1315" s="21">
        <v>41</v>
      </c>
      <c r="AI1315" s="21"/>
      <c r="AJ1315" s="21"/>
      <c r="AK1315" s="21"/>
      <c r="AL1315" s="21"/>
      <c r="AM1315" s="21">
        <v>41</v>
      </c>
      <c r="AN1315" s="21"/>
      <c r="AO1315" s="21"/>
      <c r="AP1315" s="21"/>
      <c r="AQ1315" s="21"/>
      <c r="AR1315" s="21"/>
      <c r="AS1315" s="21"/>
      <c r="AT1315" s="12" t="str">
        <f>HYPERLINK("http://www.openstreetmap.org/?mlat=34.3432&amp;mlon=45.3892&amp;zoom=12#map=12/34.3432/45.3892","Maplink1")</f>
        <v>Maplink1</v>
      </c>
      <c r="AU1315" s="12" t="str">
        <f>HYPERLINK("https://www.google.iq/maps/search/+34.3432,45.3892/@34.3432,45.3892,14z?hl=en","Maplink2")</f>
        <v>Maplink2</v>
      </c>
      <c r="AV1315" s="12" t="str">
        <f>HYPERLINK("http://www.bing.com/maps/?lvl=14&amp;sty=h&amp;cp=34.3432~45.3892&amp;sp=point.34.3432_45.3892","Maplink3")</f>
        <v>Maplink3</v>
      </c>
    </row>
    <row r="1316" spans="1:48" ht="15" customHeight="1" x14ac:dyDescent="0.25">
      <c r="A1316" s="19">
        <v>24402</v>
      </c>
      <c r="B1316" s="20" t="s">
        <v>14</v>
      </c>
      <c r="C1316" s="20" t="s">
        <v>2420</v>
      </c>
      <c r="D1316" s="20" t="s">
        <v>2492</v>
      </c>
      <c r="E1316" s="20" t="s">
        <v>2493</v>
      </c>
      <c r="F1316" s="20">
        <v>34.374568629999999</v>
      </c>
      <c r="G1316" s="20">
        <v>45.248973290000002</v>
      </c>
      <c r="H1316" s="22">
        <v>3</v>
      </c>
      <c r="I1316" s="22">
        <v>18</v>
      </c>
      <c r="J1316" s="21"/>
      <c r="K1316" s="21"/>
      <c r="L1316" s="21"/>
      <c r="M1316" s="21"/>
      <c r="N1316" s="21"/>
      <c r="O1316" s="21">
        <v>3</v>
      </c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>
        <v>3</v>
      </c>
      <c r="AD1316" s="21"/>
      <c r="AE1316" s="21"/>
      <c r="AF1316" s="21"/>
      <c r="AG1316" s="21"/>
      <c r="AH1316" s="21"/>
      <c r="AI1316" s="21"/>
      <c r="AJ1316" s="21"/>
      <c r="AK1316" s="21"/>
      <c r="AL1316" s="21"/>
      <c r="AM1316" s="21"/>
      <c r="AN1316" s="21">
        <v>3</v>
      </c>
      <c r="AO1316" s="21"/>
      <c r="AP1316" s="21"/>
      <c r="AQ1316" s="21"/>
      <c r="AR1316" s="21"/>
      <c r="AS1316" s="21"/>
      <c r="AT1316" s="12" t="str">
        <f>HYPERLINK("http://www.openstreetmap.org/?mlat=34.3746&amp;mlon=45.249&amp;zoom=12#map=12/34.3746/45.249","Maplink1")</f>
        <v>Maplink1</v>
      </c>
      <c r="AU1316" s="12" t="str">
        <f>HYPERLINK("https://www.google.iq/maps/search/+34.3746,45.249/@34.3746,45.249,14z?hl=en","Maplink2")</f>
        <v>Maplink2</v>
      </c>
      <c r="AV1316" s="12" t="str">
        <f>HYPERLINK("http://www.bing.com/maps/?lvl=14&amp;sty=h&amp;cp=34.3746~45.249&amp;sp=point.34.3746_45.249","Maplink3")</f>
        <v>Maplink3</v>
      </c>
    </row>
    <row r="1317" spans="1:48" ht="15" customHeight="1" x14ac:dyDescent="0.25">
      <c r="A1317" s="19">
        <v>10924</v>
      </c>
      <c r="B1317" s="20" t="s">
        <v>14</v>
      </c>
      <c r="C1317" s="20" t="s">
        <v>2420</v>
      </c>
      <c r="D1317" s="20" t="s">
        <v>2494</v>
      </c>
      <c r="E1317" s="20" t="s">
        <v>2495</v>
      </c>
      <c r="F1317" s="20">
        <v>34.323529090000001</v>
      </c>
      <c r="G1317" s="20">
        <v>45.417477169999998</v>
      </c>
      <c r="H1317" s="22">
        <v>32</v>
      </c>
      <c r="I1317" s="22">
        <v>192</v>
      </c>
      <c r="J1317" s="21"/>
      <c r="K1317" s="21"/>
      <c r="L1317" s="21"/>
      <c r="M1317" s="21"/>
      <c r="N1317" s="21"/>
      <c r="O1317" s="21">
        <v>32</v>
      </c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>
        <v>5</v>
      </c>
      <c r="AE1317" s="21"/>
      <c r="AF1317" s="21"/>
      <c r="AG1317" s="21"/>
      <c r="AH1317" s="21">
        <v>16</v>
      </c>
      <c r="AI1317" s="21"/>
      <c r="AJ1317" s="21">
        <v>11</v>
      </c>
      <c r="AK1317" s="21"/>
      <c r="AL1317" s="21"/>
      <c r="AM1317" s="21">
        <v>22</v>
      </c>
      <c r="AN1317" s="21">
        <v>10</v>
      </c>
      <c r="AO1317" s="21"/>
      <c r="AP1317" s="21"/>
      <c r="AQ1317" s="21"/>
      <c r="AR1317" s="21"/>
      <c r="AS1317" s="21"/>
      <c r="AT1317" s="12" t="str">
        <f>HYPERLINK("http://www.openstreetmap.org/?mlat=34.3235&amp;mlon=45.4175&amp;zoom=12#map=12/34.3235/45.4175","Maplink1")</f>
        <v>Maplink1</v>
      </c>
      <c r="AU1317" s="12" t="str">
        <f>HYPERLINK("https://www.google.iq/maps/search/+34.3235,45.4175/@34.3235,45.4175,14z?hl=en","Maplink2")</f>
        <v>Maplink2</v>
      </c>
      <c r="AV1317" s="12" t="str">
        <f>HYPERLINK("http://www.bing.com/maps/?lvl=14&amp;sty=h&amp;cp=34.3235~45.4175&amp;sp=point.34.3235_45.4175","Maplink3")</f>
        <v>Maplink3</v>
      </c>
    </row>
    <row r="1318" spans="1:48" ht="15" customHeight="1" x14ac:dyDescent="0.25">
      <c r="A1318" s="19">
        <v>25249</v>
      </c>
      <c r="B1318" s="20" t="s">
        <v>14</v>
      </c>
      <c r="C1318" s="20" t="s">
        <v>2420</v>
      </c>
      <c r="D1318" s="20" t="s">
        <v>2496</v>
      </c>
      <c r="E1318" s="20" t="s">
        <v>2497</v>
      </c>
      <c r="F1318" s="20">
        <v>34.35850962</v>
      </c>
      <c r="G1318" s="20">
        <v>45.394122099999997</v>
      </c>
      <c r="H1318" s="22">
        <v>13</v>
      </c>
      <c r="I1318" s="22">
        <v>78</v>
      </c>
      <c r="J1318" s="21"/>
      <c r="K1318" s="21"/>
      <c r="L1318" s="21"/>
      <c r="M1318" s="21"/>
      <c r="N1318" s="21"/>
      <c r="O1318" s="21">
        <v>13</v>
      </c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21"/>
      <c r="AH1318" s="21">
        <v>13</v>
      </c>
      <c r="AI1318" s="21"/>
      <c r="AJ1318" s="21"/>
      <c r="AK1318" s="21"/>
      <c r="AL1318" s="21"/>
      <c r="AM1318" s="21">
        <v>13</v>
      </c>
      <c r="AN1318" s="21"/>
      <c r="AO1318" s="21"/>
      <c r="AP1318" s="21"/>
      <c r="AQ1318" s="21"/>
      <c r="AR1318" s="21"/>
      <c r="AS1318" s="21"/>
      <c r="AT1318" s="12" t="str">
        <f>HYPERLINK("http://www.openstreetmap.org/?mlat=34.3585&amp;mlon=45.3941&amp;zoom=12#map=12/34.3585/45.3941","Maplink1")</f>
        <v>Maplink1</v>
      </c>
      <c r="AU1318" s="12" t="str">
        <f>HYPERLINK("https://www.google.iq/maps/search/+34.3585,45.3941/@34.3585,45.3941,14z?hl=en","Maplink2")</f>
        <v>Maplink2</v>
      </c>
      <c r="AV1318" s="12" t="str">
        <f>HYPERLINK("http://www.bing.com/maps/?lvl=14&amp;sty=h&amp;cp=34.3585~45.3941&amp;sp=point.34.3585_45.3941","Maplink3")</f>
        <v>Maplink3</v>
      </c>
    </row>
    <row r="1319" spans="1:48" ht="15" customHeight="1" x14ac:dyDescent="0.25">
      <c r="A1319" s="19">
        <v>25250</v>
      </c>
      <c r="B1319" s="20" t="s">
        <v>14</v>
      </c>
      <c r="C1319" s="20" t="s">
        <v>2420</v>
      </c>
      <c r="D1319" s="20" t="s">
        <v>2498</v>
      </c>
      <c r="E1319" s="20" t="s">
        <v>2499</v>
      </c>
      <c r="F1319" s="20">
        <v>34.360629400000001</v>
      </c>
      <c r="G1319" s="20">
        <v>45.390888150000002</v>
      </c>
      <c r="H1319" s="22">
        <v>41</v>
      </c>
      <c r="I1319" s="22">
        <v>246</v>
      </c>
      <c r="J1319" s="21"/>
      <c r="K1319" s="21"/>
      <c r="L1319" s="21"/>
      <c r="M1319" s="21"/>
      <c r="N1319" s="21"/>
      <c r="O1319" s="21">
        <v>41</v>
      </c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21"/>
      <c r="AH1319" s="21">
        <v>39</v>
      </c>
      <c r="AI1319" s="21"/>
      <c r="AJ1319" s="21">
        <v>2</v>
      </c>
      <c r="AK1319" s="21"/>
      <c r="AL1319" s="21"/>
      <c r="AM1319" s="21">
        <v>35</v>
      </c>
      <c r="AN1319" s="21"/>
      <c r="AO1319" s="21"/>
      <c r="AP1319" s="21"/>
      <c r="AQ1319" s="21"/>
      <c r="AR1319" s="21"/>
      <c r="AS1319" s="21">
        <v>6</v>
      </c>
      <c r="AT1319" s="12" t="str">
        <f>HYPERLINK("http://www.openstreetmap.org/?mlat=34.3606&amp;mlon=45.3909&amp;zoom=12#map=12/34.3606/45.3909","Maplink1")</f>
        <v>Maplink1</v>
      </c>
      <c r="AU1319" s="12" t="str">
        <f>HYPERLINK("https://www.google.iq/maps/search/+34.3606,45.3909/@34.3606,45.3909,14z?hl=en","Maplink2")</f>
        <v>Maplink2</v>
      </c>
      <c r="AV1319" s="12" t="str">
        <f>HYPERLINK("http://www.bing.com/maps/?lvl=14&amp;sty=h&amp;cp=34.3606~45.3909&amp;sp=point.34.3606_45.3909","Maplink3")</f>
        <v>Maplink3</v>
      </c>
    </row>
    <row r="1320" spans="1:48" ht="15" customHeight="1" x14ac:dyDescent="0.25">
      <c r="A1320" s="19">
        <v>25818</v>
      </c>
      <c r="B1320" s="20" t="s">
        <v>14</v>
      </c>
      <c r="C1320" s="20" t="s">
        <v>2420</v>
      </c>
      <c r="D1320" s="20" t="s">
        <v>2500</v>
      </c>
      <c r="E1320" s="20" t="s">
        <v>2501</v>
      </c>
      <c r="F1320" s="20">
        <v>34.544173659999998</v>
      </c>
      <c r="G1320" s="20">
        <v>45.391007780000002</v>
      </c>
      <c r="H1320" s="22">
        <v>251</v>
      </c>
      <c r="I1320" s="22">
        <v>1506</v>
      </c>
      <c r="J1320" s="21">
        <v>14</v>
      </c>
      <c r="K1320" s="21">
        <v>7</v>
      </c>
      <c r="L1320" s="21">
        <v>1</v>
      </c>
      <c r="M1320" s="21"/>
      <c r="N1320" s="21"/>
      <c r="O1320" s="21">
        <v>224</v>
      </c>
      <c r="P1320" s="21"/>
      <c r="Q1320" s="21"/>
      <c r="R1320" s="21"/>
      <c r="S1320" s="21"/>
      <c r="T1320" s="21"/>
      <c r="U1320" s="21"/>
      <c r="V1320" s="21"/>
      <c r="W1320" s="21"/>
      <c r="X1320" s="21">
        <v>5</v>
      </c>
      <c r="Y1320" s="21"/>
      <c r="Z1320" s="21"/>
      <c r="AA1320" s="21"/>
      <c r="AB1320" s="21">
        <v>251</v>
      </c>
      <c r="AC1320" s="21"/>
      <c r="AD1320" s="21"/>
      <c r="AE1320" s="21"/>
      <c r="AF1320" s="21"/>
      <c r="AG1320" s="21"/>
      <c r="AH1320" s="21"/>
      <c r="AI1320" s="21"/>
      <c r="AJ1320" s="21"/>
      <c r="AK1320" s="21"/>
      <c r="AL1320" s="21">
        <v>6</v>
      </c>
      <c r="AM1320" s="21">
        <v>134</v>
      </c>
      <c r="AN1320" s="21">
        <v>3</v>
      </c>
      <c r="AO1320" s="21">
        <v>57</v>
      </c>
      <c r="AP1320" s="21">
        <v>27</v>
      </c>
      <c r="AQ1320" s="21">
        <v>24</v>
      </c>
      <c r="AR1320" s="21"/>
      <c r="AS1320" s="21"/>
      <c r="AT1320" s="12" t="str">
        <f>HYPERLINK("http://www.openstreetmap.org/?mlat=34.5442&amp;mlon=45.391&amp;zoom=12#map=12/34.5442/45.391","Maplink1")</f>
        <v>Maplink1</v>
      </c>
      <c r="AU1320" s="12" t="str">
        <f>HYPERLINK("https://www.google.iq/maps/search/+34.5442,45.391/@34.5442,45.391,14z?hl=en","Maplink2")</f>
        <v>Maplink2</v>
      </c>
      <c r="AV1320" s="12" t="str">
        <f>HYPERLINK("http://www.bing.com/maps/?lvl=14&amp;sty=h&amp;cp=34.5442~45.391&amp;sp=point.34.5442_45.391","Maplink3")</f>
        <v>Maplink3</v>
      </c>
    </row>
    <row r="1321" spans="1:48" ht="15" customHeight="1" x14ac:dyDescent="0.25">
      <c r="A1321" s="19">
        <v>24411</v>
      </c>
      <c r="B1321" s="20" t="s">
        <v>14</v>
      </c>
      <c r="C1321" s="20" t="s">
        <v>2420</v>
      </c>
      <c r="D1321" s="20" t="s">
        <v>2502</v>
      </c>
      <c r="E1321" s="20" t="s">
        <v>2503</v>
      </c>
      <c r="F1321" s="20">
        <v>34.421144630000001</v>
      </c>
      <c r="G1321" s="20">
        <v>45.289509340000002</v>
      </c>
      <c r="H1321" s="22">
        <v>10</v>
      </c>
      <c r="I1321" s="22">
        <v>60</v>
      </c>
      <c r="J1321" s="21"/>
      <c r="K1321" s="21"/>
      <c r="L1321" s="21"/>
      <c r="M1321" s="21"/>
      <c r="N1321" s="21"/>
      <c r="O1321" s="21">
        <v>10</v>
      </c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>
        <v>10</v>
      </c>
      <c r="AD1321" s="21"/>
      <c r="AE1321" s="21"/>
      <c r="AF1321" s="21"/>
      <c r="AG1321" s="21"/>
      <c r="AH1321" s="21"/>
      <c r="AI1321" s="21"/>
      <c r="AJ1321" s="21"/>
      <c r="AK1321" s="21"/>
      <c r="AL1321" s="21"/>
      <c r="AM1321" s="21">
        <v>10</v>
      </c>
      <c r="AN1321" s="21"/>
      <c r="AO1321" s="21"/>
      <c r="AP1321" s="21"/>
      <c r="AQ1321" s="21"/>
      <c r="AR1321" s="21"/>
      <c r="AS1321" s="21"/>
      <c r="AT1321" s="12" t="str">
        <f>HYPERLINK("http://www.openstreetmap.org/?mlat=34.4211&amp;mlon=45.2895&amp;zoom=12#map=12/34.4211/45.2895","Maplink1")</f>
        <v>Maplink1</v>
      </c>
      <c r="AU1321" s="12" t="str">
        <f>HYPERLINK("https://www.google.iq/maps/search/+34.4211,45.2895/@34.4211,45.2895,14z?hl=en","Maplink2")</f>
        <v>Maplink2</v>
      </c>
      <c r="AV1321" s="12" t="str">
        <f>HYPERLINK("http://www.bing.com/maps/?lvl=14&amp;sty=h&amp;cp=34.4211~45.2895&amp;sp=point.34.4211_45.2895","Maplink3")</f>
        <v>Maplink3</v>
      </c>
    </row>
    <row r="1322" spans="1:48" ht="15" customHeight="1" x14ac:dyDescent="0.25">
      <c r="A1322" s="19">
        <v>10398</v>
      </c>
      <c r="B1322" s="20" t="s">
        <v>14</v>
      </c>
      <c r="C1322" s="20" t="s">
        <v>2420</v>
      </c>
      <c r="D1322" s="20" t="s">
        <v>5801</v>
      </c>
      <c r="E1322" s="20" t="s">
        <v>5802</v>
      </c>
      <c r="F1322" s="20">
        <v>34.606920000000002</v>
      </c>
      <c r="G1322" s="20">
        <v>45.495840000000001</v>
      </c>
      <c r="H1322" s="22">
        <v>5</v>
      </c>
      <c r="I1322" s="22">
        <v>30</v>
      </c>
      <c r="J1322" s="21"/>
      <c r="K1322" s="21"/>
      <c r="L1322" s="21"/>
      <c r="M1322" s="21"/>
      <c r="N1322" s="21"/>
      <c r="O1322" s="21">
        <v>5</v>
      </c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21"/>
      <c r="AH1322" s="21">
        <v>5</v>
      </c>
      <c r="AI1322" s="21"/>
      <c r="AJ1322" s="21"/>
      <c r="AK1322" s="21"/>
      <c r="AL1322" s="21"/>
      <c r="AM1322" s="21">
        <v>4</v>
      </c>
      <c r="AN1322" s="21">
        <v>1</v>
      </c>
      <c r="AO1322" s="21"/>
      <c r="AP1322" s="21"/>
      <c r="AQ1322" s="21"/>
      <c r="AR1322" s="21"/>
      <c r="AS1322" s="21"/>
      <c r="AT1322" s="12" t="str">
        <f>HYPERLINK("http://www.openstreetmap.org/?mlat=34.6069&amp;mlon=45.4958&amp;zoom=12#map=12/34.6069/45.4958","Maplink1")</f>
        <v>Maplink1</v>
      </c>
      <c r="AU1322" s="12" t="str">
        <f>HYPERLINK("https://www.google.iq/maps/search/+34.6069,45.4958/@34.6069,45.4958,14z?hl=en","Maplink2")</f>
        <v>Maplink2</v>
      </c>
      <c r="AV1322" s="12" t="str">
        <f>HYPERLINK("http://www.bing.com/maps/?lvl=14&amp;sty=h&amp;cp=34.6069~45.4958&amp;sp=point.34.6069_45.4958","Maplink3")</f>
        <v>Maplink3</v>
      </c>
    </row>
    <row r="1323" spans="1:48" ht="15" customHeight="1" x14ac:dyDescent="0.25">
      <c r="A1323" s="19">
        <v>10511</v>
      </c>
      <c r="B1323" s="20" t="s">
        <v>14</v>
      </c>
      <c r="C1323" s="20" t="s">
        <v>2420</v>
      </c>
      <c r="D1323" s="20" t="s">
        <v>2504</v>
      </c>
      <c r="E1323" s="20" t="s">
        <v>2505</v>
      </c>
      <c r="F1323" s="20">
        <v>34.373047337599999</v>
      </c>
      <c r="G1323" s="20">
        <v>45.277623151199997</v>
      </c>
      <c r="H1323" s="22">
        <v>3</v>
      </c>
      <c r="I1323" s="22">
        <v>18</v>
      </c>
      <c r="J1323" s="21"/>
      <c r="K1323" s="21"/>
      <c r="L1323" s="21"/>
      <c r="M1323" s="21"/>
      <c r="N1323" s="21"/>
      <c r="O1323" s="21">
        <v>3</v>
      </c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>
        <v>3</v>
      </c>
      <c r="AD1323" s="21"/>
      <c r="AE1323" s="21"/>
      <c r="AF1323" s="21"/>
      <c r="AG1323" s="21"/>
      <c r="AH1323" s="21"/>
      <c r="AI1323" s="21"/>
      <c r="AJ1323" s="21"/>
      <c r="AK1323" s="21"/>
      <c r="AL1323" s="21"/>
      <c r="AM1323" s="21">
        <v>3</v>
      </c>
      <c r="AN1323" s="21"/>
      <c r="AO1323" s="21"/>
      <c r="AP1323" s="21"/>
      <c r="AQ1323" s="21"/>
      <c r="AR1323" s="21"/>
      <c r="AS1323" s="21"/>
      <c r="AT1323" s="12" t="str">
        <f>HYPERLINK("http://www.openstreetmap.org/?mlat=34.373&amp;mlon=45.2776&amp;zoom=12#map=12/34.373/45.2776","Maplink1")</f>
        <v>Maplink1</v>
      </c>
      <c r="AU1323" s="12" t="str">
        <f>HYPERLINK("https://www.google.iq/maps/search/+34.373,45.2776/@34.373,45.2776,14z?hl=en","Maplink2")</f>
        <v>Maplink2</v>
      </c>
      <c r="AV1323" s="12" t="str">
        <f>HYPERLINK("http://www.bing.com/maps/?lvl=14&amp;sty=h&amp;cp=34.373~45.2776&amp;sp=point.34.373_45.2776","Maplink3")</f>
        <v>Maplink3</v>
      </c>
    </row>
    <row r="1324" spans="1:48" ht="15" customHeight="1" x14ac:dyDescent="0.25">
      <c r="A1324" s="19">
        <v>25247</v>
      </c>
      <c r="B1324" s="20" t="s">
        <v>14</v>
      </c>
      <c r="C1324" s="20" t="s">
        <v>2420</v>
      </c>
      <c r="D1324" s="20" t="s">
        <v>2506</v>
      </c>
      <c r="E1324" s="20" t="s">
        <v>2507</v>
      </c>
      <c r="F1324" s="20">
        <v>34.321086059999999</v>
      </c>
      <c r="G1324" s="20">
        <v>45.382109079999999</v>
      </c>
      <c r="H1324" s="22">
        <v>35</v>
      </c>
      <c r="I1324" s="22">
        <v>210</v>
      </c>
      <c r="J1324" s="21"/>
      <c r="K1324" s="21"/>
      <c r="L1324" s="21"/>
      <c r="M1324" s="21"/>
      <c r="N1324" s="21"/>
      <c r="O1324" s="21">
        <v>35</v>
      </c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21"/>
      <c r="AH1324" s="21">
        <v>20</v>
      </c>
      <c r="AI1324" s="21"/>
      <c r="AJ1324" s="21">
        <v>15</v>
      </c>
      <c r="AK1324" s="21"/>
      <c r="AL1324" s="21"/>
      <c r="AM1324" s="21">
        <v>23</v>
      </c>
      <c r="AN1324" s="21">
        <v>12</v>
      </c>
      <c r="AO1324" s="21"/>
      <c r="AP1324" s="21"/>
      <c r="AQ1324" s="21"/>
      <c r="AR1324" s="21"/>
      <c r="AS1324" s="21"/>
      <c r="AT1324" s="12" t="str">
        <f>HYPERLINK("http://www.openstreetmap.org/?mlat=34.3211&amp;mlon=45.3821&amp;zoom=12#map=12/34.3211/45.3821","Maplink1")</f>
        <v>Maplink1</v>
      </c>
      <c r="AU1324" s="12" t="str">
        <f>HYPERLINK("https://www.google.iq/maps/search/+34.3211,45.3821/@34.3211,45.3821,14z?hl=en","Maplink2")</f>
        <v>Maplink2</v>
      </c>
      <c r="AV1324" s="12" t="str">
        <f>HYPERLINK("http://www.bing.com/maps/?lvl=14&amp;sty=h&amp;cp=34.3211~45.3821&amp;sp=point.34.3211_45.3821","Maplink3")</f>
        <v>Maplink3</v>
      </c>
    </row>
    <row r="1325" spans="1:48" ht="15" customHeight="1" x14ac:dyDescent="0.25">
      <c r="A1325" s="19">
        <v>25248</v>
      </c>
      <c r="B1325" s="20" t="s">
        <v>14</v>
      </c>
      <c r="C1325" s="20" t="s">
        <v>2420</v>
      </c>
      <c r="D1325" s="20" t="s">
        <v>2508</v>
      </c>
      <c r="E1325" s="20" t="s">
        <v>2509</v>
      </c>
      <c r="F1325" s="20">
        <v>34.316718360000003</v>
      </c>
      <c r="G1325" s="20">
        <v>45.384448190000001</v>
      </c>
      <c r="H1325" s="22">
        <v>18</v>
      </c>
      <c r="I1325" s="22">
        <v>108</v>
      </c>
      <c r="J1325" s="21"/>
      <c r="K1325" s="21"/>
      <c r="L1325" s="21"/>
      <c r="M1325" s="21"/>
      <c r="N1325" s="21"/>
      <c r="O1325" s="21">
        <v>18</v>
      </c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21"/>
      <c r="AH1325" s="21">
        <v>10</v>
      </c>
      <c r="AI1325" s="21"/>
      <c r="AJ1325" s="21">
        <v>8</v>
      </c>
      <c r="AK1325" s="21"/>
      <c r="AL1325" s="21"/>
      <c r="AM1325" s="21">
        <v>18</v>
      </c>
      <c r="AN1325" s="21"/>
      <c r="AO1325" s="21"/>
      <c r="AP1325" s="21"/>
      <c r="AQ1325" s="21"/>
      <c r="AR1325" s="21"/>
      <c r="AS1325" s="21"/>
      <c r="AT1325" s="12" t="str">
        <f>HYPERLINK("http://www.openstreetmap.org/?mlat=34.3167&amp;mlon=45.3844&amp;zoom=12#map=12/34.3167/45.3844","Maplink1")</f>
        <v>Maplink1</v>
      </c>
      <c r="AU1325" s="12" t="str">
        <f>HYPERLINK("https://www.google.iq/maps/search/+34.3167,45.3844/@34.3167,45.3844,14z?hl=en","Maplink2")</f>
        <v>Maplink2</v>
      </c>
      <c r="AV1325" s="12" t="str">
        <f>HYPERLINK("http://www.bing.com/maps/?lvl=14&amp;sty=h&amp;cp=34.3167~45.3844&amp;sp=point.34.3167_45.3844","Maplink3")</f>
        <v>Maplink3</v>
      </c>
    </row>
    <row r="1326" spans="1:48" ht="15" customHeight="1" x14ac:dyDescent="0.25">
      <c r="A1326" s="19">
        <v>10403</v>
      </c>
      <c r="B1326" s="20" t="s">
        <v>14</v>
      </c>
      <c r="C1326" s="20" t="s">
        <v>2420</v>
      </c>
      <c r="D1326" s="20" t="s">
        <v>2510</v>
      </c>
      <c r="E1326" s="20" t="s">
        <v>2511</v>
      </c>
      <c r="F1326" s="20">
        <v>34.572276930000001</v>
      </c>
      <c r="G1326" s="20">
        <v>45.339262120000001</v>
      </c>
      <c r="H1326" s="22">
        <v>148</v>
      </c>
      <c r="I1326" s="22">
        <v>888</v>
      </c>
      <c r="J1326" s="21">
        <v>4</v>
      </c>
      <c r="K1326" s="21"/>
      <c r="L1326" s="21">
        <v>5</v>
      </c>
      <c r="M1326" s="21"/>
      <c r="N1326" s="21"/>
      <c r="O1326" s="21">
        <v>137</v>
      </c>
      <c r="P1326" s="21"/>
      <c r="Q1326" s="21"/>
      <c r="R1326" s="21"/>
      <c r="S1326" s="21"/>
      <c r="T1326" s="21"/>
      <c r="U1326" s="21"/>
      <c r="V1326" s="21"/>
      <c r="W1326" s="21"/>
      <c r="X1326" s="21">
        <v>2</v>
      </c>
      <c r="Y1326" s="21"/>
      <c r="Z1326" s="21"/>
      <c r="AA1326" s="21"/>
      <c r="AB1326" s="21"/>
      <c r="AC1326" s="21"/>
      <c r="AD1326" s="21"/>
      <c r="AE1326" s="21"/>
      <c r="AF1326" s="21"/>
      <c r="AG1326" s="21"/>
      <c r="AH1326" s="21">
        <v>148</v>
      </c>
      <c r="AI1326" s="21"/>
      <c r="AJ1326" s="21"/>
      <c r="AK1326" s="21"/>
      <c r="AL1326" s="21"/>
      <c r="AM1326" s="21">
        <v>50</v>
      </c>
      <c r="AN1326" s="21">
        <v>17</v>
      </c>
      <c r="AO1326" s="21">
        <v>30</v>
      </c>
      <c r="AP1326" s="21">
        <v>13</v>
      </c>
      <c r="AQ1326" s="21">
        <v>15</v>
      </c>
      <c r="AR1326" s="21"/>
      <c r="AS1326" s="21">
        <v>23</v>
      </c>
      <c r="AT1326" s="12" t="str">
        <f>HYPERLINK("http://www.openstreetmap.org/?mlat=34.5723&amp;mlon=45.3393&amp;zoom=12#map=12/34.5723/45.3393","Maplink1")</f>
        <v>Maplink1</v>
      </c>
      <c r="AU1326" s="12" t="str">
        <f>HYPERLINK("https://www.google.iq/maps/search/+34.5723,45.3393/@34.5723,45.3393,14z?hl=en","Maplink2")</f>
        <v>Maplink2</v>
      </c>
      <c r="AV1326" s="12" t="str">
        <f>HYPERLINK("http://www.bing.com/maps/?lvl=14&amp;sty=h&amp;cp=34.5723~45.3393&amp;sp=point.34.5723_45.3393","Maplink3")</f>
        <v>Maplink3</v>
      </c>
    </row>
    <row r="1327" spans="1:48" ht="15" customHeight="1" x14ac:dyDescent="0.25">
      <c r="A1327" s="19">
        <v>11157</v>
      </c>
      <c r="B1327" s="20" t="s">
        <v>14</v>
      </c>
      <c r="C1327" s="20" t="s">
        <v>2420</v>
      </c>
      <c r="D1327" s="20" t="s">
        <v>5803</v>
      </c>
      <c r="E1327" s="20" t="s">
        <v>5804</v>
      </c>
      <c r="F1327" s="20">
        <v>34.506610000000002</v>
      </c>
      <c r="G1327" s="20">
        <v>45.341059999999999</v>
      </c>
      <c r="H1327" s="22">
        <v>12</v>
      </c>
      <c r="I1327" s="22">
        <v>72</v>
      </c>
      <c r="J1327" s="21"/>
      <c r="K1327" s="21"/>
      <c r="L1327" s="21"/>
      <c r="M1327" s="21"/>
      <c r="N1327" s="21"/>
      <c r="O1327" s="21">
        <v>12</v>
      </c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21"/>
      <c r="AH1327" s="21">
        <v>12</v>
      </c>
      <c r="AI1327" s="21"/>
      <c r="AJ1327" s="21"/>
      <c r="AK1327" s="21"/>
      <c r="AL1327" s="21"/>
      <c r="AM1327" s="21">
        <v>3</v>
      </c>
      <c r="AN1327" s="21">
        <v>4</v>
      </c>
      <c r="AO1327" s="21">
        <v>4</v>
      </c>
      <c r="AP1327" s="21"/>
      <c r="AQ1327" s="21"/>
      <c r="AR1327" s="21"/>
      <c r="AS1327" s="21">
        <v>1</v>
      </c>
      <c r="AT1327" s="12" t="str">
        <f>HYPERLINK("http://www.openstreetmap.org/?mlat=34.5066&amp;mlon=45.3411&amp;zoom=12#map=12/34.5066/45.3411","Maplink1")</f>
        <v>Maplink1</v>
      </c>
      <c r="AU1327" s="12" t="str">
        <f>HYPERLINK("https://www.google.iq/maps/search/+34.5066,45.3411/@34.5066,45.3411,14z?hl=en","Maplink2")</f>
        <v>Maplink2</v>
      </c>
      <c r="AV1327" s="12" t="str">
        <f>HYPERLINK("http://www.bing.com/maps/?lvl=14&amp;sty=h&amp;cp=34.5066~45.3411&amp;sp=point.34.5066_45.3411","Maplink3")</f>
        <v>Maplink3</v>
      </c>
    </row>
    <row r="1328" spans="1:48" ht="15" customHeight="1" x14ac:dyDescent="0.25">
      <c r="A1328" s="19">
        <v>24509</v>
      </c>
      <c r="B1328" s="20" t="s">
        <v>14</v>
      </c>
      <c r="C1328" s="20" t="s">
        <v>2420</v>
      </c>
      <c r="D1328" s="20" t="s">
        <v>2512</v>
      </c>
      <c r="E1328" s="20" t="s">
        <v>2513</v>
      </c>
      <c r="F1328" s="20">
        <v>34.348002372499998</v>
      </c>
      <c r="G1328" s="20">
        <v>45.287915664899998</v>
      </c>
      <c r="H1328" s="22">
        <v>1</v>
      </c>
      <c r="I1328" s="22">
        <v>6</v>
      </c>
      <c r="J1328" s="21"/>
      <c r="K1328" s="21"/>
      <c r="L1328" s="21"/>
      <c r="M1328" s="21"/>
      <c r="N1328" s="21"/>
      <c r="O1328" s="21">
        <v>1</v>
      </c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21"/>
      <c r="AH1328" s="21">
        <v>1</v>
      </c>
      <c r="AI1328" s="21"/>
      <c r="AJ1328" s="21"/>
      <c r="AK1328" s="21"/>
      <c r="AL1328" s="21"/>
      <c r="AM1328" s="21"/>
      <c r="AN1328" s="21">
        <v>1</v>
      </c>
      <c r="AO1328" s="21"/>
      <c r="AP1328" s="21"/>
      <c r="AQ1328" s="21"/>
      <c r="AR1328" s="21"/>
      <c r="AS1328" s="21"/>
      <c r="AT1328" s="12" t="str">
        <f>HYPERLINK("http://www.openstreetmap.org/?mlat=34.348&amp;mlon=45.2879&amp;zoom=12#map=12/34.348/45.2879","Maplink1")</f>
        <v>Maplink1</v>
      </c>
      <c r="AU1328" s="12" t="str">
        <f>HYPERLINK("https://www.google.iq/maps/search/+34.348,45.2879/@34.348,45.2879,14z?hl=en","Maplink2")</f>
        <v>Maplink2</v>
      </c>
      <c r="AV1328" s="12" t="str">
        <f>HYPERLINK("http://www.bing.com/maps/?lvl=14&amp;sty=h&amp;cp=34.348~45.2879&amp;sp=point.34.348_45.2879","Maplink3")</f>
        <v>Maplink3</v>
      </c>
    </row>
    <row r="1329" spans="1:48" ht="15" customHeight="1" x14ac:dyDescent="0.25">
      <c r="A1329" s="19">
        <v>24392</v>
      </c>
      <c r="B1329" s="20" t="s">
        <v>14</v>
      </c>
      <c r="C1329" s="20" t="s">
        <v>2420</v>
      </c>
      <c r="D1329" s="20" t="s">
        <v>2514</v>
      </c>
      <c r="E1329" s="20" t="s">
        <v>2515</v>
      </c>
      <c r="F1329" s="20">
        <v>34.356910499999998</v>
      </c>
      <c r="G1329" s="20">
        <v>45.337908390000003</v>
      </c>
      <c r="H1329" s="22">
        <v>43</v>
      </c>
      <c r="I1329" s="22">
        <v>258</v>
      </c>
      <c r="J1329" s="21"/>
      <c r="K1329" s="21"/>
      <c r="L1329" s="21"/>
      <c r="M1329" s="21"/>
      <c r="N1329" s="21"/>
      <c r="O1329" s="21">
        <v>43</v>
      </c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>
        <v>14</v>
      </c>
      <c r="AD1329" s="21"/>
      <c r="AE1329" s="21"/>
      <c r="AF1329" s="21"/>
      <c r="AG1329" s="21"/>
      <c r="AH1329" s="21">
        <v>29</v>
      </c>
      <c r="AI1329" s="21"/>
      <c r="AJ1329" s="21"/>
      <c r="AK1329" s="21"/>
      <c r="AL1329" s="21"/>
      <c r="AM1329" s="21">
        <v>43</v>
      </c>
      <c r="AN1329" s="21"/>
      <c r="AO1329" s="21"/>
      <c r="AP1329" s="21"/>
      <c r="AQ1329" s="21"/>
      <c r="AR1329" s="21"/>
      <c r="AS1329" s="21"/>
      <c r="AT1329" s="12" t="str">
        <f>HYPERLINK("http://www.openstreetmap.org/?mlat=34.3569&amp;mlon=45.3379&amp;zoom=12#map=12/34.3569/45.3379","Maplink1")</f>
        <v>Maplink1</v>
      </c>
      <c r="AU1329" s="12" t="str">
        <f>HYPERLINK("https://www.google.iq/maps/search/+34.3569,45.3379/@34.3569,45.3379,14z?hl=en","Maplink2")</f>
        <v>Maplink2</v>
      </c>
      <c r="AV1329" s="12" t="str">
        <f>HYPERLINK("http://www.bing.com/maps/?lvl=14&amp;sty=h&amp;cp=34.3569~45.3379&amp;sp=point.34.3569_45.3379","Maplink3")</f>
        <v>Maplink3</v>
      </c>
    </row>
    <row r="1330" spans="1:48" ht="15" customHeight="1" x14ac:dyDescent="0.25">
      <c r="A1330" s="19">
        <v>24408</v>
      </c>
      <c r="B1330" s="20" t="s">
        <v>14</v>
      </c>
      <c r="C1330" s="20" t="s">
        <v>2420</v>
      </c>
      <c r="D1330" s="20" t="s">
        <v>2516</v>
      </c>
      <c r="E1330" s="20" t="s">
        <v>2517</v>
      </c>
      <c r="F1330" s="20">
        <v>34.388416640000003</v>
      </c>
      <c r="G1330" s="20">
        <v>45.220005260000001</v>
      </c>
      <c r="H1330" s="22">
        <v>8</v>
      </c>
      <c r="I1330" s="22">
        <v>48</v>
      </c>
      <c r="J1330" s="21"/>
      <c r="K1330" s="21"/>
      <c r="L1330" s="21"/>
      <c r="M1330" s="21"/>
      <c r="N1330" s="21"/>
      <c r="O1330" s="21">
        <v>8</v>
      </c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>
        <v>8</v>
      </c>
      <c r="AD1330" s="21"/>
      <c r="AE1330" s="21"/>
      <c r="AF1330" s="21"/>
      <c r="AG1330" s="21"/>
      <c r="AH1330" s="21"/>
      <c r="AI1330" s="21"/>
      <c r="AJ1330" s="21"/>
      <c r="AK1330" s="21"/>
      <c r="AL1330" s="21"/>
      <c r="AM1330" s="21">
        <v>8</v>
      </c>
      <c r="AN1330" s="21"/>
      <c r="AO1330" s="21"/>
      <c r="AP1330" s="21"/>
      <c r="AQ1330" s="21"/>
      <c r="AR1330" s="21"/>
      <c r="AS1330" s="21"/>
      <c r="AT1330" s="12" t="str">
        <f>HYPERLINK("http://www.openstreetmap.org/?mlat=34.3884&amp;mlon=45.22&amp;zoom=12#map=12/34.3884/45.22","Maplink1")</f>
        <v>Maplink1</v>
      </c>
      <c r="AU1330" s="12" t="str">
        <f>HYPERLINK("https://www.google.iq/maps/search/+34.3884,45.22/@34.3884,45.22,14z?hl=en","Maplink2")</f>
        <v>Maplink2</v>
      </c>
      <c r="AV1330" s="12" t="str">
        <f>HYPERLINK("http://www.bing.com/maps/?lvl=14&amp;sty=h&amp;cp=34.3884~45.22&amp;sp=point.34.3884_45.22","Maplink3")</f>
        <v>Maplink3</v>
      </c>
    </row>
    <row r="1331" spans="1:48" ht="15" customHeight="1" x14ac:dyDescent="0.25">
      <c r="A1331" s="19">
        <v>25342</v>
      </c>
      <c r="B1331" s="20" t="s">
        <v>14</v>
      </c>
      <c r="C1331" s="20" t="s">
        <v>2420</v>
      </c>
      <c r="D1331" s="20" t="s">
        <v>2518</v>
      </c>
      <c r="E1331" s="20" t="s">
        <v>2519</v>
      </c>
      <c r="F1331" s="20">
        <v>34.350594141000002</v>
      </c>
      <c r="G1331" s="20">
        <v>45.417759819700002</v>
      </c>
      <c r="H1331" s="22">
        <v>40</v>
      </c>
      <c r="I1331" s="22">
        <v>240</v>
      </c>
      <c r="J1331" s="21"/>
      <c r="K1331" s="21"/>
      <c r="L1331" s="21"/>
      <c r="M1331" s="21"/>
      <c r="N1331" s="21"/>
      <c r="O1331" s="21">
        <v>40</v>
      </c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21"/>
      <c r="AH1331" s="21">
        <v>20</v>
      </c>
      <c r="AI1331" s="21"/>
      <c r="AJ1331" s="21">
        <v>20</v>
      </c>
      <c r="AK1331" s="21"/>
      <c r="AL1331" s="21"/>
      <c r="AM1331" s="21">
        <v>40</v>
      </c>
      <c r="AN1331" s="21"/>
      <c r="AO1331" s="21"/>
      <c r="AP1331" s="21"/>
      <c r="AQ1331" s="21"/>
      <c r="AR1331" s="21"/>
      <c r="AS1331" s="21"/>
      <c r="AT1331" s="12" t="str">
        <f>HYPERLINK("http://www.openstreetmap.org/?mlat=34.3506&amp;mlon=45.4178&amp;zoom=12#map=12/34.3506/45.4178","Maplink1")</f>
        <v>Maplink1</v>
      </c>
      <c r="AU1331" s="12" t="str">
        <f>HYPERLINK("https://www.google.iq/maps/search/+34.3506,45.4178/@34.3506,45.4178,14z?hl=en","Maplink2")</f>
        <v>Maplink2</v>
      </c>
      <c r="AV1331" s="12" t="str">
        <f>HYPERLINK("http://www.bing.com/maps/?lvl=14&amp;sty=h&amp;cp=34.3506~45.4178&amp;sp=point.34.3506_45.4178","Maplink3")</f>
        <v>Maplink3</v>
      </c>
    </row>
    <row r="1332" spans="1:48" ht="15" customHeight="1" x14ac:dyDescent="0.25">
      <c r="A1332" s="19">
        <v>25468</v>
      </c>
      <c r="B1332" s="20" t="s">
        <v>14</v>
      </c>
      <c r="C1332" s="20" t="s">
        <v>2420</v>
      </c>
      <c r="D1332" s="20" t="s">
        <v>2520</v>
      </c>
      <c r="E1332" s="20" t="s">
        <v>2521</v>
      </c>
      <c r="F1332" s="20">
        <v>34.344176740000002</v>
      </c>
      <c r="G1332" s="20">
        <v>45.385153959999997</v>
      </c>
      <c r="H1332" s="22">
        <v>18</v>
      </c>
      <c r="I1332" s="22">
        <v>108</v>
      </c>
      <c r="J1332" s="21"/>
      <c r="K1332" s="21"/>
      <c r="L1332" s="21"/>
      <c r="M1332" s="21"/>
      <c r="N1332" s="21"/>
      <c r="O1332" s="21">
        <v>18</v>
      </c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21"/>
      <c r="AH1332" s="21">
        <v>11</v>
      </c>
      <c r="AI1332" s="21"/>
      <c r="AJ1332" s="21">
        <v>7</v>
      </c>
      <c r="AK1332" s="21"/>
      <c r="AL1332" s="21"/>
      <c r="AM1332" s="21">
        <v>18</v>
      </c>
      <c r="AN1332" s="21"/>
      <c r="AO1332" s="21"/>
      <c r="AP1332" s="21"/>
      <c r="AQ1332" s="21"/>
      <c r="AR1332" s="21"/>
      <c r="AS1332" s="21"/>
      <c r="AT1332" s="12" t="str">
        <f>HYPERLINK("http://www.openstreetmap.org/?mlat=34.3442&amp;mlon=45.3852&amp;zoom=12#map=12/34.3442/45.3852","Maplink1")</f>
        <v>Maplink1</v>
      </c>
      <c r="AU1332" s="12" t="str">
        <f>HYPERLINK("https://www.google.iq/maps/search/+34.3442,45.3852/@34.3442,45.3852,14z?hl=en","Maplink2")</f>
        <v>Maplink2</v>
      </c>
      <c r="AV1332" s="12" t="str">
        <f>HYPERLINK("http://www.bing.com/maps/?lvl=14&amp;sty=h&amp;cp=34.3442~45.3852&amp;sp=point.34.3442_45.3852","Maplink3")</f>
        <v>Maplink3</v>
      </c>
    </row>
    <row r="1333" spans="1:48" ht="15" customHeight="1" x14ac:dyDescent="0.25">
      <c r="A1333" s="19">
        <v>10497</v>
      </c>
      <c r="B1333" s="20" t="s">
        <v>14</v>
      </c>
      <c r="C1333" s="20" t="s">
        <v>2420</v>
      </c>
      <c r="D1333" s="20" t="s">
        <v>2522</v>
      </c>
      <c r="E1333" s="20" t="s">
        <v>2523</v>
      </c>
      <c r="F1333" s="20">
        <v>34.36981084</v>
      </c>
      <c r="G1333" s="20">
        <v>45.214746869999999</v>
      </c>
      <c r="H1333" s="22">
        <v>3</v>
      </c>
      <c r="I1333" s="22">
        <v>18</v>
      </c>
      <c r="J1333" s="21"/>
      <c r="K1333" s="21"/>
      <c r="L1333" s="21"/>
      <c r="M1333" s="21"/>
      <c r="N1333" s="21"/>
      <c r="O1333" s="21">
        <v>3</v>
      </c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>
        <v>3</v>
      </c>
      <c r="AD1333" s="21"/>
      <c r="AE1333" s="21"/>
      <c r="AF1333" s="21"/>
      <c r="AG1333" s="21"/>
      <c r="AH1333" s="21"/>
      <c r="AI1333" s="21"/>
      <c r="AJ1333" s="21"/>
      <c r="AK1333" s="21"/>
      <c r="AL1333" s="21"/>
      <c r="AM1333" s="21">
        <v>3</v>
      </c>
      <c r="AN1333" s="21"/>
      <c r="AO1333" s="21"/>
      <c r="AP1333" s="21"/>
      <c r="AQ1333" s="21"/>
      <c r="AR1333" s="21"/>
      <c r="AS1333" s="21"/>
      <c r="AT1333" s="12" t="str">
        <f>HYPERLINK("http://www.openstreetmap.org/?mlat=34.3698&amp;mlon=45.2147&amp;zoom=12#map=12/34.3698/45.2147","Maplink1")</f>
        <v>Maplink1</v>
      </c>
      <c r="AU1333" s="12" t="str">
        <f>HYPERLINK("https://www.google.iq/maps/search/+34.3698,45.2147/@34.3698,45.2147,14z?hl=en","Maplink2")</f>
        <v>Maplink2</v>
      </c>
      <c r="AV1333" s="12" t="str">
        <f>HYPERLINK("http://www.bing.com/maps/?lvl=14&amp;sty=h&amp;cp=34.3698~45.2147&amp;sp=point.34.3698_45.2147","Maplink3")</f>
        <v>Maplink3</v>
      </c>
    </row>
    <row r="1334" spans="1:48" ht="15" customHeight="1" x14ac:dyDescent="0.25">
      <c r="A1334" s="19">
        <v>10437</v>
      </c>
      <c r="B1334" s="20" t="s">
        <v>14</v>
      </c>
      <c r="C1334" s="20" t="s">
        <v>2420</v>
      </c>
      <c r="D1334" s="20" t="s">
        <v>5805</v>
      </c>
      <c r="E1334" s="20" t="s">
        <v>5806</v>
      </c>
      <c r="F1334" s="20">
        <v>34.552979999999998</v>
      </c>
      <c r="G1334" s="20">
        <v>45.335590000000003</v>
      </c>
      <c r="H1334" s="22">
        <v>15</v>
      </c>
      <c r="I1334" s="22">
        <v>90</v>
      </c>
      <c r="J1334" s="21"/>
      <c r="K1334" s="21"/>
      <c r="L1334" s="21">
        <v>2</v>
      </c>
      <c r="M1334" s="21"/>
      <c r="N1334" s="21"/>
      <c r="O1334" s="21">
        <v>13</v>
      </c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21"/>
      <c r="AH1334" s="21">
        <v>15</v>
      </c>
      <c r="AI1334" s="21"/>
      <c r="AJ1334" s="21"/>
      <c r="AK1334" s="21"/>
      <c r="AL1334" s="21"/>
      <c r="AM1334" s="21">
        <v>7</v>
      </c>
      <c r="AN1334" s="21">
        <v>1</v>
      </c>
      <c r="AO1334" s="21">
        <v>5</v>
      </c>
      <c r="AP1334" s="21"/>
      <c r="AQ1334" s="21">
        <v>2</v>
      </c>
      <c r="AR1334" s="21"/>
      <c r="AS1334" s="21"/>
      <c r="AT1334" s="12" t="str">
        <f>HYPERLINK("http://www.openstreetmap.org/?mlat=34.553&amp;mlon=45.3356&amp;zoom=12#map=12/34.553/45.3356","Maplink1")</f>
        <v>Maplink1</v>
      </c>
      <c r="AU1334" s="12" t="str">
        <f>HYPERLINK("https://www.google.iq/maps/search/+34.553,45.3356/@34.553,45.3356,14z?hl=en","Maplink2")</f>
        <v>Maplink2</v>
      </c>
      <c r="AV1334" s="12" t="str">
        <f>HYPERLINK("http://www.bing.com/maps/?lvl=14&amp;sty=h&amp;cp=34.553~45.3356&amp;sp=point.34.553_45.3356","Maplink3")</f>
        <v>Maplink3</v>
      </c>
    </row>
    <row r="1335" spans="1:48" ht="15" customHeight="1" x14ac:dyDescent="0.25">
      <c r="A1335" s="19">
        <v>24389</v>
      </c>
      <c r="B1335" s="20" t="s">
        <v>14</v>
      </c>
      <c r="C1335" s="20" t="s">
        <v>2420</v>
      </c>
      <c r="D1335" s="20" t="s">
        <v>2524</v>
      </c>
      <c r="E1335" s="20" t="s">
        <v>2525</v>
      </c>
      <c r="F1335" s="20">
        <v>34.313774925399997</v>
      </c>
      <c r="G1335" s="20">
        <v>45.3041094003</v>
      </c>
      <c r="H1335" s="22">
        <v>5</v>
      </c>
      <c r="I1335" s="22">
        <v>30</v>
      </c>
      <c r="J1335" s="21"/>
      <c r="K1335" s="21"/>
      <c r="L1335" s="21"/>
      <c r="M1335" s="21"/>
      <c r="N1335" s="21"/>
      <c r="O1335" s="21">
        <v>5</v>
      </c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>
        <v>3</v>
      </c>
      <c r="AD1335" s="21"/>
      <c r="AE1335" s="21"/>
      <c r="AF1335" s="21"/>
      <c r="AG1335" s="21"/>
      <c r="AH1335" s="21">
        <v>2</v>
      </c>
      <c r="AI1335" s="21"/>
      <c r="AJ1335" s="21"/>
      <c r="AK1335" s="21"/>
      <c r="AL1335" s="21"/>
      <c r="AM1335" s="21">
        <v>5</v>
      </c>
      <c r="AN1335" s="21"/>
      <c r="AO1335" s="21"/>
      <c r="AP1335" s="21"/>
      <c r="AQ1335" s="21"/>
      <c r="AR1335" s="21"/>
      <c r="AS1335" s="21"/>
      <c r="AT1335" s="12" t="str">
        <f>HYPERLINK("http://www.openstreetmap.org/?mlat=34.3138&amp;mlon=45.3041&amp;zoom=12#map=12/34.3138/45.3041","Maplink1")</f>
        <v>Maplink1</v>
      </c>
      <c r="AU1335" s="12" t="str">
        <f>HYPERLINK("https://www.google.iq/maps/search/+34.3138,45.3041/@34.3138,45.3041,14z?hl=en","Maplink2")</f>
        <v>Maplink2</v>
      </c>
      <c r="AV1335" s="12" t="str">
        <f>HYPERLINK("http://www.bing.com/maps/?lvl=14&amp;sty=h&amp;cp=34.3138~45.3041&amp;sp=point.34.3138_45.3041","Maplink3")</f>
        <v>Maplink3</v>
      </c>
    </row>
    <row r="1336" spans="1:48" ht="15" customHeight="1" x14ac:dyDescent="0.25">
      <c r="A1336" s="19">
        <v>11047</v>
      </c>
      <c r="B1336" s="20" t="s">
        <v>14</v>
      </c>
      <c r="C1336" s="20" t="s">
        <v>2420</v>
      </c>
      <c r="D1336" s="20" t="s">
        <v>2526</v>
      </c>
      <c r="E1336" s="20" t="s">
        <v>2527</v>
      </c>
      <c r="F1336" s="20">
        <v>34.354025669999999</v>
      </c>
      <c r="G1336" s="20">
        <v>45.345677979999998</v>
      </c>
      <c r="H1336" s="22">
        <v>165</v>
      </c>
      <c r="I1336" s="22">
        <v>990</v>
      </c>
      <c r="J1336" s="21"/>
      <c r="K1336" s="21"/>
      <c r="L1336" s="21"/>
      <c r="M1336" s="21"/>
      <c r="N1336" s="21"/>
      <c r="O1336" s="21">
        <v>165</v>
      </c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>
        <v>16</v>
      </c>
      <c r="AD1336" s="21"/>
      <c r="AE1336" s="21"/>
      <c r="AF1336" s="21"/>
      <c r="AG1336" s="21"/>
      <c r="AH1336" s="21">
        <v>119</v>
      </c>
      <c r="AI1336" s="21"/>
      <c r="AJ1336" s="21">
        <v>30</v>
      </c>
      <c r="AK1336" s="21"/>
      <c r="AL1336" s="21"/>
      <c r="AM1336" s="21">
        <v>145</v>
      </c>
      <c r="AN1336" s="21"/>
      <c r="AO1336" s="21">
        <v>5</v>
      </c>
      <c r="AP1336" s="21"/>
      <c r="AQ1336" s="21"/>
      <c r="AR1336" s="21"/>
      <c r="AS1336" s="21">
        <v>15</v>
      </c>
      <c r="AT1336" s="12" t="str">
        <f>HYPERLINK("http://www.openstreetmap.org/?mlat=34.354&amp;mlon=45.3457&amp;zoom=12#map=12/34.354/45.3457","Maplink1")</f>
        <v>Maplink1</v>
      </c>
      <c r="AU1336" s="12" t="str">
        <f>HYPERLINK("https://www.google.iq/maps/search/+34.354,45.3457/@34.354,45.3457,14z?hl=en","Maplink2")</f>
        <v>Maplink2</v>
      </c>
      <c r="AV1336" s="12" t="str">
        <f>HYPERLINK("http://www.bing.com/maps/?lvl=14&amp;sty=h&amp;cp=34.354~45.3457&amp;sp=point.34.354_45.3457","Maplink3")</f>
        <v>Maplink3</v>
      </c>
    </row>
    <row r="1337" spans="1:48" ht="15" customHeight="1" x14ac:dyDescent="0.25">
      <c r="A1337" s="19">
        <v>25625</v>
      </c>
      <c r="B1337" s="20" t="s">
        <v>14</v>
      </c>
      <c r="C1337" s="20" t="s">
        <v>2420</v>
      </c>
      <c r="D1337" s="20" t="s">
        <v>2528</v>
      </c>
      <c r="E1337" s="20" t="s">
        <v>2529</v>
      </c>
      <c r="F1337" s="20">
        <v>34.390706021</v>
      </c>
      <c r="G1337" s="20">
        <v>45.260928963799998</v>
      </c>
      <c r="H1337" s="22">
        <v>6</v>
      </c>
      <c r="I1337" s="22">
        <v>36</v>
      </c>
      <c r="J1337" s="21"/>
      <c r="K1337" s="21"/>
      <c r="L1337" s="21"/>
      <c r="M1337" s="21"/>
      <c r="N1337" s="21"/>
      <c r="O1337" s="21">
        <v>6</v>
      </c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>
        <v>6</v>
      </c>
      <c r="AD1337" s="21"/>
      <c r="AE1337" s="21"/>
      <c r="AF1337" s="21"/>
      <c r="AG1337" s="21"/>
      <c r="AH1337" s="21"/>
      <c r="AI1337" s="21"/>
      <c r="AJ1337" s="21"/>
      <c r="AK1337" s="21"/>
      <c r="AL1337" s="21"/>
      <c r="AM1337" s="21"/>
      <c r="AN1337" s="21">
        <v>6</v>
      </c>
      <c r="AO1337" s="21"/>
      <c r="AP1337" s="21"/>
      <c r="AQ1337" s="21"/>
      <c r="AR1337" s="21"/>
      <c r="AS1337" s="21"/>
      <c r="AT1337" s="12" t="str">
        <f>HYPERLINK("http://www.openstreetmap.org/?mlat=34.3907&amp;mlon=45.2609&amp;zoom=12#map=12/34.3907/45.2609","Maplink1")</f>
        <v>Maplink1</v>
      </c>
      <c r="AU1337" s="12" t="str">
        <f>HYPERLINK("https://www.google.iq/maps/search/+34.3907,45.2609/@34.3907,45.2609,14z?hl=en","Maplink2")</f>
        <v>Maplink2</v>
      </c>
      <c r="AV1337" s="12" t="str">
        <f>HYPERLINK("http://www.bing.com/maps/?lvl=14&amp;sty=h&amp;cp=34.3907~45.2609&amp;sp=point.34.3907_45.2609","Maplink3")</f>
        <v>Maplink3</v>
      </c>
    </row>
    <row r="1338" spans="1:48" ht="15" customHeight="1" x14ac:dyDescent="0.25">
      <c r="A1338" s="19">
        <v>24393</v>
      </c>
      <c r="B1338" s="20" t="s">
        <v>14</v>
      </c>
      <c r="C1338" s="20" t="s">
        <v>2420</v>
      </c>
      <c r="D1338" s="20" t="s">
        <v>2530</v>
      </c>
      <c r="E1338" s="20" t="s">
        <v>2531</v>
      </c>
      <c r="F1338" s="20">
        <v>34.3518230735</v>
      </c>
      <c r="G1338" s="20">
        <v>45.352182407900003</v>
      </c>
      <c r="H1338" s="22">
        <v>42</v>
      </c>
      <c r="I1338" s="22">
        <v>252</v>
      </c>
      <c r="J1338" s="21"/>
      <c r="K1338" s="21"/>
      <c r="L1338" s="21"/>
      <c r="M1338" s="21"/>
      <c r="N1338" s="21"/>
      <c r="O1338" s="21">
        <v>42</v>
      </c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>
        <v>15</v>
      </c>
      <c r="AD1338" s="21"/>
      <c r="AE1338" s="21"/>
      <c r="AF1338" s="21"/>
      <c r="AG1338" s="21"/>
      <c r="AH1338" s="21">
        <v>25</v>
      </c>
      <c r="AI1338" s="21"/>
      <c r="AJ1338" s="21">
        <v>2</v>
      </c>
      <c r="AK1338" s="21"/>
      <c r="AL1338" s="21"/>
      <c r="AM1338" s="21">
        <v>42</v>
      </c>
      <c r="AN1338" s="21"/>
      <c r="AO1338" s="21"/>
      <c r="AP1338" s="21"/>
      <c r="AQ1338" s="21"/>
      <c r="AR1338" s="21"/>
      <c r="AS1338" s="21"/>
      <c r="AT1338" s="12" t="str">
        <f>HYPERLINK("http://www.openstreetmap.org/?mlat=34.3518&amp;mlon=45.3522&amp;zoom=12#map=12/34.3518/45.3522","Maplink1")</f>
        <v>Maplink1</v>
      </c>
      <c r="AU1338" s="12" t="str">
        <f>HYPERLINK("https://www.google.iq/maps/search/+34.3518,45.3522/@34.3518,45.3522,14z?hl=en","Maplink2")</f>
        <v>Maplink2</v>
      </c>
      <c r="AV1338" s="12" t="str">
        <f>HYPERLINK("http://www.bing.com/maps/?lvl=14&amp;sty=h&amp;cp=34.3518~45.3522&amp;sp=point.34.3518_45.3522","Maplink3")</f>
        <v>Maplink3</v>
      </c>
    </row>
    <row r="1339" spans="1:48" ht="15" customHeight="1" x14ac:dyDescent="0.25">
      <c r="A1339" s="19">
        <v>10394</v>
      </c>
      <c r="B1339" s="20" t="s">
        <v>14</v>
      </c>
      <c r="C1339" s="20" t="s">
        <v>2532</v>
      </c>
      <c r="D1339" s="20" t="s">
        <v>2533</v>
      </c>
      <c r="E1339" s="20" t="s">
        <v>2534</v>
      </c>
      <c r="F1339" s="20">
        <v>34.635259904599998</v>
      </c>
      <c r="G1339" s="20">
        <v>45.009551027400001</v>
      </c>
      <c r="H1339" s="22">
        <v>29</v>
      </c>
      <c r="I1339" s="22">
        <v>174</v>
      </c>
      <c r="J1339" s="21"/>
      <c r="K1339" s="21">
        <v>3</v>
      </c>
      <c r="L1339" s="21"/>
      <c r="M1339" s="21"/>
      <c r="N1339" s="21"/>
      <c r="O1339" s="21">
        <v>12</v>
      </c>
      <c r="P1339" s="21"/>
      <c r="Q1339" s="21"/>
      <c r="R1339" s="21"/>
      <c r="S1339" s="21"/>
      <c r="T1339" s="21"/>
      <c r="U1339" s="21"/>
      <c r="V1339" s="21"/>
      <c r="W1339" s="21"/>
      <c r="X1339" s="21">
        <v>14</v>
      </c>
      <c r="Y1339" s="21"/>
      <c r="Z1339" s="21"/>
      <c r="AA1339" s="21"/>
      <c r="AB1339" s="21"/>
      <c r="AC1339" s="21"/>
      <c r="AD1339" s="21"/>
      <c r="AE1339" s="21"/>
      <c r="AF1339" s="21"/>
      <c r="AG1339" s="21"/>
      <c r="AH1339" s="21">
        <v>29</v>
      </c>
      <c r="AI1339" s="21"/>
      <c r="AJ1339" s="21"/>
      <c r="AK1339" s="21"/>
      <c r="AL1339" s="21"/>
      <c r="AM1339" s="21">
        <v>22</v>
      </c>
      <c r="AN1339" s="21"/>
      <c r="AO1339" s="21"/>
      <c r="AP1339" s="21"/>
      <c r="AQ1339" s="21"/>
      <c r="AR1339" s="21"/>
      <c r="AS1339" s="21">
        <v>7</v>
      </c>
      <c r="AT1339" s="12" t="str">
        <f>HYPERLINK("http://www.openstreetmap.org/?mlat=34.6353&amp;mlon=45.0096&amp;zoom=12#map=12/34.6353/45.0096","Maplink1")</f>
        <v>Maplink1</v>
      </c>
      <c r="AU1339" s="12" t="str">
        <f>HYPERLINK("https://www.google.iq/maps/search/+34.6353,45.0096/@34.6353,45.0096,14z?hl=en","Maplink2")</f>
        <v>Maplink2</v>
      </c>
      <c r="AV1339" s="12" t="str">
        <f>HYPERLINK("http://www.bing.com/maps/?lvl=14&amp;sty=h&amp;cp=34.6353~45.0096&amp;sp=point.34.6353_45.0096","Maplink3")</f>
        <v>Maplink3</v>
      </c>
    </row>
    <row r="1340" spans="1:48" ht="15" customHeight="1" x14ac:dyDescent="0.25">
      <c r="A1340" s="19">
        <v>28426</v>
      </c>
      <c r="B1340" s="20" t="s">
        <v>14</v>
      </c>
      <c r="C1340" s="20" t="s">
        <v>2532</v>
      </c>
      <c r="D1340" s="20" t="s">
        <v>2535</v>
      </c>
      <c r="E1340" s="20" t="s">
        <v>2536</v>
      </c>
      <c r="F1340" s="20">
        <v>34.676582347</v>
      </c>
      <c r="G1340" s="20">
        <v>44.966246386999998</v>
      </c>
      <c r="H1340" s="22">
        <v>48</v>
      </c>
      <c r="I1340" s="22">
        <v>288</v>
      </c>
      <c r="J1340" s="21">
        <v>2</v>
      </c>
      <c r="K1340" s="21">
        <v>4</v>
      </c>
      <c r="L1340" s="21">
        <v>2</v>
      </c>
      <c r="M1340" s="21"/>
      <c r="N1340" s="21"/>
      <c r="O1340" s="21">
        <v>12</v>
      </c>
      <c r="P1340" s="21"/>
      <c r="Q1340" s="21"/>
      <c r="R1340" s="21">
        <v>6</v>
      </c>
      <c r="S1340" s="21"/>
      <c r="T1340" s="21"/>
      <c r="U1340" s="21"/>
      <c r="V1340" s="21"/>
      <c r="W1340" s="21"/>
      <c r="X1340" s="21">
        <v>22</v>
      </c>
      <c r="Y1340" s="21"/>
      <c r="Z1340" s="21"/>
      <c r="AA1340" s="21"/>
      <c r="AB1340" s="21"/>
      <c r="AC1340" s="21"/>
      <c r="AD1340" s="21"/>
      <c r="AE1340" s="21"/>
      <c r="AF1340" s="21"/>
      <c r="AG1340" s="21"/>
      <c r="AH1340" s="21">
        <v>48</v>
      </c>
      <c r="AI1340" s="21"/>
      <c r="AJ1340" s="21"/>
      <c r="AK1340" s="21"/>
      <c r="AL1340" s="21"/>
      <c r="AM1340" s="21">
        <v>7</v>
      </c>
      <c r="AN1340" s="21">
        <v>8</v>
      </c>
      <c r="AO1340" s="21">
        <v>9</v>
      </c>
      <c r="AP1340" s="21">
        <v>6</v>
      </c>
      <c r="AQ1340" s="21">
        <v>2</v>
      </c>
      <c r="AR1340" s="21">
        <v>3</v>
      </c>
      <c r="AS1340" s="21">
        <v>13</v>
      </c>
      <c r="AT1340" s="12" t="str">
        <f>HYPERLINK("http://www.openstreetmap.org/?mlat=34.6766&amp;mlon=44.9662&amp;zoom=12#map=12/34.6766/44.9662","Maplink1")</f>
        <v>Maplink1</v>
      </c>
      <c r="AU1340" s="12" t="str">
        <f>HYPERLINK("https://www.google.iq/maps/search/+34.6766,44.9662/@34.6766,44.9662,14z?hl=en","Maplink2")</f>
        <v>Maplink2</v>
      </c>
      <c r="AV1340" s="12" t="str">
        <f>HYPERLINK("http://www.bing.com/maps/?lvl=14&amp;sty=h&amp;cp=34.6766~44.9662&amp;sp=point.34.6766_44.9662","Maplink3")</f>
        <v>Maplink3</v>
      </c>
    </row>
    <row r="1341" spans="1:48" ht="15" customHeight="1" x14ac:dyDescent="0.25">
      <c r="A1341" s="19">
        <v>33380</v>
      </c>
      <c r="B1341" s="20" t="s">
        <v>14</v>
      </c>
      <c r="C1341" s="20" t="s">
        <v>2532</v>
      </c>
      <c r="D1341" s="20" t="s">
        <v>5872</v>
      </c>
      <c r="E1341" s="20" t="s">
        <v>5873</v>
      </c>
      <c r="F1341" s="20">
        <v>35.02317</v>
      </c>
      <c r="G1341" s="20">
        <v>45.100490000000001</v>
      </c>
      <c r="H1341" s="22">
        <v>40</v>
      </c>
      <c r="I1341" s="22">
        <v>240</v>
      </c>
      <c r="J1341" s="21"/>
      <c r="K1341" s="21"/>
      <c r="L1341" s="21">
        <v>2</v>
      </c>
      <c r="M1341" s="21"/>
      <c r="N1341" s="21"/>
      <c r="O1341" s="21">
        <v>32</v>
      </c>
      <c r="P1341" s="21"/>
      <c r="Q1341" s="21"/>
      <c r="R1341" s="21"/>
      <c r="S1341" s="21"/>
      <c r="T1341" s="21"/>
      <c r="U1341" s="21"/>
      <c r="V1341" s="21">
        <v>2</v>
      </c>
      <c r="W1341" s="21"/>
      <c r="X1341" s="21">
        <v>4</v>
      </c>
      <c r="Y1341" s="21"/>
      <c r="Z1341" s="21"/>
      <c r="AA1341" s="21"/>
      <c r="AB1341" s="21"/>
      <c r="AC1341" s="21"/>
      <c r="AD1341" s="21"/>
      <c r="AE1341" s="21"/>
      <c r="AF1341" s="21"/>
      <c r="AG1341" s="21"/>
      <c r="AH1341" s="21">
        <v>40</v>
      </c>
      <c r="AI1341" s="21"/>
      <c r="AJ1341" s="21"/>
      <c r="AK1341" s="21"/>
      <c r="AL1341" s="21"/>
      <c r="AM1341" s="21">
        <v>4</v>
      </c>
      <c r="AN1341" s="21"/>
      <c r="AO1341" s="21">
        <v>3</v>
      </c>
      <c r="AP1341" s="21">
        <v>8</v>
      </c>
      <c r="AQ1341" s="21">
        <v>9</v>
      </c>
      <c r="AR1341" s="21">
        <v>13</v>
      </c>
      <c r="AS1341" s="21">
        <v>3</v>
      </c>
      <c r="AT1341" s="12" t="str">
        <f>HYPERLINK("http://www.openstreetmap.org/?mlat=35.0232&amp;mlon=45.1005&amp;zoom=12#map=12/35.0232/45.1005","Maplink1")</f>
        <v>Maplink1</v>
      </c>
      <c r="AU1341" s="12" t="str">
        <f>HYPERLINK("https://www.google.iq/maps/search/+35.0232,45.1005/@35.0232,45.1005,14z?hl=en","Maplink2")</f>
        <v>Maplink2</v>
      </c>
      <c r="AV1341" s="12" t="str">
        <f>HYPERLINK("http://www.bing.com/maps/?lvl=14&amp;sty=h&amp;cp=35.0232~45.1005&amp;sp=point.35.0232_45.1005","Maplink3")</f>
        <v>Maplink3</v>
      </c>
    </row>
    <row r="1342" spans="1:48" ht="15" customHeight="1" x14ac:dyDescent="0.25">
      <c r="A1342" s="19">
        <v>28422</v>
      </c>
      <c r="B1342" s="20" t="s">
        <v>14</v>
      </c>
      <c r="C1342" s="20" t="s">
        <v>2532</v>
      </c>
      <c r="D1342" s="20" t="s">
        <v>2537</v>
      </c>
      <c r="E1342" s="20" t="s">
        <v>2538</v>
      </c>
      <c r="F1342" s="20">
        <v>34.703492915600002</v>
      </c>
      <c r="G1342" s="20">
        <v>44.969330004900002</v>
      </c>
      <c r="H1342" s="22">
        <v>96</v>
      </c>
      <c r="I1342" s="22">
        <v>576</v>
      </c>
      <c r="J1342" s="21">
        <v>11</v>
      </c>
      <c r="K1342" s="21">
        <v>2</v>
      </c>
      <c r="L1342" s="21">
        <v>7</v>
      </c>
      <c r="M1342" s="21"/>
      <c r="N1342" s="21"/>
      <c r="O1342" s="21">
        <v>42</v>
      </c>
      <c r="P1342" s="21"/>
      <c r="Q1342" s="21"/>
      <c r="R1342" s="21"/>
      <c r="S1342" s="21"/>
      <c r="T1342" s="21"/>
      <c r="U1342" s="21"/>
      <c r="V1342" s="21"/>
      <c r="W1342" s="21"/>
      <c r="X1342" s="21">
        <v>34</v>
      </c>
      <c r="Y1342" s="21"/>
      <c r="Z1342" s="21"/>
      <c r="AA1342" s="21"/>
      <c r="AB1342" s="21"/>
      <c r="AC1342" s="21"/>
      <c r="AD1342" s="21"/>
      <c r="AE1342" s="21"/>
      <c r="AF1342" s="21"/>
      <c r="AG1342" s="21"/>
      <c r="AH1342" s="21">
        <v>96</v>
      </c>
      <c r="AI1342" s="21"/>
      <c r="AJ1342" s="21"/>
      <c r="AK1342" s="21"/>
      <c r="AL1342" s="21">
        <v>2</v>
      </c>
      <c r="AM1342" s="21">
        <v>24</v>
      </c>
      <c r="AN1342" s="21">
        <v>16</v>
      </c>
      <c r="AO1342" s="21">
        <v>22</v>
      </c>
      <c r="AP1342" s="21">
        <v>8</v>
      </c>
      <c r="AQ1342" s="21">
        <v>5</v>
      </c>
      <c r="AR1342" s="21">
        <v>2</v>
      </c>
      <c r="AS1342" s="21">
        <v>17</v>
      </c>
      <c r="AT1342" s="12" t="str">
        <f>HYPERLINK("http://www.openstreetmap.org/?mlat=34.7035&amp;mlon=44.9693&amp;zoom=12#map=12/34.7035/44.9693","Maplink1")</f>
        <v>Maplink1</v>
      </c>
      <c r="AU1342" s="12" t="str">
        <f>HYPERLINK("https://www.google.iq/maps/search/+34.7035,44.9693/@34.7035,44.9693,14z?hl=en","Maplink2")</f>
        <v>Maplink2</v>
      </c>
      <c r="AV1342" s="12" t="str">
        <f>HYPERLINK("http://www.bing.com/maps/?lvl=14&amp;sty=h&amp;cp=34.7035~44.9693&amp;sp=point.34.7035_44.9693","Maplink3")</f>
        <v>Maplink3</v>
      </c>
    </row>
    <row r="1343" spans="1:48" ht="15" customHeight="1" x14ac:dyDescent="0.25">
      <c r="A1343" s="19">
        <v>28431</v>
      </c>
      <c r="B1343" s="20" t="s">
        <v>14</v>
      </c>
      <c r="C1343" s="20" t="s">
        <v>2532</v>
      </c>
      <c r="D1343" s="20" t="s">
        <v>2539</v>
      </c>
      <c r="E1343" s="20" t="s">
        <v>2540</v>
      </c>
      <c r="F1343" s="20">
        <v>34.685914699999998</v>
      </c>
      <c r="G1343" s="20">
        <v>44.961672100000001</v>
      </c>
      <c r="H1343" s="22">
        <v>63</v>
      </c>
      <c r="I1343" s="22">
        <v>378</v>
      </c>
      <c r="J1343" s="21">
        <v>2</v>
      </c>
      <c r="K1343" s="21">
        <v>10</v>
      </c>
      <c r="L1343" s="21"/>
      <c r="M1343" s="21"/>
      <c r="N1343" s="21"/>
      <c r="O1343" s="21">
        <v>29</v>
      </c>
      <c r="P1343" s="21"/>
      <c r="Q1343" s="21"/>
      <c r="R1343" s="21"/>
      <c r="S1343" s="21"/>
      <c r="T1343" s="21"/>
      <c r="U1343" s="21"/>
      <c r="V1343" s="21"/>
      <c r="W1343" s="21"/>
      <c r="X1343" s="21">
        <v>22</v>
      </c>
      <c r="Y1343" s="21"/>
      <c r="Z1343" s="21"/>
      <c r="AA1343" s="21"/>
      <c r="AB1343" s="21"/>
      <c r="AC1343" s="21"/>
      <c r="AD1343" s="21"/>
      <c r="AE1343" s="21"/>
      <c r="AF1343" s="21"/>
      <c r="AG1343" s="21"/>
      <c r="AH1343" s="21">
        <v>63</v>
      </c>
      <c r="AI1343" s="21"/>
      <c r="AJ1343" s="21"/>
      <c r="AK1343" s="21"/>
      <c r="AL1343" s="21"/>
      <c r="AM1343" s="21">
        <v>17</v>
      </c>
      <c r="AN1343" s="21">
        <v>2</v>
      </c>
      <c r="AO1343" s="21">
        <v>21</v>
      </c>
      <c r="AP1343" s="21">
        <v>2</v>
      </c>
      <c r="AQ1343" s="21"/>
      <c r="AR1343" s="21">
        <v>5</v>
      </c>
      <c r="AS1343" s="21">
        <v>16</v>
      </c>
      <c r="AT1343" s="12" t="str">
        <f>HYPERLINK("http://www.openstreetmap.org/?mlat=34.6859&amp;mlon=44.9617&amp;zoom=12#map=12/34.6859/44.9617","Maplink1")</f>
        <v>Maplink1</v>
      </c>
      <c r="AU1343" s="12" t="str">
        <f>HYPERLINK("https://www.google.iq/maps/search/+34.6859,44.9617/@34.6859,44.9617,14z?hl=en","Maplink2")</f>
        <v>Maplink2</v>
      </c>
      <c r="AV1343" s="12" t="str">
        <f>HYPERLINK("http://www.bing.com/maps/?lvl=14&amp;sty=h&amp;cp=34.6859~44.9617&amp;sp=point.34.6859_44.9617","Maplink3")</f>
        <v>Maplink3</v>
      </c>
    </row>
    <row r="1344" spans="1:48" ht="15" customHeight="1" x14ac:dyDescent="0.25">
      <c r="A1344" s="19">
        <v>25251</v>
      </c>
      <c r="B1344" s="20" t="s">
        <v>14</v>
      </c>
      <c r="C1344" s="20" t="s">
        <v>2532</v>
      </c>
      <c r="D1344" s="20" t="s">
        <v>2541</v>
      </c>
      <c r="E1344" s="20" t="s">
        <v>2542</v>
      </c>
      <c r="F1344" s="20">
        <v>34.420390650000002</v>
      </c>
      <c r="G1344" s="20">
        <v>45.097149229999999</v>
      </c>
      <c r="H1344" s="22">
        <v>35</v>
      </c>
      <c r="I1344" s="22">
        <v>210</v>
      </c>
      <c r="J1344" s="21"/>
      <c r="K1344" s="21"/>
      <c r="L1344" s="21"/>
      <c r="M1344" s="21"/>
      <c r="N1344" s="21"/>
      <c r="O1344" s="21">
        <v>35</v>
      </c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>
        <v>30</v>
      </c>
      <c r="AD1344" s="21"/>
      <c r="AE1344" s="21"/>
      <c r="AF1344" s="21"/>
      <c r="AG1344" s="21"/>
      <c r="AH1344" s="21"/>
      <c r="AI1344" s="21"/>
      <c r="AJ1344" s="21">
        <v>5</v>
      </c>
      <c r="AK1344" s="21"/>
      <c r="AL1344" s="21"/>
      <c r="AM1344" s="21">
        <v>35</v>
      </c>
      <c r="AN1344" s="21"/>
      <c r="AO1344" s="21"/>
      <c r="AP1344" s="21"/>
      <c r="AQ1344" s="21"/>
      <c r="AR1344" s="21"/>
      <c r="AS1344" s="21"/>
      <c r="AT1344" s="12" t="str">
        <f>HYPERLINK("http://www.openstreetmap.org/?mlat=34.4204&amp;mlon=45.0971&amp;zoom=12#map=12/34.4204/45.0971","Maplink1")</f>
        <v>Maplink1</v>
      </c>
      <c r="AU1344" s="12" t="str">
        <f>HYPERLINK("https://www.google.iq/maps/search/+34.4204,45.0971/@34.4204,45.0971,14z?hl=en","Maplink2")</f>
        <v>Maplink2</v>
      </c>
      <c r="AV1344" s="12" t="str">
        <f>HYPERLINK("http://www.bing.com/maps/?lvl=14&amp;sty=h&amp;cp=34.4204~45.0971&amp;sp=point.34.4204_45.0971","Maplink3")</f>
        <v>Maplink3</v>
      </c>
    </row>
    <row r="1345" spans="1:48" ht="15" customHeight="1" x14ac:dyDescent="0.25">
      <c r="A1345" s="19">
        <v>28423</v>
      </c>
      <c r="B1345" s="20" t="s">
        <v>14</v>
      </c>
      <c r="C1345" s="20" t="s">
        <v>2532</v>
      </c>
      <c r="D1345" s="20" t="s">
        <v>2543</v>
      </c>
      <c r="E1345" s="20" t="s">
        <v>2544</v>
      </c>
      <c r="F1345" s="20">
        <v>34.700398280000002</v>
      </c>
      <c r="G1345" s="20">
        <v>44.964394810000002</v>
      </c>
      <c r="H1345" s="22">
        <v>58</v>
      </c>
      <c r="I1345" s="22">
        <v>348</v>
      </c>
      <c r="J1345" s="21">
        <v>6</v>
      </c>
      <c r="K1345" s="21">
        <v>10</v>
      </c>
      <c r="L1345" s="21">
        <v>9</v>
      </c>
      <c r="M1345" s="21"/>
      <c r="N1345" s="21"/>
      <c r="O1345" s="21">
        <v>15</v>
      </c>
      <c r="P1345" s="21"/>
      <c r="Q1345" s="21"/>
      <c r="R1345" s="21"/>
      <c r="S1345" s="21"/>
      <c r="T1345" s="21"/>
      <c r="U1345" s="21"/>
      <c r="V1345" s="21"/>
      <c r="W1345" s="21"/>
      <c r="X1345" s="21">
        <v>18</v>
      </c>
      <c r="Y1345" s="21"/>
      <c r="Z1345" s="21"/>
      <c r="AA1345" s="21"/>
      <c r="AB1345" s="21"/>
      <c r="AC1345" s="21"/>
      <c r="AD1345" s="21"/>
      <c r="AE1345" s="21"/>
      <c r="AF1345" s="21"/>
      <c r="AG1345" s="21"/>
      <c r="AH1345" s="21">
        <v>58</v>
      </c>
      <c r="AI1345" s="21"/>
      <c r="AJ1345" s="21"/>
      <c r="AK1345" s="21"/>
      <c r="AL1345" s="21">
        <v>5</v>
      </c>
      <c r="AM1345" s="21">
        <v>8</v>
      </c>
      <c r="AN1345" s="21">
        <v>9</v>
      </c>
      <c r="AO1345" s="21">
        <v>15</v>
      </c>
      <c r="AP1345" s="21">
        <v>2</v>
      </c>
      <c r="AQ1345" s="21">
        <v>2</v>
      </c>
      <c r="AR1345" s="21"/>
      <c r="AS1345" s="21">
        <v>17</v>
      </c>
      <c r="AT1345" s="12" t="str">
        <f>HYPERLINK("http://www.openstreetmap.org/?mlat=34.7004&amp;mlon=44.9644&amp;zoom=12#map=12/34.7004/44.9644","Maplink1")</f>
        <v>Maplink1</v>
      </c>
      <c r="AU1345" s="12" t="str">
        <f>HYPERLINK("https://www.google.iq/maps/search/+34.7004,44.9644/@34.7004,44.9644,14z?hl=en","Maplink2")</f>
        <v>Maplink2</v>
      </c>
      <c r="AV1345" s="12" t="str">
        <f>HYPERLINK("http://www.bing.com/maps/?lvl=14&amp;sty=h&amp;cp=34.7004~44.9644&amp;sp=point.34.7004_44.9644","Maplink3")</f>
        <v>Maplink3</v>
      </c>
    </row>
    <row r="1346" spans="1:48" ht="15" customHeight="1" x14ac:dyDescent="0.25">
      <c r="A1346" s="19">
        <v>25254</v>
      </c>
      <c r="B1346" s="20" t="s">
        <v>14</v>
      </c>
      <c r="C1346" s="20" t="s">
        <v>2532</v>
      </c>
      <c r="D1346" s="20" t="s">
        <v>2545</v>
      </c>
      <c r="E1346" s="20" t="s">
        <v>2546</v>
      </c>
      <c r="F1346" s="20">
        <v>34.443687320000002</v>
      </c>
      <c r="G1346" s="20">
        <v>45.058466969999998</v>
      </c>
      <c r="H1346" s="22">
        <v>5</v>
      </c>
      <c r="I1346" s="22">
        <v>30</v>
      </c>
      <c r="J1346" s="21"/>
      <c r="K1346" s="21"/>
      <c r="L1346" s="21"/>
      <c r="M1346" s="21"/>
      <c r="N1346" s="21"/>
      <c r="O1346" s="21">
        <v>5</v>
      </c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>
        <v>5</v>
      </c>
      <c r="AD1346" s="21"/>
      <c r="AE1346" s="21"/>
      <c r="AF1346" s="21"/>
      <c r="AG1346" s="21"/>
      <c r="AH1346" s="21"/>
      <c r="AI1346" s="21"/>
      <c r="AJ1346" s="21"/>
      <c r="AK1346" s="21"/>
      <c r="AL1346" s="21"/>
      <c r="AM1346" s="21">
        <v>5</v>
      </c>
      <c r="AN1346" s="21"/>
      <c r="AO1346" s="21"/>
      <c r="AP1346" s="21"/>
      <c r="AQ1346" s="21"/>
      <c r="AR1346" s="21"/>
      <c r="AS1346" s="21"/>
      <c r="AT1346" s="12" t="str">
        <f>HYPERLINK("http://www.openstreetmap.org/?mlat=34.4437&amp;mlon=45.0585&amp;zoom=12#map=12/34.4437/45.0585","Maplink1")</f>
        <v>Maplink1</v>
      </c>
      <c r="AU1346" s="12" t="str">
        <f>HYPERLINK("https://www.google.iq/maps/search/+34.4437,45.0585/@34.4437,45.0585,14z?hl=en","Maplink2")</f>
        <v>Maplink2</v>
      </c>
      <c r="AV1346" s="12" t="str">
        <f>HYPERLINK("http://www.bing.com/maps/?lvl=14&amp;sty=h&amp;cp=34.4437~45.0585&amp;sp=point.34.4437_45.0585","Maplink3")</f>
        <v>Maplink3</v>
      </c>
    </row>
    <row r="1347" spans="1:48" ht="15" customHeight="1" x14ac:dyDescent="0.25">
      <c r="A1347" s="19">
        <v>28425</v>
      </c>
      <c r="B1347" s="20" t="s">
        <v>14</v>
      </c>
      <c r="C1347" s="20" t="s">
        <v>2532</v>
      </c>
      <c r="D1347" s="20" t="s">
        <v>2547</v>
      </c>
      <c r="E1347" s="20" t="s">
        <v>2548</v>
      </c>
      <c r="F1347" s="20">
        <v>34.68479129</v>
      </c>
      <c r="G1347" s="20">
        <v>44.97109476</v>
      </c>
      <c r="H1347" s="22">
        <v>77</v>
      </c>
      <c r="I1347" s="22">
        <v>462</v>
      </c>
      <c r="J1347" s="21">
        <v>5</v>
      </c>
      <c r="K1347" s="21">
        <v>5</v>
      </c>
      <c r="L1347" s="21">
        <v>6</v>
      </c>
      <c r="M1347" s="21"/>
      <c r="N1347" s="21"/>
      <c r="O1347" s="21">
        <v>33</v>
      </c>
      <c r="P1347" s="21"/>
      <c r="Q1347" s="21"/>
      <c r="R1347" s="21"/>
      <c r="S1347" s="21"/>
      <c r="T1347" s="21"/>
      <c r="U1347" s="21"/>
      <c r="V1347" s="21"/>
      <c r="W1347" s="21"/>
      <c r="X1347" s="21">
        <v>28</v>
      </c>
      <c r="Y1347" s="21"/>
      <c r="Z1347" s="21"/>
      <c r="AA1347" s="21"/>
      <c r="AB1347" s="21"/>
      <c r="AC1347" s="21"/>
      <c r="AD1347" s="21"/>
      <c r="AE1347" s="21"/>
      <c r="AF1347" s="21"/>
      <c r="AG1347" s="21"/>
      <c r="AH1347" s="21">
        <v>77</v>
      </c>
      <c r="AI1347" s="21"/>
      <c r="AJ1347" s="21"/>
      <c r="AK1347" s="21"/>
      <c r="AL1347" s="21">
        <v>1</v>
      </c>
      <c r="AM1347" s="21">
        <v>7</v>
      </c>
      <c r="AN1347" s="21">
        <v>4</v>
      </c>
      <c r="AO1347" s="21">
        <v>17</v>
      </c>
      <c r="AP1347" s="21">
        <v>15</v>
      </c>
      <c r="AQ1347" s="21"/>
      <c r="AR1347" s="21">
        <v>2</v>
      </c>
      <c r="AS1347" s="21">
        <v>31</v>
      </c>
      <c r="AT1347" s="12" t="str">
        <f>HYPERLINK("http://www.openstreetmap.org/?mlat=34.6848&amp;mlon=44.9711&amp;zoom=12#map=12/34.6848/44.9711","Maplink1")</f>
        <v>Maplink1</v>
      </c>
      <c r="AU1347" s="12" t="str">
        <f>HYPERLINK("https://www.google.iq/maps/search/+34.6848,44.9711/@34.6848,44.9711,14z?hl=en","Maplink2")</f>
        <v>Maplink2</v>
      </c>
      <c r="AV1347" s="12" t="str">
        <f>HYPERLINK("http://www.bing.com/maps/?lvl=14&amp;sty=h&amp;cp=34.6848~44.9711&amp;sp=point.34.6848_44.9711","Maplink3")</f>
        <v>Maplink3</v>
      </c>
    </row>
    <row r="1348" spans="1:48" ht="15" customHeight="1" x14ac:dyDescent="0.25">
      <c r="A1348" s="19">
        <v>28427</v>
      </c>
      <c r="B1348" s="20" t="s">
        <v>14</v>
      </c>
      <c r="C1348" s="20" t="s">
        <v>2532</v>
      </c>
      <c r="D1348" s="20" t="s">
        <v>2549</v>
      </c>
      <c r="E1348" s="20" t="s">
        <v>2550</v>
      </c>
      <c r="F1348" s="20">
        <v>34.68946596</v>
      </c>
      <c r="G1348" s="20">
        <v>44.949995059999999</v>
      </c>
      <c r="H1348" s="22">
        <v>101</v>
      </c>
      <c r="I1348" s="22">
        <v>606</v>
      </c>
      <c r="J1348" s="21">
        <v>3</v>
      </c>
      <c r="K1348" s="21">
        <v>4</v>
      </c>
      <c r="L1348" s="21">
        <v>5</v>
      </c>
      <c r="M1348" s="21"/>
      <c r="N1348" s="21"/>
      <c r="O1348" s="21">
        <v>61</v>
      </c>
      <c r="P1348" s="21"/>
      <c r="Q1348" s="21"/>
      <c r="R1348" s="21"/>
      <c r="S1348" s="21"/>
      <c r="T1348" s="21"/>
      <c r="U1348" s="21"/>
      <c r="V1348" s="21"/>
      <c r="W1348" s="21"/>
      <c r="X1348" s="21">
        <v>28</v>
      </c>
      <c r="Y1348" s="21"/>
      <c r="Z1348" s="21"/>
      <c r="AA1348" s="21"/>
      <c r="AB1348" s="21"/>
      <c r="AC1348" s="21"/>
      <c r="AD1348" s="21"/>
      <c r="AE1348" s="21"/>
      <c r="AF1348" s="21"/>
      <c r="AG1348" s="21"/>
      <c r="AH1348" s="21">
        <v>97</v>
      </c>
      <c r="AI1348" s="21"/>
      <c r="AJ1348" s="21">
        <v>4</v>
      </c>
      <c r="AK1348" s="21"/>
      <c r="AL1348" s="21">
        <v>5</v>
      </c>
      <c r="AM1348" s="21">
        <v>15</v>
      </c>
      <c r="AN1348" s="21">
        <v>6</v>
      </c>
      <c r="AO1348" s="21">
        <v>16</v>
      </c>
      <c r="AP1348" s="21">
        <v>4</v>
      </c>
      <c r="AQ1348" s="21"/>
      <c r="AR1348" s="21"/>
      <c r="AS1348" s="21">
        <v>55</v>
      </c>
      <c r="AT1348" s="12" t="str">
        <f>HYPERLINK("http://www.openstreetmap.org/?mlat=34.6895&amp;mlon=44.95&amp;zoom=12#map=12/34.6895/44.95","Maplink1")</f>
        <v>Maplink1</v>
      </c>
      <c r="AU1348" s="12" t="str">
        <f>HYPERLINK("https://www.google.iq/maps/search/+34.6895,44.95/@34.6895,44.95,14z?hl=en","Maplink2")</f>
        <v>Maplink2</v>
      </c>
      <c r="AV1348" s="12" t="str">
        <f>HYPERLINK("http://www.bing.com/maps/?lvl=14&amp;sty=h&amp;cp=34.6895~44.95&amp;sp=point.34.6895_44.95","Maplink3")</f>
        <v>Maplink3</v>
      </c>
    </row>
    <row r="1349" spans="1:48" ht="15" customHeight="1" x14ac:dyDescent="0.25">
      <c r="A1349" s="19">
        <v>25252</v>
      </c>
      <c r="B1349" s="20" t="s">
        <v>14</v>
      </c>
      <c r="C1349" s="20" t="s">
        <v>2532</v>
      </c>
      <c r="D1349" s="20" t="s">
        <v>2551</v>
      </c>
      <c r="E1349" s="20" t="s">
        <v>2552</v>
      </c>
      <c r="F1349" s="20">
        <v>34.436376340000002</v>
      </c>
      <c r="G1349" s="20">
        <v>45.059815409999999</v>
      </c>
      <c r="H1349" s="22">
        <v>50</v>
      </c>
      <c r="I1349" s="22">
        <v>300</v>
      </c>
      <c r="J1349" s="21"/>
      <c r="K1349" s="21"/>
      <c r="L1349" s="21"/>
      <c r="M1349" s="21"/>
      <c r="N1349" s="21"/>
      <c r="O1349" s="21">
        <v>50</v>
      </c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>
        <v>50</v>
      </c>
      <c r="AD1349" s="21"/>
      <c r="AE1349" s="21"/>
      <c r="AF1349" s="21"/>
      <c r="AG1349" s="21"/>
      <c r="AH1349" s="21"/>
      <c r="AI1349" s="21"/>
      <c r="AJ1349" s="21"/>
      <c r="AK1349" s="21"/>
      <c r="AL1349" s="21"/>
      <c r="AM1349" s="21">
        <v>50</v>
      </c>
      <c r="AN1349" s="21"/>
      <c r="AO1349" s="21"/>
      <c r="AP1349" s="21"/>
      <c r="AQ1349" s="21"/>
      <c r="AR1349" s="21"/>
      <c r="AS1349" s="21"/>
      <c r="AT1349" s="12" t="str">
        <f>HYPERLINK("http://www.openstreetmap.org/?mlat=34.4364&amp;mlon=45.0598&amp;zoom=12#map=12/34.4364/45.0598","Maplink1")</f>
        <v>Maplink1</v>
      </c>
      <c r="AU1349" s="12" t="str">
        <f>HYPERLINK("https://www.google.iq/maps/search/+34.4364,45.0598/@34.4364,45.0598,14z?hl=en","Maplink2")</f>
        <v>Maplink2</v>
      </c>
      <c r="AV1349" s="12" t="str">
        <f>HYPERLINK("http://www.bing.com/maps/?lvl=14&amp;sty=h&amp;cp=34.4364~45.0598&amp;sp=point.34.4364_45.0598","Maplink3")</f>
        <v>Maplink3</v>
      </c>
    </row>
    <row r="1350" spans="1:48" ht="15" customHeight="1" x14ac:dyDescent="0.25">
      <c r="A1350" s="19">
        <v>28424</v>
      </c>
      <c r="B1350" s="20" t="s">
        <v>14</v>
      </c>
      <c r="C1350" s="20" t="s">
        <v>2532</v>
      </c>
      <c r="D1350" s="20" t="s">
        <v>2553</v>
      </c>
      <c r="E1350" s="20" t="s">
        <v>2554</v>
      </c>
      <c r="F1350" s="20">
        <v>34.689597200000001</v>
      </c>
      <c r="G1350" s="20">
        <v>44.958551</v>
      </c>
      <c r="H1350" s="22">
        <v>35</v>
      </c>
      <c r="I1350" s="22">
        <v>210</v>
      </c>
      <c r="J1350" s="21">
        <v>2</v>
      </c>
      <c r="K1350" s="21">
        <v>6</v>
      </c>
      <c r="L1350" s="21">
        <v>3</v>
      </c>
      <c r="M1350" s="21"/>
      <c r="N1350" s="21"/>
      <c r="O1350" s="21">
        <v>10</v>
      </c>
      <c r="P1350" s="21"/>
      <c r="Q1350" s="21"/>
      <c r="R1350" s="21"/>
      <c r="S1350" s="21"/>
      <c r="T1350" s="21"/>
      <c r="U1350" s="21"/>
      <c r="V1350" s="21"/>
      <c r="W1350" s="21"/>
      <c r="X1350" s="21">
        <v>14</v>
      </c>
      <c r="Y1350" s="21"/>
      <c r="Z1350" s="21"/>
      <c r="AA1350" s="21"/>
      <c r="AB1350" s="21"/>
      <c r="AC1350" s="21"/>
      <c r="AD1350" s="21"/>
      <c r="AE1350" s="21"/>
      <c r="AF1350" s="21"/>
      <c r="AG1350" s="21"/>
      <c r="AH1350" s="21">
        <v>35</v>
      </c>
      <c r="AI1350" s="21"/>
      <c r="AJ1350" s="21"/>
      <c r="AK1350" s="21"/>
      <c r="AL1350" s="21">
        <v>2</v>
      </c>
      <c r="AM1350" s="21">
        <v>9</v>
      </c>
      <c r="AN1350" s="21"/>
      <c r="AO1350" s="21">
        <v>11</v>
      </c>
      <c r="AP1350" s="21">
        <v>3</v>
      </c>
      <c r="AQ1350" s="21"/>
      <c r="AR1350" s="21"/>
      <c r="AS1350" s="21">
        <v>10</v>
      </c>
      <c r="AT1350" s="12" t="str">
        <f>HYPERLINK("http://www.openstreetmap.org/?mlat=34.6896&amp;mlon=44.9586&amp;zoom=12#map=12/34.6896/44.9586","Maplink1")</f>
        <v>Maplink1</v>
      </c>
      <c r="AU1350" s="12" t="str">
        <f>HYPERLINK("https://www.google.iq/maps/search/+34.6896,44.9586/@34.6896,44.9586,14z?hl=en","Maplink2")</f>
        <v>Maplink2</v>
      </c>
      <c r="AV1350" s="12" t="str">
        <f>HYPERLINK("http://www.bing.com/maps/?lvl=14&amp;sty=h&amp;cp=34.6896~44.9586&amp;sp=point.34.6896_44.9586","Maplink3")</f>
        <v>Maplink3</v>
      </c>
    </row>
    <row r="1351" spans="1:48" ht="15" customHeight="1" x14ac:dyDescent="0.25">
      <c r="A1351" s="19">
        <v>25429</v>
      </c>
      <c r="B1351" s="20" t="s">
        <v>14</v>
      </c>
      <c r="C1351" s="20" t="s">
        <v>2532</v>
      </c>
      <c r="D1351" s="20" t="s">
        <v>2555</v>
      </c>
      <c r="E1351" s="20" t="s">
        <v>2556</v>
      </c>
      <c r="F1351" s="20">
        <v>34.594850719999997</v>
      </c>
      <c r="G1351" s="20">
        <v>44.926431950000001</v>
      </c>
      <c r="H1351" s="22">
        <v>140</v>
      </c>
      <c r="I1351" s="22">
        <v>840</v>
      </c>
      <c r="J1351" s="21"/>
      <c r="K1351" s="21"/>
      <c r="L1351" s="21"/>
      <c r="M1351" s="21"/>
      <c r="N1351" s="21"/>
      <c r="O1351" s="21">
        <v>140</v>
      </c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>
        <v>95</v>
      </c>
      <c r="AD1351" s="21"/>
      <c r="AE1351" s="21"/>
      <c r="AF1351" s="21"/>
      <c r="AG1351" s="21"/>
      <c r="AH1351" s="21">
        <v>45</v>
      </c>
      <c r="AI1351" s="21"/>
      <c r="AJ1351" s="21"/>
      <c r="AK1351" s="21"/>
      <c r="AL1351" s="21"/>
      <c r="AM1351" s="21">
        <v>100</v>
      </c>
      <c r="AN1351" s="21"/>
      <c r="AO1351" s="21"/>
      <c r="AP1351" s="21"/>
      <c r="AQ1351" s="21"/>
      <c r="AR1351" s="21"/>
      <c r="AS1351" s="21">
        <v>40</v>
      </c>
      <c r="AT1351" s="12" t="str">
        <f>HYPERLINK("http://www.openstreetmap.org/?mlat=34.5949&amp;mlon=44.9264&amp;zoom=12#map=12/34.5949/44.9264","Maplink1")</f>
        <v>Maplink1</v>
      </c>
      <c r="AU1351" s="12" t="str">
        <f>HYPERLINK("https://www.google.iq/maps/search/+34.5949,44.9264/@34.5949,44.9264,14z?hl=en","Maplink2")</f>
        <v>Maplink2</v>
      </c>
      <c r="AV1351" s="12" t="str">
        <f>HYPERLINK("http://www.bing.com/maps/?lvl=14&amp;sty=h&amp;cp=34.5949~44.9264&amp;sp=point.34.5949_44.9264","Maplink3")</f>
        <v>Maplink3</v>
      </c>
    </row>
    <row r="1352" spans="1:48" ht="15" customHeight="1" x14ac:dyDescent="0.25">
      <c r="A1352" s="19">
        <v>25256</v>
      </c>
      <c r="B1352" s="20" t="s">
        <v>14</v>
      </c>
      <c r="C1352" s="20" t="s">
        <v>2532</v>
      </c>
      <c r="D1352" s="20" t="s">
        <v>2557</v>
      </c>
      <c r="E1352" s="20" t="s">
        <v>2558</v>
      </c>
      <c r="F1352" s="20">
        <v>34.459305337899998</v>
      </c>
      <c r="G1352" s="20">
        <v>45.0269501983</v>
      </c>
      <c r="H1352" s="22">
        <v>7</v>
      </c>
      <c r="I1352" s="22">
        <v>42</v>
      </c>
      <c r="J1352" s="21"/>
      <c r="K1352" s="21"/>
      <c r="L1352" s="21"/>
      <c r="M1352" s="21"/>
      <c r="N1352" s="21"/>
      <c r="O1352" s="21">
        <v>7</v>
      </c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>
        <v>7</v>
      </c>
      <c r="AD1352" s="21"/>
      <c r="AE1352" s="21"/>
      <c r="AF1352" s="21"/>
      <c r="AG1352" s="21"/>
      <c r="AH1352" s="21"/>
      <c r="AI1352" s="21"/>
      <c r="AJ1352" s="21"/>
      <c r="AK1352" s="21"/>
      <c r="AL1352" s="21"/>
      <c r="AM1352" s="21">
        <v>7</v>
      </c>
      <c r="AN1352" s="21"/>
      <c r="AO1352" s="21"/>
      <c r="AP1352" s="21"/>
      <c r="AQ1352" s="21"/>
      <c r="AR1352" s="21"/>
      <c r="AS1352" s="21"/>
      <c r="AT1352" s="12" t="str">
        <f>HYPERLINK("http://www.openstreetmap.org/?mlat=34.4593&amp;mlon=45.027&amp;zoom=12#map=12/34.4593/45.027","Maplink1")</f>
        <v>Maplink1</v>
      </c>
      <c r="AU1352" s="12" t="str">
        <f>HYPERLINK("https://www.google.iq/maps/search/+34.4593,45.027/@34.4593,45.027,14z?hl=en","Maplink2")</f>
        <v>Maplink2</v>
      </c>
      <c r="AV1352" s="12" t="str">
        <f>HYPERLINK("http://www.bing.com/maps/?lvl=14&amp;sty=h&amp;cp=34.4593~45.027&amp;sp=point.34.4593_45.027","Maplink3")</f>
        <v>Maplink3</v>
      </c>
    </row>
    <row r="1353" spans="1:48" ht="15" customHeight="1" x14ac:dyDescent="0.25">
      <c r="A1353" s="19">
        <v>28432</v>
      </c>
      <c r="B1353" s="20" t="s">
        <v>14</v>
      </c>
      <c r="C1353" s="20" t="s">
        <v>2532</v>
      </c>
      <c r="D1353" s="20" t="s">
        <v>2559</v>
      </c>
      <c r="E1353" s="20" t="s">
        <v>2051</v>
      </c>
      <c r="F1353" s="20">
        <v>34.692345230000001</v>
      </c>
      <c r="G1353" s="20">
        <v>44.965103480000003</v>
      </c>
      <c r="H1353" s="22">
        <v>100</v>
      </c>
      <c r="I1353" s="22">
        <v>600</v>
      </c>
      <c r="J1353" s="21">
        <v>3</v>
      </c>
      <c r="K1353" s="21">
        <v>6</v>
      </c>
      <c r="L1353" s="21">
        <v>6</v>
      </c>
      <c r="M1353" s="21"/>
      <c r="N1353" s="21"/>
      <c r="O1353" s="21">
        <v>45</v>
      </c>
      <c r="P1353" s="21"/>
      <c r="Q1353" s="21"/>
      <c r="R1353" s="21"/>
      <c r="S1353" s="21"/>
      <c r="T1353" s="21"/>
      <c r="U1353" s="21"/>
      <c r="V1353" s="21">
        <v>2</v>
      </c>
      <c r="W1353" s="21"/>
      <c r="X1353" s="21">
        <v>38</v>
      </c>
      <c r="Y1353" s="21"/>
      <c r="Z1353" s="21"/>
      <c r="AA1353" s="21"/>
      <c r="AB1353" s="21"/>
      <c r="AC1353" s="21"/>
      <c r="AD1353" s="21"/>
      <c r="AE1353" s="21"/>
      <c r="AF1353" s="21"/>
      <c r="AG1353" s="21"/>
      <c r="AH1353" s="21">
        <v>100</v>
      </c>
      <c r="AI1353" s="21"/>
      <c r="AJ1353" s="21"/>
      <c r="AK1353" s="21"/>
      <c r="AL1353" s="21">
        <v>2</v>
      </c>
      <c r="AM1353" s="21">
        <v>22</v>
      </c>
      <c r="AN1353" s="21">
        <v>5</v>
      </c>
      <c r="AO1353" s="21">
        <v>33</v>
      </c>
      <c r="AP1353" s="21">
        <v>2</v>
      </c>
      <c r="AQ1353" s="21"/>
      <c r="AR1353" s="21"/>
      <c r="AS1353" s="21">
        <v>36</v>
      </c>
      <c r="AT1353" s="12" t="str">
        <f>HYPERLINK("http://www.openstreetmap.org/?mlat=34.6923&amp;mlon=44.9651&amp;zoom=12#map=12/34.6923/44.9651","Maplink1")</f>
        <v>Maplink1</v>
      </c>
      <c r="AU1353" s="12" t="str">
        <f>HYPERLINK("https://www.google.iq/maps/search/+34.6923,44.9651/@34.6923,44.9651,14z?hl=en","Maplink2")</f>
        <v>Maplink2</v>
      </c>
      <c r="AV1353" s="12" t="str">
        <f>HYPERLINK("http://www.bing.com/maps/?lvl=14&amp;sty=h&amp;cp=34.6923~44.9651&amp;sp=point.34.6923_44.9651","Maplink3")</f>
        <v>Maplink3</v>
      </c>
    </row>
    <row r="1354" spans="1:48" ht="15" customHeight="1" x14ac:dyDescent="0.25">
      <c r="A1354" s="19">
        <v>10592</v>
      </c>
      <c r="B1354" s="20" t="s">
        <v>14</v>
      </c>
      <c r="C1354" s="20" t="s">
        <v>2532</v>
      </c>
      <c r="D1354" s="20" t="s">
        <v>2560</v>
      </c>
      <c r="E1354" s="20" t="s">
        <v>2561</v>
      </c>
      <c r="F1354" s="20">
        <v>34.428045895399997</v>
      </c>
      <c r="G1354" s="20">
        <v>44.938053431999997</v>
      </c>
      <c r="H1354" s="22">
        <v>125</v>
      </c>
      <c r="I1354" s="22">
        <v>750</v>
      </c>
      <c r="J1354" s="21"/>
      <c r="K1354" s="21"/>
      <c r="L1354" s="21"/>
      <c r="M1354" s="21"/>
      <c r="N1354" s="21"/>
      <c r="O1354" s="21">
        <v>125</v>
      </c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>
        <v>50</v>
      </c>
      <c r="AD1354" s="21"/>
      <c r="AE1354" s="21"/>
      <c r="AF1354" s="21"/>
      <c r="AG1354" s="21"/>
      <c r="AH1354" s="21">
        <v>75</v>
      </c>
      <c r="AI1354" s="21"/>
      <c r="AJ1354" s="21"/>
      <c r="AK1354" s="21"/>
      <c r="AL1354" s="21"/>
      <c r="AM1354" s="21">
        <v>125</v>
      </c>
      <c r="AN1354" s="21"/>
      <c r="AO1354" s="21"/>
      <c r="AP1354" s="21"/>
      <c r="AQ1354" s="21"/>
      <c r="AR1354" s="21"/>
      <c r="AS1354" s="21"/>
      <c r="AT1354" s="12" t="str">
        <f>HYPERLINK("http://www.openstreetmap.org/?mlat=34.428&amp;mlon=44.9381&amp;zoom=12#map=12/34.428/44.9381","Maplink1")</f>
        <v>Maplink1</v>
      </c>
      <c r="AU1354" s="12" t="str">
        <f>HYPERLINK("https://www.google.iq/maps/search/+34.428,44.9381/@34.428,44.9381,14z?hl=en","Maplink2")</f>
        <v>Maplink2</v>
      </c>
      <c r="AV1354" s="12" t="str">
        <f>HYPERLINK("http://www.bing.com/maps/?lvl=14&amp;sty=h&amp;cp=34.428~44.9381&amp;sp=point.34.428_44.9381","Maplink3")</f>
        <v>Maplink3</v>
      </c>
    </row>
    <row r="1355" spans="1:48" ht="15" customHeight="1" x14ac:dyDescent="0.25">
      <c r="A1355" s="19">
        <v>28430</v>
      </c>
      <c r="B1355" s="20" t="s">
        <v>14</v>
      </c>
      <c r="C1355" s="20" t="s">
        <v>2532</v>
      </c>
      <c r="D1355" s="20" t="s">
        <v>2562</v>
      </c>
      <c r="E1355" s="20" t="s">
        <v>2563</v>
      </c>
      <c r="F1355" s="20">
        <v>34.683880889999998</v>
      </c>
      <c r="G1355" s="20">
        <v>44.94808527</v>
      </c>
      <c r="H1355" s="22">
        <v>84</v>
      </c>
      <c r="I1355" s="22">
        <v>504</v>
      </c>
      <c r="J1355" s="21">
        <v>6</v>
      </c>
      <c r="K1355" s="21">
        <v>9</v>
      </c>
      <c r="L1355" s="21">
        <v>9</v>
      </c>
      <c r="M1355" s="21"/>
      <c r="N1355" s="21"/>
      <c r="O1355" s="21">
        <v>30</v>
      </c>
      <c r="P1355" s="21"/>
      <c r="Q1355" s="21"/>
      <c r="R1355" s="21"/>
      <c r="S1355" s="21"/>
      <c r="T1355" s="21"/>
      <c r="U1355" s="21"/>
      <c r="V1355" s="21"/>
      <c r="W1355" s="21"/>
      <c r="X1355" s="21">
        <v>30</v>
      </c>
      <c r="Y1355" s="21"/>
      <c r="Z1355" s="21"/>
      <c r="AA1355" s="21"/>
      <c r="AB1355" s="21"/>
      <c r="AC1355" s="21"/>
      <c r="AD1355" s="21"/>
      <c r="AE1355" s="21"/>
      <c r="AF1355" s="21"/>
      <c r="AG1355" s="21"/>
      <c r="AH1355" s="21">
        <v>84</v>
      </c>
      <c r="AI1355" s="21"/>
      <c r="AJ1355" s="21"/>
      <c r="AK1355" s="21"/>
      <c r="AL1355" s="21">
        <v>6</v>
      </c>
      <c r="AM1355" s="21">
        <v>11</v>
      </c>
      <c r="AN1355" s="21">
        <v>3</v>
      </c>
      <c r="AO1355" s="21">
        <v>22</v>
      </c>
      <c r="AP1355" s="21">
        <v>17</v>
      </c>
      <c r="AQ1355" s="21"/>
      <c r="AR1355" s="21">
        <v>6</v>
      </c>
      <c r="AS1355" s="21">
        <v>19</v>
      </c>
      <c r="AT1355" s="12" t="str">
        <f>HYPERLINK("http://www.openstreetmap.org/?mlat=34.6839&amp;mlon=44.9481&amp;zoom=12#map=12/34.6839/44.9481","Maplink1")</f>
        <v>Maplink1</v>
      </c>
      <c r="AU1355" s="12" t="str">
        <f>HYPERLINK("https://www.google.iq/maps/search/+34.6839,44.9481/@34.6839,44.9481,14z?hl=en","Maplink2")</f>
        <v>Maplink2</v>
      </c>
      <c r="AV1355" s="12" t="str">
        <f>HYPERLINK("http://www.bing.com/maps/?lvl=14&amp;sty=h&amp;cp=34.6839~44.9481&amp;sp=point.34.6839_44.9481","Maplink3")</f>
        <v>Maplink3</v>
      </c>
    </row>
    <row r="1356" spans="1:48" ht="15" customHeight="1" x14ac:dyDescent="0.25">
      <c r="A1356" s="19">
        <v>28428</v>
      </c>
      <c r="B1356" s="20" t="s">
        <v>14</v>
      </c>
      <c r="C1356" s="20" t="s">
        <v>2532</v>
      </c>
      <c r="D1356" s="20" t="s">
        <v>2564</v>
      </c>
      <c r="E1356" s="20" t="s">
        <v>2215</v>
      </c>
      <c r="F1356" s="20">
        <v>34.691059670000001</v>
      </c>
      <c r="G1356" s="20">
        <v>44.962223850000001</v>
      </c>
      <c r="H1356" s="22">
        <v>70</v>
      </c>
      <c r="I1356" s="22">
        <v>420</v>
      </c>
      <c r="J1356" s="21">
        <v>10</v>
      </c>
      <c r="K1356" s="21">
        <v>14</v>
      </c>
      <c r="L1356" s="21">
        <v>6</v>
      </c>
      <c r="M1356" s="21"/>
      <c r="N1356" s="21"/>
      <c r="O1356" s="21">
        <v>24</v>
      </c>
      <c r="P1356" s="21"/>
      <c r="Q1356" s="21"/>
      <c r="R1356" s="21"/>
      <c r="S1356" s="21"/>
      <c r="T1356" s="21"/>
      <c r="U1356" s="21"/>
      <c r="V1356" s="21">
        <v>2</v>
      </c>
      <c r="W1356" s="21"/>
      <c r="X1356" s="21">
        <v>14</v>
      </c>
      <c r="Y1356" s="21"/>
      <c r="Z1356" s="21"/>
      <c r="AA1356" s="21"/>
      <c r="AB1356" s="21"/>
      <c r="AC1356" s="21"/>
      <c r="AD1356" s="21"/>
      <c r="AE1356" s="21"/>
      <c r="AF1356" s="21"/>
      <c r="AG1356" s="21"/>
      <c r="AH1356" s="21">
        <v>63</v>
      </c>
      <c r="AI1356" s="21"/>
      <c r="AJ1356" s="21">
        <v>7</v>
      </c>
      <c r="AK1356" s="21"/>
      <c r="AL1356" s="21">
        <v>4</v>
      </c>
      <c r="AM1356" s="21">
        <v>18</v>
      </c>
      <c r="AN1356" s="21">
        <v>8</v>
      </c>
      <c r="AO1356" s="21">
        <v>11</v>
      </c>
      <c r="AP1356" s="21">
        <v>6</v>
      </c>
      <c r="AQ1356" s="21"/>
      <c r="AR1356" s="21"/>
      <c r="AS1356" s="21">
        <v>23</v>
      </c>
      <c r="AT1356" s="12" t="str">
        <f>HYPERLINK("http://www.openstreetmap.org/?mlat=34.6911&amp;mlon=44.9622&amp;zoom=12#map=12/34.6911/44.9622","Maplink1")</f>
        <v>Maplink1</v>
      </c>
      <c r="AU1356" s="12" t="str">
        <f>HYPERLINK("https://www.google.iq/maps/search/+34.6911,44.9622/@34.6911,44.9622,14z?hl=en","Maplink2")</f>
        <v>Maplink2</v>
      </c>
      <c r="AV1356" s="12" t="str">
        <f>HYPERLINK("http://www.bing.com/maps/?lvl=14&amp;sty=h&amp;cp=34.6911~44.9622&amp;sp=point.34.6911_44.9622","Maplink3")</f>
        <v>Maplink3</v>
      </c>
    </row>
    <row r="1357" spans="1:48" ht="15" customHeight="1" x14ac:dyDescent="0.25">
      <c r="A1357" s="19">
        <v>11023</v>
      </c>
      <c r="B1357" s="20" t="s">
        <v>14</v>
      </c>
      <c r="C1357" s="20" t="s">
        <v>2532</v>
      </c>
      <c r="D1357" s="20" t="s">
        <v>2565</v>
      </c>
      <c r="E1357" s="20" t="s">
        <v>2566</v>
      </c>
      <c r="F1357" s="20">
        <v>34.743539685099996</v>
      </c>
      <c r="G1357" s="20">
        <v>45.068659980500001</v>
      </c>
      <c r="H1357" s="22">
        <v>147</v>
      </c>
      <c r="I1357" s="22">
        <v>882</v>
      </c>
      <c r="J1357" s="21"/>
      <c r="K1357" s="21">
        <v>9</v>
      </c>
      <c r="L1357" s="21">
        <v>4</v>
      </c>
      <c r="M1357" s="21"/>
      <c r="N1357" s="21"/>
      <c r="O1357" s="21">
        <v>74</v>
      </c>
      <c r="P1357" s="21"/>
      <c r="Q1357" s="21"/>
      <c r="R1357" s="21"/>
      <c r="S1357" s="21"/>
      <c r="T1357" s="21"/>
      <c r="U1357" s="21"/>
      <c r="V1357" s="21">
        <v>5</v>
      </c>
      <c r="W1357" s="21"/>
      <c r="X1357" s="21">
        <v>55</v>
      </c>
      <c r="Y1357" s="21"/>
      <c r="Z1357" s="21"/>
      <c r="AA1357" s="21"/>
      <c r="AB1357" s="21"/>
      <c r="AC1357" s="21"/>
      <c r="AD1357" s="21"/>
      <c r="AE1357" s="21"/>
      <c r="AF1357" s="21"/>
      <c r="AG1357" s="21"/>
      <c r="AH1357" s="21">
        <v>147</v>
      </c>
      <c r="AI1357" s="21"/>
      <c r="AJ1357" s="21"/>
      <c r="AK1357" s="21"/>
      <c r="AL1357" s="21">
        <v>12</v>
      </c>
      <c r="AM1357" s="21">
        <v>28</v>
      </c>
      <c r="AN1357" s="21">
        <v>25</v>
      </c>
      <c r="AO1357" s="21">
        <v>19</v>
      </c>
      <c r="AP1357" s="21">
        <v>13</v>
      </c>
      <c r="AQ1357" s="21">
        <v>16</v>
      </c>
      <c r="AR1357" s="21">
        <v>19</v>
      </c>
      <c r="AS1357" s="21">
        <v>15</v>
      </c>
      <c r="AT1357" s="12" t="str">
        <f>HYPERLINK("http://www.openstreetmap.org/?mlat=34.7435&amp;mlon=45.0687&amp;zoom=12#map=12/34.7435/45.0687","Maplink1")</f>
        <v>Maplink1</v>
      </c>
      <c r="AU1357" s="12" t="str">
        <f>HYPERLINK("https://www.google.iq/maps/search/+34.7435,45.0687/@34.7435,45.0687,14z?hl=en","Maplink2")</f>
        <v>Maplink2</v>
      </c>
      <c r="AV1357" s="12" t="str">
        <f>HYPERLINK("http://www.bing.com/maps/?lvl=14&amp;sty=h&amp;cp=34.7435~45.0687&amp;sp=point.34.7435_45.0687","Maplink3")</f>
        <v>Maplink3</v>
      </c>
    </row>
    <row r="1358" spans="1:48" ht="15" customHeight="1" x14ac:dyDescent="0.25">
      <c r="A1358" s="19">
        <v>33394</v>
      </c>
      <c r="B1358" s="20" t="s">
        <v>14</v>
      </c>
      <c r="C1358" s="20" t="s">
        <v>2532</v>
      </c>
      <c r="D1358" s="20" t="s">
        <v>5874</v>
      </c>
      <c r="E1358" s="20" t="s">
        <v>2065</v>
      </c>
      <c r="F1358" s="20">
        <v>34.682110000000002</v>
      </c>
      <c r="G1358" s="20">
        <v>44.951729999999998</v>
      </c>
      <c r="H1358" s="22">
        <v>52</v>
      </c>
      <c r="I1358" s="22">
        <v>312</v>
      </c>
      <c r="J1358" s="21">
        <v>1</v>
      </c>
      <c r="K1358" s="21">
        <v>7</v>
      </c>
      <c r="L1358" s="21">
        <v>7</v>
      </c>
      <c r="M1358" s="21"/>
      <c r="N1358" s="21"/>
      <c r="O1358" s="21">
        <v>11</v>
      </c>
      <c r="P1358" s="21"/>
      <c r="Q1358" s="21"/>
      <c r="R1358" s="21"/>
      <c r="S1358" s="21"/>
      <c r="T1358" s="21"/>
      <c r="U1358" s="21"/>
      <c r="V1358" s="21"/>
      <c r="W1358" s="21"/>
      <c r="X1358" s="21">
        <v>26</v>
      </c>
      <c r="Y1358" s="21"/>
      <c r="Z1358" s="21"/>
      <c r="AA1358" s="21"/>
      <c r="AB1358" s="21"/>
      <c r="AC1358" s="21"/>
      <c r="AD1358" s="21"/>
      <c r="AE1358" s="21"/>
      <c r="AF1358" s="21"/>
      <c r="AG1358" s="21"/>
      <c r="AH1358" s="21">
        <v>52</v>
      </c>
      <c r="AI1358" s="21"/>
      <c r="AJ1358" s="21"/>
      <c r="AK1358" s="21"/>
      <c r="AL1358" s="21"/>
      <c r="AM1358" s="21">
        <v>13</v>
      </c>
      <c r="AN1358" s="21">
        <v>4</v>
      </c>
      <c r="AO1358" s="21">
        <v>11</v>
      </c>
      <c r="AP1358" s="21">
        <v>1</v>
      </c>
      <c r="AQ1358" s="21"/>
      <c r="AR1358" s="21"/>
      <c r="AS1358" s="21">
        <v>23</v>
      </c>
      <c r="AT1358" s="12" t="str">
        <f>HYPERLINK("http://www.openstreetmap.org/?mlat=34.6821&amp;mlon=44.9517&amp;zoom=12#map=12/34.6821/44.9517","Maplink1")</f>
        <v>Maplink1</v>
      </c>
      <c r="AU1358" s="12" t="str">
        <f>HYPERLINK("https://www.google.iq/maps/search/+34.6821,44.9517/@34.6821,44.9517,14z?hl=en","Maplink2")</f>
        <v>Maplink2</v>
      </c>
      <c r="AV1358" s="12" t="str">
        <f>HYPERLINK("http://www.bing.com/maps/?lvl=14&amp;sty=h&amp;cp=34.6821~44.9517&amp;sp=point.34.6821_44.9517","Maplink3")</f>
        <v>Maplink3</v>
      </c>
    </row>
    <row r="1359" spans="1:48" ht="15" customHeight="1" x14ac:dyDescent="0.25">
      <c r="A1359" s="19">
        <v>28429</v>
      </c>
      <c r="B1359" s="20" t="s">
        <v>14</v>
      </c>
      <c r="C1359" s="20" t="s">
        <v>2532</v>
      </c>
      <c r="D1359" s="20" t="s">
        <v>2567</v>
      </c>
      <c r="E1359" s="20" t="s">
        <v>2161</v>
      </c>
      <c r="F1359" s="20">
        <v>34.674400221699997</v>
      </c>
      <c r="G1359" s="20">
        <v>44.948847834799999</v>
      </c>
      <c r="H1359" s="22">
        <v>73</v>
      </c>
      <c r="I1359" s="22">
        <v>438</v>
      </c>
      <c r="J1359" s="21">
        <v>5</v>
      </c>
      <c r="K1359" s="21">
        <v>2</v>
      </c>
      <c r="L1359" s="21">
        <v>6</v>
      </c>
      <c r="M1359" s="21"/>
      <c r="N1359" s="21"/>
      <c r="O1359" s="21">
        <v>29</v>
      </c>
      <c r="P1359" s="21"/>
      <c r="Q1359" s="21"/>
      <c r="R1359" s="21"/>
      <c r="S1359" s="21"/>
      <c r="T1359" s="21"/>
      <c r="U1359" s="21"/>
      <c r="V1359" s="21">
        <v>1</v>
      </c>
      <c r="W1359" s="21"/>
      <c r="X1359" s="21">
        <v>30</v>
      </c>
      <c r="Y1359" s="21"/>
      <c r="Z1359" s="21"/>
      <c r="AA1359" s="21"/>
      <c r="AB1359" s="21"/>
      <c r="AC1359" s="21"/>
      <c r="AD1359" s="21"/>
      <c r="AE1359" s="21"/>
      <c r="AF1359" s="21"/>
      <c r="AG1359" s="21"/>
      <c r="AH1359" s="21">
        <v>73</v>
      </c>
      <c r="AI1359" s="21"/>
      <c r="AJ1359" s="21"/>
      <c r="AK1359" s="21"/>
      <c r="AL1359" s="21">
        <v>5</v>
      </c>
      <c r="AM1359" s="21">
        <v>13</v>
      </c>
      <c r="AN1359" s="21">
        <v>8</v>
      </c>
      <c r="AO1359" s="21">
        <v>15</v>
      </c>
      <c r="AP1359" s="21">
        <v>10</v>
      </c>
      <c r="AQ1359" s="21">
        <v>7</v>
      </c>
      <c r="AR1359" s="21">
        <v>5</v>
      </c>
      <c r="AS1359" s="21">
        <v>10</v>
      </c>
      <c r="AT1359" s="12" t="str">
        <f>HYPERLINK("http://www.openstreetmap.org/?mlat=34.6744&amp;mlon=44.9488&amp;zoom=12#map=12/34.6744/44.9488","Maplink1")</f>
        <v>Maplink1</v>
      </c>
      <c r="AU1359" s="12" t="str">
        <f>HYPERLINK("https://www.google.iq/maps/search/+34.6744,44.9488/@34.6744,44.9488,14z?hl=en","Maplink2")</f>
        <v>Maplink2</v>
      </c>
      <c r="AV1359" s="12" t="str">
        <f>HYPERLINK("http://www.bing.com/maps/?lvl=14&amp;sty=h&amp;cp=34.6744~44.9488&amp;sp=point.34.6744_44.9488","Maplink3")</f>
        <v>Maplink3</v>
      </c>
    </row>
    <row r="1360" spans="1:48" ht="15" customHeight="1" x14ac:dyDescent="0.25">
      <c r="A1360" s="19">
        <v>33153</v>
      </c>
      <c r="B1360" s="20" t="s">
        <v>14</v>
      </c>
      <c r="C1360" s="20" t="s">
        <v>2532</v>
      </c>
      <c r="D1360" s="20" t="s">
        <v>5548</v>
      </c>
      <c r="E1360" s="20" t="s">
        <v>5549</v>
      </c>
      <c r="F1360" s="20">
        <v>34.879368999999997</v>
      </c>
      <c r="G1360" s="20">
        <v>44.849553999999998</v>
      </c>
      <c r="H1360" s="22">
        <v>110</v>
      </c>
      <c r="I1360" s="22">
        <v>660</v>
      </c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>
        <v>110</v>
      </c>
      <c r="Y1360" s="21"/>
      <c r="Z1360" s="21"/>
      <c r="AA1360" s="21"/>
      <c r="AB1360" s="21"/>
      <c r="AC1360" s="21">
        <v>70</v>
      </c>
      <c r="AD1360" s="21"/>
      <c r="AE1360" s="21"/>
      <c r="AF1360" s="21"/>
      <c r="AG1360" s="21"/>
      <c r="AH1360" s="21">
        <v>40</v>
      </c>
      <c r="AI1360" s="21"/>
      <c r="AJ1360" s="21"/>
      <c r="AK1360" s="21"/>
      <c r="AL1360" s="21"/>
      <c r="AM1360" s="21"/>
      <c r="AN1360" s="21"/>
      <c r="AO1360" s="21"/>
      <c r="AP1360" s="21"/>
      <c r="AQ1360" s="21"/>
      <c r="AR1360" s="21"/>
      <c r="AS1360" s="21">
        <v>110</v>
      </c>
      <c r="AT1360" s="12" t="str">
        <f>HYPERLINK("http://www.openstreetmap.org/?mlat=34.8794&amp;mlon=44.8496&amp;zoom=12#map=12/34.8794/44.8496","Maplink1")</f>
        <v>Maplink1</v>
      </c>
      <c r="AU1360" s="12" t="str">
        <f>HYPERLINK("https://www.google.iq/maps/search/+34.8794,44.8496/@34.8794,44.8496,14z?hl=en","Maplink2")</f>
        <v>Maplink2</v>
      </c>
      <c r="AV1360" s="12" t="str">
        <f>HYPERLINK("http://www.bing.com/maps/?lvl=14&amp;sty=h&amp;cp=34.8794~44.8496&amp;sp=point.34.8794_44.8496","Maplink3")</f>
        <v>Maplink3</v>
      </c>
    </row>
    <row r="1361" spans="1:48" ht="15" customHeight="1" x14ac:dyDescent="0.25">
      <c r="A1361" s="19">
        <v>21582</v>
      </c>
      <c r="B1361" s="20" t="s">
        <v>15</v>
      </c>
      <c r="C1361" s="20" t="s">
        <v>15</v>
      </c>
      <c r="D1361" s="20" t="s">
        <v>2568</v>
      </c>
      <c r="E1361" s="20" t="s">
        <v>2569</v>
      </c>
      <c r="F1361" s="20">
        <v>36.206985831200001</v>
      </c>
      <c r="G1361" s="20">
        <v>44.149235248300002</v>
      </c>
      <c r="H1361" s="22">
        <v>55</v>
      </c>
      <c r="I1361" s="22">
        <v>330</v>
      </c>
      <c r="J1361" s="21">
        <v>15</v>
      </c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>
        <v>40</v>
      </c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21"/>
      <c r="AH1361" s="21">
        <v>55</v>
      </c>
      <c r="AI1361" s="21"/>
      <c r="AJ1361" s="21"/>
      <c r="AK1361" s="21"/>
      <c r="AL1361" s="21">
        <v>10</v>
      </c>
      <c r="AM1361" s="21">
        <v>30</v>
      </c>
      <c r="AN1361" s="21"/>
      <c r="AO1361" s="21"/>
      <c r="AP1361" s="21">
        <v>5</v>
      </c>
      <c r="AQ1361" s="21"/>
      <c r="AR1361" s="21">
        <v>10</v>
      </c>
      <c r="AS1361" s="21"/>
      <c r="AT1361" s="12" t="str">
        <f>HYPERLINK("http://www.openstreetmap.org/?mlat=36.207&amp;mlon=44.1492&amp;zoom=12#map=12/36.207/44.1492","Maplink1")</f>
        <v>Maplink1</v>
      </c>
      <c r="AU1361" s="12" t="str">
        <f>HYPERLINK("https://www.google.iq/maps/search/+36.207,44.1492/@36.207,44.1492,14z?hl=en","Maplink2")</f>
        <v>Maplink2</v>
      </c>
      <c r="AV1361" s="12" t="str">
        <f>HYPERLINK("http://www.bing.com/maps/?lvl=14&amp;sty=h&amp;cp=36.207~44.1492&amp;sp=point.36.207_44.1492","Maplink3")</f>
        <v>Maplink3</v>
      </c>
    </row>
    <row r="1362" spans="1:48" ht="15" customHeight="1" x14ac:dyDescent="0.25">
      <c r="A1362" s="19">
        <v>20980</v>
      </c>
      <c r="B1362" s="20" t="s">
        <v>15</v>
      </c>
      <c r="C1362" s="20" t="s">
        <v>15</v>
      </c>
      <c r="D1362" s="20" t="s">
        <v>2570</v>
      </c>
      <c r="E1362" s="20" t="s">
        <v>2571</v>
      </c>
      <c r="F1362" s="20">
        <v>36.243498340000002</v>
      </c>
      <c r="G1362" s="20">
        <v>43.983620999999999</v>
      </c>
      <c r="H1362" s="22">
        <v>316</v>
      </c>
      <c r="I1362" s="22">
        <v>1896</v>
      </c>
      <c r="J1362" s="21">
        <v>20</v>
      </c>
      <c r="K1362" s="21"/>
      <c r="L1362" s="21">
        <v>10</v>
      </c>
      <c r="M1362" s="21"/>
      <c r="N1362" s="21"/>
      <c r="O1362" s="21"/>
      <c r="P1362" s="21"/>
      <c r="Q1362" s="21"/>
      <c r="R1362" s="21"/>
      <c r="S1362" s="21"/>
      <c r="T1362" s="21"/>
      <c r="U1362" s="21"/>
      <c r="V1362" s="21">
        <v>256</v>
      </c>
      <c r="W1362" s="21"/>
      <c r="X1362" s="21">
        <v>30</v>
      </c>
      <c r="Y1362" s="21"/>
      <c r="Z1362" s="21"/>
      <c r="AA1362" s="21"/>
      <c r="AB1362" s="21"/>
      <c r="AC1362" s="21"/>
      <c r="AD1362" s="21"/>
      <c r="AE1362" s="21"/>
      <c r="AF1362" s="21"/>
      <c r="AG1362" s="21"/>
      <c r="AH1362" s="21">
        <v>316</v>
      </c>
      <c r="AI1362" s="21"/>
      <c r="AJ1362" s="21"/>
      <c r="AK1362" s="21"/>
      <c r="AL1362" s="21">
        <v>15</v>
      </c>
      <c r="AM1362" s="21">
        <v>88</v>
      </c>
      <c r="AN1362" s="21">
        <v>86</v>
      </c>
      <c r="AO1362" s="21">
        <v>6</v>
      </c>
      <c r="AP1362" s="21">
        <v>18</v>
      </c>
      <c r="AQ1362" s="21">
        <v>5</v>
      </c>
      <c r="AR1362" s="21">
        <v>95</v>
      </c>
      <c r="AS1362" s="21">
        <v>3</v>
      </c>
      <c r="AT1362" s="12" t="str">
        <f>HYPERLINK("http://www.openstreetmap.org/?mlat=36.2435&amp;mlon=43.9836&amp;zoom=12#map=12/36.2435/43.9836","Maplink1")</f>
        <v>Maplink1</v>
      </c>
      <c r="AU1362" s="12" t="str">
        <f>HYPERLINK("https://www.google.iq/maps/search/+36.2435,43.9836/@36.2435,43.9836,14z?hl=en","Maplink2")</f>
        <v>Maplink2</v>
      </c>
      <c r="AV1362" s="12" t="str">
        <f>HYPERLINK("http://www.bing.com/maps/?lvl=14&amp;sty=h&amp;cp=36.2435~43.9836&amp;sp=point.36.2435_43.9836","Maplink3")</f>
        <v>Maplink3</v>
      </c>
    </row>
    <row r="1363" spans="1:48" ht="15" customHeight="1" x14ac:dyDescent="0.25">
      <c r="A1363" s="19">
        <v>27147</v>
      </c>
      <c r="B1363" s="20" t="s">
        <v>15</v>
      </c>
      <c r="C1363" s="20" t="s">
        <v>15</v>
      </c>
      <c r="D1363" s="20" t="s">
        <v>2572</v>
      </c>
      <c r="E1363" s="20" t="s">
        <v>2573</v>
      </c>
      <c r="F1363" s="20">
        <v>36.231406100000001</v>
      </c>
      <c r="G1363" s="20">
        <v>43.997479599999998</v>
      </c>
      <c r="H1363" s="22">
        <v>17</v>
      </c>
      <c r="I1363" s="22">
        <v>102</v>
      </c>
      <c r="J1363" s="21">
        <v>7</v>
      </c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>
        <v>10</v>
      </c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21"/>
      <c r="AH1363" s="21">
        <v>17</v>
      </c>
      <c r="AI1363" s="21"/>
      <c r="AJ1363" s="21"/>
      <c r="AK1363" s="21"/>
      <c r="AL1363" s="21"/>
      <c r="AM1363" s="21">
        <v>8</v>
      </c>
      <c r="AN1363" s="21">
        <v>2</v>
      </c>
      <c r="AO1363" s="21"/>
      <c r="AP1363" s="21">
        <v>2</v>
      </c>
      <c r="AQ1363" s="21">
        <v>5</v>
      </c>
      <c r="AR1363" s="21"/>
      <c r="AS1363" s="21"/>
      <c r="AT1363" s="12" t="str">
        <f>HYPERLINK("http://www.openstreetmap.org/?mlat=36.2314&amp;mlon=43.9975&amp;zoom=12#map=12/36.2314/43.9975","Maplink1")</f>
        <v>Maplink1</v>
      </c>
      <c r="AU1363" s="12" t="str">
        <f>HYPERLINK("https://www.google.iq/maps/search/+36.2314,43.9975/@36.2314,43.9975,14z?hl=en","Maplink2")</f>
        <v>Maplink2</v>
      </c>
      <c r="AV1363" s="12" t="str">
        <f>HYPERLINK("http://www.bing.com/maps/?lvl=14&amp;sty=h&amp;cp=36.2314~43.9975&amp;sp=point.36.2314_43.9975","Maplink3")</f>
        <v>Maplink3</v>
      </c>
    </row>
    <row r="1364" spans="1:48" ht="15" customHeight="1" x14ac:dyDescent="0.25">
      <c r="A1364" s="19">
        <v>21874</v>
      </c>
      <c r="B1364" s="20" t="s">
        <v>15</v>
      </c>
      <c r="C1364" s="20" t="s">
        <v>15</v>
      </c>
      <c r="D1364" s="20" t="s">
        <v>2574</v>
      </c>
      <c r="E1364" s="20" t="s">
        <v>420</v>
      </c>
      <c r="F1364" s="20">
        <v>36.172738420000002</v>
      </c>
      <c r="G1364" s="20">
        <v>44.022143059999998</v>
      </c>
      <c r="H1364" s="22">
        <v>490</v>
      </c>
      <c r="I1364" s="22">
        <v>2940</v>
      </c>
      <c r="J1364" s="21">
        <v>200</v>
      </c>
      <c r="K1364" s="21"/>
      <c r="L1364" s="21">
        <v>20</v>
      </c>
      <c r="M1364" s="21"/>
      <c r="N1364" s="21"/>
      <c r="O1364" s="21"/>
      <c r="P1364" s="21"/>
      <c r="Q1364" s="21"/>
      <c r="R1364" s="21"/>
      <c r="S1364" s="21"/>
      <c r="T1364" s="21"/>
      <c r="U1364" s="21"/>
      <c r="V1364" s="21">
        <v>245</v>
      </c>
      <c r="W1364" s="21"/>
      <c r="X1364" s="21">
        <v>25</v>
      </c>
      <c r="Y1364" s="21"/>
      <c r="Z1364" s="21"/>
      <c r="AA1364" s="21"/>
      <c r="AB1364" s="21"/>
      <c r="AC1364" s="21"/>
      <c r="AD1364" s="21"/>
      <c r="AE1364" s="21"/>
      <c r="AF1364" s="21"/>
      <c r="AG1364" s="21"/>
      <c r="AH1364" s="21">
        <v>490</v>
      </c>
      <c r="AI1364" s="21"/>
      <c r="AJ1364" s="21"/>
      <c r="AK1364" s="21"/>
      <c r="AL1364" s="21">
        <v>4</v>
      </c>
      <c r="AM1364" s="21">
        <v>15</v>
      </c>
      <c r="AN1364" s="21">
        <v>36</v>
      </c>
      <c r="AO1364" s="21">
        <v>15</v>
      </c>
      <c r="AP1364" s="21">
        <v>177</v>
      </c>
      <c r="AQ1364" s="21">
        <v>15</v>
      </c>
      <c r="AR1364" s="21">
        <v>228</v>
      </c>
      <c r="AS1364" s="21"/>
      <c r="AT1364" s="12" t="str">
        <f>HYPERLINK("http://www.openstreetmap.org/?mlat=36.1727&amp;mlon=44.0221&amp;zoom=12#map=12/36.1727/44.0221","Maplink1")</f>
        <v>Maplink1</v>
      </c>
      <c r="AU1364" s="12" t="str">
        <f>HYPERLINK("https://www.google.iq/maps/search/+36.1727,44.0221/@36.1727,44.0221,14z?hl=en","Maplink2")</f>
        <v>Maplink2</v>
      </c>
      <c r="AV1364" s="12" t="str">
        <f>HYPERLINK("http://www.bing.com/maps/?lvl=14&amp;sty=h&amp;cp=36.1727~44.0221&amp;sp=point.36.1727_44.0221","Maplink3")</f>
        <v>Maplink3</v>
      </c>
    </row>
    <row r="1365" spans="1:48" ht="15" customHeight="1" x14ac:dyDescent="0.25">
      <c r="A1365" s="19">
        <v>23908</v>
      </c>
      <c r="B1365" s="20" t="s">
        <v>15</v>
      </c>
      <c r="C1365" s="20" t="s">
        <v>15</v>
      </c>
      <c r="D1365" s="20" t="s">
        <v>2575</v>
      </c>
      <c r="E1365" s="20" t="s">
        <v>2576</v>
      </c>
      <c r="F1365" s="20">
        <v>36.192615179999997</v>
      </c>
      <c r="G1365" s="20">
        <v>44.017004380000003</v>
      </c>
      <c r="H1365" s="22">
        <v>50</v>
      </c>
      <c r="I1365" s="22">
        <v>300</v>
      </c>
      <c r="J1365" s="21">
        <v>21</v>
      </c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>
        <v>25</v>
      </c>
      <c r="W1365" s="21"/>
      <c r="X1365" s="21">
        <v>4</v>
      </c>
      <c r="Y1365" s="21"/>
      <c r="Z1365" s="21"/>
      <c r="AA1365" s="21"/>
      <c r="AB1365" s="21"/>
      <c r="AC1365" s="21"/>
      <c r="AD1365" s="21">
        <v>15</v>
      </c>
      <c r="AE1365" s="21"/>
      <c r="AF1365" s="21"/>
      <c r="AG1365" s="21"/>
      <c r="AH1365" s="21">
        <v>35</v>
      </c>
      <c r="AI1365" s="21"/>
      <c r="AJ1365" s="21"/>
      <c r="AK1365" s="21"/>
      <c r="AL1365" s="21">
        <v>5</v>
      </c>
      <c r="AM1365" s="21">
        <v>13</v>
      </c>
      <c r="AN1365" s="21"/>
      <c r="AO1365" s="21"/>
      <c r="AP1365" s="21">
        <v>16</v>
      </c>
      <c r="AQ1365" s="21"/>
      <c r="AR1365" s="21">
        <v>16</v>
      </c>
      <c r="AS1365" s="21"/>
      <c r="AT1365" s="12" t="str">
        <f>HYPERLINK("http://www.openstreetmap.org/?mlat=36.1926&amp;mlon=44.017&amp;zoom=12#map=12/36.1926/44.017","Maplink1")</f>
        <v>Maplink1</v>
      </c>
      <c r="AU1365" s="12" t="str">
        <f>HYPERLINK("https://www.google.iq/maps/search/+36.1926,44.017/@36.1926,44.017,14z?hl=en","Maplink2")</f>
        <v>Maplink2</v>
      </c>
      <c r="AV1365" s="12" t="str">
        <f>HYPERLINK("http://www.bing.com/maps/?lvl=14&amp;sty=h&amp;cp=36.1926~44.017&amp;sp=point.36.1926_44.017","Maplink3")</f>
        <v>Maplink3</v>
      </c>
    </row>
    <row r="1366" spans="1:48" ht="15" customHeight="1" x14ac:dyDescent="0.25">
      <c r="A1366" s="19">
        <v>23335</v>
      </c>
      <c r="B1366" s="20" t="s">
        <v>15</v>
      </c>
      <c r="C1366" s="20" t="s">
        <v>15</v>
      </c>
      <c r="D1366" s="20" t="s">
        <v>2577</v>
      </c>
      <c r="E1366" s="20" t="s">
        <v>2578</v>
      </c>
      <c r="F1366" s="20">
        <v>36.185998789999999</v>
      </c>
      <c r="G1366" s="20">
        <v>44.008643259999999</v>
      </c>
      <c r="H1366" s="22">
        <v>4</v>
      </c>
      <c r="I1366" s="22">
        <v>24</v>
      </c>
      <c r="J1366" s="21">
        <v>2</v>
      </c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>
        <v>2</v>
      </c>
      <c r="W1366" s="21"/>
      <c r="X1366" s="21"/>
      <c r="Y1366" s="21"/>
      <c r="Z1366" s="21"/>
      <c r="AA1366" s="21"/>
      <c r="AB1366" s="21"/>
      <c r="AC1366" s="21"/>
      <c r="AD1366" s="21">
        <v>4</v>
      </c>
      <c r="AE1366" s="21"/>
      <c r="AF1366" s="21"/>
      <c r="AG1366" s="21"/>
      <c r="AH1366" s="21"/>
      <c r="AI1366" s="21"/>
      <c r="AJ1366" s="21"/>
      <c r="AK1366" s="21"/>
      <c r="AL1366" s="21">
        <v>2</v>
      </c>
      <c r="AM1366" s="21"/>
      <c r="AN1366" s="21"/>
      <c r="AO1366" s="21"/>
      <c r="AP1366" s="21"/>
      <c r="AQ1366" s="21"/>
      <c r="AR1366" s="21">
        <v>2</v>
      </c>
      <c r="AS1366" s="21"/>
      <c r="AT1366" s="12" t="str">
        <f>HYPERLINK("http://www.openstreetmap.org/?mlat=36.186&amp;mlon=44.0086&amp;zoom=12#map=12/36.186/44.0086","Maplink1")</f>
        <v>Maplink1</v>
      </c>
      <c r="AU1366" s="12" t="str">
        <f>HYPERLINK("https://www.google.iq/maps/search/+36.186,44.0086/@36.186,44.0086,14z?hl=en","Maplink2")</f>
        <v>Maplink2</v>
      </c>
      <c r="AV1366" s="12" t="str">
        <f>HYPERLINK("http://www.bing.com/maps/?lvl=14&amp;sty=h&amp;cp=36.186~44.0086&amp;sp=point.36.186_44.0086","Maplink3")</f>
        <v>Maplink3</v>
      </c>
    </row>
    <row r="1367" spans="1:48" ht="15" customHeight="1" x14ac:dyDescent="0.25">
      <c r="A1367" s="19">
        <v>27333</v>
      </c>
      <c r="B1367" s="20" t="s">
        <v>15</v>
      </c>
      <c r="C1367" s="20" t="s">
        <v>15</v>
      </c>
      <c r="D1367" s="20" t="s">
        <v>2579</v>
      </c>
      <c r="E1367" s="20" t="s">
        <v>2580</v>
      </c>
      <c r="F1367" s="20">
        <v>36.203983649999998</v>
      </c>
      <c r="G1367" s="20">
        <v>44.147815389999998</v>
      </c>
      <c r="H1367" s="22">
        <v>50</v>
      </c>
      <c r="I1367" s="22">
        <v>300</v>
      </c>
      <c r="J1367" s="21">
        <v>28</v>
      </c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>
        <v>22</v>
      </c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21"/>
      <c r="AH1367" s="21">
        <v>50</v>
      </c>
      <c r="AI1367" s="21"/>
      <c r="AJ1367" s="21"/>
      <c r="AK1367" s="21"/>
      <c r="AL1367" s="21">
        <v>5</v>
      </c>
      <c r="AM1367" s="21">
        <v>5</v>
      </c>
      <c r="AN1367" s="21"/>
      <c r="AO1367" s="21"/>
      <c r="AP1367" s="21">
        <v>23</v>
      </c>
      <c r="AQ1367" s="21"/>
      <c r="AR1367" s="21">
        <v>17</v>
      </c>
      <c r="AS1367" s="21"/>
      <c r="AT1367" s="12" t="str">
        <f>HYPERLINK("http://www.openstreetmap.org/?mlat=36.204&amp;mlon=44.1478&amp;zoom=12#map=12/36.204/44.1478","Maplink1")</f>
        <v>Maplink1</v>
      </c>
      <c r="AU1367" s="12" t="str">
        <f>HYPERLINK("https://www.google.iq/maps/search/+36.204,44.1478/@36.204,44.1478,14z?hl=en","Maplink2")</f>
        <v>Maplink2</v>
      </c>
      <c r="AV1367" s="12" t="str">
        <f>HYPERLINK("http://www.bing.com/maps/?lvl=14&amp;sty=h&amp;cp=36.204~44.1478&amp;sp=point.36.204_44.1478","Maplink3")</f>
        <v>Maplink3</v>
      </c>
    </row>
    <row r="1368" spans="1:48" ht="15" customHeight="1" x14ac:dyDescent="0.25">
      <c r="A1368" s="19">
        <v>29558</v>
      </c>
      <c r="B1368" s="20" t="s">
        <v>15</v>
      </c>
      <c r="C1368" s="20" t="s">
        <v>15</v>
      </c>
      <c r="D1368" s="20" t="s">
        <v>2581</v>
      </c>
      <c r="E1368" s="20" t="s">
        <v>2582</v>
      </c>
      <c r="F1368" s="20">
        <v>36.187399999999997</v>
      </c>
      <c r="G1368" s="20">
        <v>44.0124</v>
      </c>
      <c r="H1368" s="22">
        <v>124</v>
      </c>
      <c r="I1368" s="22">
        <v>744</v>
      </c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>
        <v>124</v>
      </c>
      <c r="W1368" s="21"/>
      <c r="X1368" s="21"/>
      <c r="Y1368" s="21"/>
      <c r="Z1368" s="21"/>
      <c r="AA1368" s="21"/>
      <c r="AB1368" s="21"/>
      <c r="AC1368" s="21"/>
      <c r="AD1368" s="21"/>
      <c r="AE1368" s="21">
        <v>124</v>
      </c>
      <c r="AF1368" s="21"/>
      <c r="AG1368" s="21"/>
      <c r="AH1368" s="21"/>
      <c r="AI1368" s="21"/>
      <c r="AJ1368" s="21"/>
      <c r="AK1368" s="21"/>
      <c r="AL1368" s="21"/>
      <c r="AM1368" s="21"/>
      <c r="AN1368" s="21">
        <v>124</v>
      </c>
      <c r="AO1368" s="21"/>
      <c r="AP1368" s="21"/>
      <c r="AQ1368" s="21"/>
      <c r="AR1368" s="21"/>
      <c r="AS1368" s="21"/>
      <c r="AT1368" s="12" t="str">
        <f>HYPERLINK("http://www.openstreetmap.org/?mlat=36.1874&amp;mlon=44.0124&amp;zoom=12#map=12/36.1874/44.0124","Maplink1")</f>
        <v>Maplink1</v>
      </c>
      <c r="AU1368" s="12" t="str">
        <f>HYPERLINK("https://www.google.iq/maps/search/+36.1874,44.0124/@36.1874,44.0124,14z?hl=en","Maplink2")</f>
        <v>Maplink2</v>
      </c>
      <c r="AV1368" s="12" t="str">
        <f>HYPERLINK("http://www.bing.com/maps/?lvl=14&amp;sty=h&amp;cp=36.1874~44.0124&amp;sp=point.36.1874_44.0124","Maplink3")</f>
        <v>Maplink3</v>
      </c>
    </row>
    <row r="1369" spans="1:48" ht="15" customHeight="1" x14ac:dyDescent="0.25">
      <c r="A1369" s="19">
        <v>25732</v>
      </c>
      <c r="B1369" s="20" t="s">
        <v>15</v>
      </c>
      <c r="C1369" s="20" t="s">
        <v>15</v>
      </c>
      <c r="D1369" s="20" t="s">
        <v>2583</v>
      </c>
      <c r="E1369" s="20" t="s">
        <v>123</v>
      </c>
      <c r="F1369" s="20">
        <v>36.211463324599997</v>
      </c>
      <c r="G1369" s="20">
        <v>44.040591760300003</v>
      </c>
      <c r="H1369" s="22">
        <v>106</v>
      </c>
      <c r="I1369" s="22">
        <v>636</v>
      </c>
      <c r="J1369" s="21">
        <v>39</v>
      </c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>
        <v>67</v>
      </c>
      <c r="Y1369" s="21"/>
      <c r="Z1369" s="21"/>
      <c r="AA1369" s="21"/>
      <c r="AB1369" s="21"/>
      <c r="AC1369" s="21"/>
      <c r="AD1369" s="21"/>
      <c r="AE1369" s="21"/>
      <c r="AF1369" s="21"/>
      <c r="AG1369" s="21"/>
      <c r="AH1369" s="21">
        <v>106</v>
      </c>
      <c r="AI1369" s="21"/>
      <c r="AJ1369" s="21"/>
      <c r="AK1369" s="21"/>
      <c r="AL1369" s="21"/>
      <c r="AM1369" s="21">
        <v>67</v>
      </c>
      <c r="AN1369" s="21"/>
      <c r="AO1369" s="21"/>
      <c r="AP1369" s="21">
        <v>39</v>
      </c>
      <c r="AQ1369" s="21"/>
      <c r="AR1369" s="21"/>
      <c r="AS1369" s="21"/>
      <c r="AT1369" s="12" t="str">
        <f>HYPERLINK("http://www.openstreetmap.org/?mlat=36.2115&amp;mlon=44.0406&amp;zoom=12#map=12/36.2115/44.0406","Maplink1")</f>
        <v>Maplink1</v>
      </c>
      <c r="AU1369" s="12" t="str">
        <f>HYPERLINK("https://www.google.iq/maps/search/+36.2115,44.0406/@36.2115,44.0406,14z?hl=en","Maplink2")</f>
        <v>Maplink2</v>
      </c>
      <c r="AV1369" s="12" t="str">
        <f>HYPERLINK("http://www.bing.com/maps/?lvl=14&amp;sty=h&amp;cp=36.2115~44.0406&amp;sp=point.36.2115_44.0406","Maplink3")</f>
        <v>Maplink3</v>
      </c>
    </row>
    <row r="1370" spans="1:48" ht="15" customHeight="1" x14ac:dyDescent="0.25">
      <c r="A1370" s="19">
        <v>25731</v>
      </c>
      <c r="B1370" s="20" t="s">
        <v>15</v>
      </c>
      <c r="C1370" s="20" t="s">
        <v>15</v>
      </c>
      <c r="D1370" s="20" t="s">
        <v>2584</v>
      </c>
      <c r="E1370" s="20" t="s">
        <v>2585</v>
      </c>
      <c r="F1370" s="20">
        <v>36.166706352600002</v>
      </c>
      <c r="G1370" s="20">
        <v>44.037418817599999</v>
      </c>
      <c r="H1370" s="22">
        <v>60</v>
      </c>
      <c r="I1370" s="22">
        <v>360</v>
      </c>
      <c r="J1370" s="21">
        <v>19</v>
      </c>
      <c r="K1370" s="21"/>
      <c r="L1370" s="21">
        <v>9</v>
      </c>
      <c r="M1370" s="21"/>
      <c r="N1370" s="21"/>
      <c r="O1370" s="21"/>
      <c r="P1370" s="21"/>
      <c r="Q1370" s="21"/>
      <c r="R1370" s="21"/>
      <c r="S1370" s="21"/>
      <c r="T1370" s="21"/>
      <c r="U1370" s="21"/>
      <c r="V1370" s="21">
        <v>25</v>
      </c>
      <c r="W1370" s="21"/>
      <c r="X1370" s="21">
        <v>7</v>
      </c>
      <c r="Y1370" s="21"/>
      <c r="Z1370" s="21"/>
      <c r="AA1370" s="21"/>
      <c r="AB1370" s="21"/>
      <c r="AC1370" s="21"/>
      <c r="AD1370" s="21"/>
      <c r="AE1370" s="21"/>
      <c r="AF1370" s="21"/>
      <c r="AG1370" s="21"/>
      <c r="AH1370" s="21">
        <v>60</v>
      </c>
      <c r="AI1370" s="21"/>
      <c r="AJ1370" s="21"/>
      <c r="AK1370" s="21"/>
      <c r="AL1370" s="21"/>
      <c r="AM1370" s="21">
        <v>25</v>
      </c>
      <c r="AN1370" s="21">
        <v>6</v>
      </c>
      <c r="AO1370" s="21">
        <v>9</v>
      </c>
      <c r="AP1370" s="21">
        <v>14</v>
      </c>
      <c r="AQ1370" s="21"/>
      <c r="AR1370" s="21">
        <v>1</v>
      </c>
      <c r="AS1370" s="21">
        <v>5</v>
      </c>
      <c r="AT1370" s="12" t="str">
        <f>HYPERLINK("http://www.openstreetmap.org/?mlat=36.1667&amp;mlon=44.0374&amp;zoom=12#map=12/36.1667/44.0374","Maplink1")</f>
        <v>Maplink1</v>
      </c>
      <c r="AU1370" s="12" t="str">
        <f>HYPERLINK("https://www.google.iq/maps/search/+36.1667,44.0374/@36.1667,44.0374,14z?hl=en","Maplink2")</f>
        <v>Maplink2</v>
      </c>
      <c r="AV1370" s="12" t="str">
        <f>HYPERLINK("http://www.bing.com/maps/?lvl=14&amp;sty=h&amp;cp=36.1667~44.0374&amp;sp=point.36.1667_44.0374","Maplink3")</f>
        <v>Maplink3</v>
      </c>
    </row>
    <row r="1371" spans="1:48" ht="15" customHeight="1" x14ac:dyDescent="0.25">
      <c r="A1371" s="19">
        <v>13685</v>
      </c>
      <c r="B1371" s="20" t="s">
        <v>15</v>
      </c>
      <c r="C1371" s="20" t="s">
        <v>15</v>
      </c>
      <c r="D1371" s="20" t="s">
        <v>2586</v>
      </c>
      <c r="E1371" s="20" t="s">
        <v>2587</v>
      </c>
      <c r="F1371" s="20">
        <v>36.202057320000002</v>
      </c>
      <c r="G1371" s="20">
        <v>44.123894989999997</v>
      </c>
      <c r="H1371" s="22">
        <v>240</v>
      </c>
      <c r="I1371" s="22">
        <v>1440</v>
      </c>
      <c r="J1371" s="21">
        <v>201</v>
      </c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>
        <v>17</v>
      </c>
      <c r="W1371" s="21"/>
      <c r="X1371" s="21">
        <v>22</v>
      </c>
      <c r="Y1371" s="21"/>
      <c r="Z1371" s="21"/>
      <c r="AA1371" s="21"/>
      <c r="AB1371" s="21"/>
      <c r="AC1371" s="21"/>
      <c r="AD1371" s="21"/>
      <c r="AE1371" s="21"/>
      <c r="AF1371" s="21"/>
      <c r="AG1371" s="21"/>
      <c r="AH1371" s="21">
        <v>240</v>
      </c>
      <c r="AI1371" s="21"/>
      <c r="AJ1371" s="21"/>
      <c r="AK1371" s="21"/>
      <c r="AL1371" s="21">
        <v>185</v>
      </c>
      <c r="AM1371" s="21"/>
      <c r="AN1371" s="21">
        <v>25</v>
      </c>
      <c r="AO1371" s="21"/>
      <c r="AP1371" s="21">
        <v>2</v>
      </c>
      <c r="AQ1371" s="21"/>
      <c r="AR1371" s="21">
        <v>18</v>
      </c>
      <c r="AS1371" s="21">
        <v>10</v>
      </c>
      <c r="AT1371" s="12" t="str">
        <f>HYPERLINK("http://www.openstreetmap.org/?mlat=36.2021&amp;mlon=44.1239&amp;zoom=12#map=12/36.2021/44.1239","Maplink1")</f>
        <v>Maplink1</v>
      </c>
      <c r="AU1371" s="12" t="str">
        <f>HYPERLINK("https://www.google.iq/maps/search/+36.2021,44.1239/@36.2021,44.1239,14z?hl=en","Maplink2")</f>
        <v>Maplink2</v>
      </c>
      <c r="AV1371" s="12" t="str">
        <f>HYPERLINK("http://www.bing.com/maps/?lvl=14&amp;sty=h&amp;cp=36.2021~44.1239&amp;sp=point.36.2021_44.1239","Maplink3")</f>
        <v>Maplink3</v>
      </c>
    </row>
    <row r="1372" spans="1:48" ht="15" customHeight="1" x14ac:dyDescent="0.25">
      <c r="A1372" s="19">
        <v>24664</v>
      </c>
      <c r="B1372" s="20" t="s">
        <v>15</v>
      </c>
      <c r="C1372" s="20" t="s">
        <v>15</v>
      </c>
      <c r="D1372" s="20" t="s">
        <v>2588</v>
      </c>
      <c r="E1372" s="20" t="s">
        <v>2589</v>
      </c>
      <c r="F1372" s="20">
        <v>36.201744926700002</v>
      </c>
      <c r="G1372" s="20">
        <v>44.117645440799997</v>
      </c>
      <c r="H1372" s="22">
        <v>150</v>
      </c>
      <c r="I1372" s="22">
        <v>900</v>
      </c>
      <c r="J1372" s="21">
        <v>27</v>
      </c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>
        <v>123</v>
      </c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21"/>
      <c r="AH1372" s="21">
        <v>150</v>
      </c>
      <c r="AI1372" s="21"/>
      <c r="AJ1372" s="21"/>
      <c r="AK1372" s="21"/>
      <c r="AL1372" s="21">
        <v>20</v>
      </c>
      <c r="AM1372" s="21">
        <v>94</v>
      </c>
      <c r="AN1372" s="21">
        <v>20</v>
      </c>
      <c r="AO1372" s="21"/>
      <c r="AP1372" s="21">
        <v>6</v>
      </c>
      <c r="AQ1372" s="21"/>
      <c r="AR1372" s="21"/>
      <c r="AS1372" s="21">
        <v>10</v>
      </c>
      <c r="AT1372" s="12" t="str">
        <f>HYPERLINK("http://www.openstreetmap.org/?mlat=36.2017&amp;mlon=44.1176&amp;zoom=12#map=12/36.2017/44.1176","Maplink1")</f>
        <v>Maplink1</v>
      </c>
      <c r="AU1372" s="12" t="str">
        <f>HYPERLINK("https://www.google.iq/maps/search/+36.2017,44.1176/@36.2017,44.1176,14z?hl=en","Maplink2")</f>
        <v>Maplink2</v>
      </c>
      <c r="AV1372" s="12" t="str">
        <f>HYPERLINK("http://www.bing.com/maps/?lvl=14&amp;sty=h&amp;cp=36.2017~44.1176&amp;sp=point.36.2017_44.1176","Maplink3")</f>
        <v>Maplink3</v>
      </c>
    </row>
    <row r="1373" spans="1:48" ht="15" customHeight="1" x14ac:dyDescent="0.25">
      <c r="A1373" s="19">
        <v>13687</v>
      </c>
      <c r="B1373" s="20" t="s">
        <v>15</v>
      </c>
      <c r="C1373" s="20" t="s">
        <v>15</v>
      </c>
      <c r="D1373" s="20" t="s">
        <v>2590</v>
      </c>
      <c r="E1373" s="20" t="s">
        <v>2591</v>
      </c>
      <c r="F1373" s="20">
        <v>36.174152669999998</v>
      </c>
      <c r="G1373" s="20">
        <v>44.122743020000001</v>
      </c>
      <c r="H1373" s="22">
        <v>300</v>
      </c>
      <c r="I1373" s="22">
        <v>1800</v>
      </c>
      <c r="J1373" s="21">
        <v>123</v>
      </c>
      <c r="K1373" s="21"/>
      <c r="L1373" s="21"/>
      <c r="M1373" s="21"/>
      <c r="N1373" s="21"/>
      <c r="O1373" s="21"/>
      <c r="P1373" s="21"/>
      <c r="Q1373" s="21"/>
      <c r="R1373" s="21">
        <v>12</v>
      </c>
      <c r="S1373" s="21"/>
      <c r="T1373" s="21"/>
      <c r="U1373" s="21"/>
      <c r="V1373" s="21">
        <v>155</v>
      </c>
      <c r="W1373" s="21"/>
      <c r="X1373" s="21">
        <v>10</v>
      </c>
      <c r="Y1373" s="21"/>
      <c r="Z1373" s="21"/>
      <c r="AA1373" s="21"/>
      <c r="AB1373" s="21"/>
      <c r="AC1373" s="21"/>
      <c r="AD1373" s="21"/>
      <c r="AE1373" s="21"/>
      <c r="AF1373" s="21"/>
      <c r="AG1373" s="21"/>
      <c r="AH1373" s="21">
        <v>300</v>
      </c>
      <c r="AI1373" s="21"/>
      <c r="AJ1373" s="21"/>
      <c r="AK1373" s="21"/>
      <c r="AL1373" s="21">
        <v>99</v>
      </c>
      <c r="AM1373" s="21">
        <v>122</v>
      </c>
      <c r="AN1373" s="21">
        <v>30</v>
      </c>
      <c r="AO1373" s="21"/>
      <c r="AP1373" s="21">
        <v>14</v>
      </c>
      <c r="AQ1373" s="21"/>
      <c r="AR1373" s="21">
        <v>15</v>
      </c>
      <c r="AS1373" s="21">
        <v>20</v>
      </c>
      <c r="AT1373" s="12" t="str">
        <f>HYPERLINK("http://www.openstreetmap.org/?mlat=36.1742&amp;mlon=44.1227&amp;zoom=12#map=12/36.1742/44.1227","Maplink1")</f>
        <v>Maplink1</v>
      </c>
      <c r="AU1373" s="12" t="str">
        <f>HYPERLINK("https://www.google.iq/maps/search/+36.1742,44.1227/@36.1742,44.1227,14z?hl=en","Maplink2")</f>
        <v>Maplink2</v>
      </c>
      <c r="AV1373" s="12" t="str">
        <f>HYPERLINK("http://www.bing.com/maps/?lvl=14&amp;sty=h&amp;cp=36.1742~44.1227&amp;sp=point.36.1742_44.1227","Maplink3")</f>
        <v>Maplink3</v>
      </c>
    </row>
    <row r="1374" spans="1:48" ht="15" customHeight="1" x14ac:dyDescent="0.25">
      <c r="A1374" s="19">
        <v>27341</v>
      </c>
      <c r="B1374" s="20" t="s">
        <v>15</v>
      </c>
      <c r="C1374" s="20" t="s">
        <v>15</v>
      </c>
      <c r="D1374" s="20" t="s">
        <v>2592</v>
      </c>
      <c r="E1374" s="20" t="s">
        <v>2593</v>
      </c>
      <c r="F1374" s="20">
        <v>36.214899899999999</v>
      </c>
      <c r="G1374" s="20">
        <v>44.122402700000002</v>
      </c>
      <c r="H1374" s="22">
        <v>491</v>
      </c>
      <c r="I1374" s="22">
        <v>2946</v>
      </c>
      <c r="J1374" s="21">
        <v>153</v>
      </c>
      <c r="K1374" s="21"/>
      <c r="L1374" s="21"/>
      <c r="M1374" s="21"/>
      <c r="N1374" s="21"/>
      <c r="O1374" s="21"/>
      <c r="P1374" s="21"/>
      <c r="Q1374" s="21"/>
      <c r="R1374" s="21">
        <v>310</v>
      </c>
      <c r="S1374" s="21"/>
      <c r="T1374" s="21"/>
      <c r="U1374" s="21"/>
      <c r="V1374" s="21">
        <v>28</v>
      </c>
      <c r="W1374" s="21"/>
      <c r="X1374" s="21"/>
      <c r="Y1374" s="21"/>
      <c r="Z1374" s="21"/>
      <c r="AA1374" s="21"/>
      <c r="AB1374" s="21"/>
      <c r="AC1374" s="21">
        <v>30</v>
      </c>
      <c r="AD1374" s="21"/>
      <c r="AE1374" s="21"/>
      <c r="AF1374" s="21"/>
      <c r="AG1374" s="21"/>
      <c r="AH1374" s="21">
        <v>461</v>
      </c>
      <c r="AI1374" s="21"/>
      <c r="AJ1374" s="21"/>
      <c r="AK1374" s="21"/>
      <c r="AL1374" s="21">
        <v>42</v>
      </c>
      <c r="AM1374" s="21"/>
      <c r="AN1374" s="21"/>
      <c r="AO1374" s="21"/>
      <c r="AP1374" s="21">
        <v>86</v>
      </c>
      <c r="AQ1374" s="21"/>
      <c r="AR1374" s="21">
        <v>28</v>
      </c>
      <c r="AS1374" s="21">
        <v>335</v>
      </c>
      <c r="AT1374" s="12" t="str">
        <f>HYPERLINK("http://www.openstreetmap.org/?mlat=36.2149&amp;mlon=44.1224&amp;zoom=12#map=12/36.2149/44.1224","Maplink1")</f>
        <v>Maplink1</v>
      </c>
      <c r="AU1374" s="12" t="str">
        <f>HYPERLINK("https://www.google.iq/maps/search/+36.2149,44.1224/@36.2149,44.1224,14z?hl=en","Maplink2")</f>
        <v>Maplink2</v>
      </c>
      <c r="AV1374" s="12" t="str">
        <f>HYPERLINK("http://www.bing.com/maps/?lvl=14&amp;sty=h&amp;cp=36.2149~44.1224&amp;sp=point.36.2149_44.1224","Maplink3")</f>
        <v>Maplink3</v>
      </c>
    </row>
    <row r="1375" spans="1:48" ht="15" customHeight="1" x14ac:dyDescent="0.25">
      <c r="A1375" s="19">
        <v>29556</v>
      </c>
      <c r="B1375" s="20" t="s">
        <v>15</v>
      </c>
      <c r="C1375" s="20" t="s">
        <v>15</v>
      </c>
      <c r="D1375" s="20" t="s">
        <v>2594</v>
      </c>
      <c r="E1375" s="20" t="s">
        <v>2595</v>
      </c>
      <c r="F1375" s="20">
        <v>36.216700000000003</v>
      </c>
      <c r="G1375" s="20">
        <v>44.152402000000002</v>
      </c>
      <c r="H1375" s="22">
        <v>270</v>
      </c>
      <c r="I1375" s="22">
        <v>1620</v>
      </c>
      <c r="J1375" s="21">
        <v>120</v>
      </c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>
        <v>62</v>
      </c>
      <c r="W1375" s="21"/>
      <c r="X1375" s="21">
        <v>88</v>
      </c>
      <c r="Y1375" s="21"/>
      <c r="Z1375" s="21"/>
      <c r="AA1375" s="21"/>
      <c r="AB1375" s="21"/>
      <c r="AC1375" s="21"/>
      <c r="AD1375" s="21"/>
      <c r="AE1375" s="21"/>
      <c r="AF1375" s="21"/>
      <c r="AG1375" s="21"/>
      <c r="AH1375" s="21">
        <v>270</v>
      </c>
      <c r="AI1375" s="21"/>
      <c r="AJ1375" s="21"/>
      <c r="AK1375" s="21"/>
      <c r="AL1375" s="21">
        <v>126</v>
      </c>
      <c r="AM1375" s="21">
        <v>112</v>
      </c>
      <c r="AN1375" s="21">
        <v>22</v>
      </c>
      <c r="AO1375" s="21"/>
      <c r="AP1375" s="21"/>
      <c r="AQ1375" s="21"/>
      <c r="AR1375" s="21">
        <v>10</v>
      </c>
      <c r="AS1375" s="21"/>
      <c r="AT1375" s="12" t="str">
        <f>HYPERLINK("http://www.openstreetmap.org/?mlat=36.2167&amp;mlon=44.1524&amp;zoom=12#map=12/36.2167/44.1524","Maplink1")</f>
        <v>Maplink1</v>
      </c>
      <c r="AU1375" s="12" t="str">
        <f>HYPERLINK("https://www.google.iq/maps/search/+36.2167,44.1524/@36.2167,44.1524,14z?hl=en","Maplink2")</f>
        <v>Maplink2</v>
      </c>
      <c r="AV1375" s="12" t="str">
        <f>HYPERLINK("http://www.bing.com/maps/?lvl=14&amp;sty=h&amp;cp=36.2167~44.1524&amp;sp=point.36.2167_44.1524","Maplink3")</f>
        <v>Maplink3</v>
      </c>
    </row>
    <row r="1376" spans="1:48" ht="15" customHeight="1" x14ac:dyDescent="0.25">
      <c r="A1376" s="19">
        <v>33151</v>
      </c>
      <c r="B1376" s="20" t="s">
        <v>15</v>
      </c>
      <c r="C1376" s="20" t="s">
        <v>15</v>
      </c>
      <c r="D1376" s="20" t="s">
        <v>5550</v>
      </c>
      <c r="E1376" s="20" t="s">
        <v>5551</v>
      </c>
      <c r="F1376" s="20">
        <v>36.1486874</v>
      </c>
      <c r="G1376" s="20">
        <v>44.089679699999998</v>
      </c>
      <c r="H1376" s="22">
        <v>70</v>
      </c>
      <c r="I1376" s="22">
        <v>420</v>
      </c>
      <c r="J1376" s="21">
        <v>13</v>
      </c>
      <c r="K1376" s="21"/>
      <c r="L1376" s="21"/>
      <c r="M1376" s="21"/>
      <c r="N1376" s="21"/>
      <c r="O1376" s="21"/>
      <c r="P1376" s="21"/>
      <c r="Q1376" s="21"/>
      <c r="R1376" s="21">
        <v>20</v>
      </c>
      <c r="S1376" s="21"/>
      <c r="T1376" s="21"/>
      <c r="U1376" s="21"/>
      <c r="V1376" s="21">
        <v>20</v>
      </c>
      <c r="W1376" s="21"/>
      <c r="X1376" s="21">
        <v>17</v>
      </c>
      <c r="Y1376" s="21"/>
      <c r="Z1376" s="21"/>
      <c r="AA1376" s="21"/>
      <c r="AB1376" s="21"/>
      <c r="AC1376" s="21">
        <v>15</v>
      </c>
      <c r="AD1376" s="21"/>
      <c r="AE1376" s="21"/>
      <c r="AF1376" s="21"/>
      <c r="AG1376" s="21"/>
      <c r="AH1376" s="21">
        <v>55</v>
      </c>
      <c r="AI1376" s="21"/>
      <c r="AJ1376" s="21"/>
      <c r="AK1376" s="21"/>
      <c r="AL1376" s="21">
        <v>4</v>
      </c>
      <c r="AM1376" s="21">
        <v>32</v>
      </c>
      <c r="AN1376" s="21"/>
      <c r="AO1376" s="21"/>
      <c r="AP1376" s="21">
        <v>9</v>
      </c>
      <c r="AQ1376" s="21"/>
      <c r="AR1376" s="21">
        <v>5</v>
      </c>
      <c r="AS1376" s="21">
        <v>20</v>
      </c>
      <c r="AT1376" s="12" t="str">
        <f>HYPERLINK("http://www.openstreetmap.org/?mlat=36.1487&amp;mlon=44.0897&amp;zoom=12#map=12/36.1487/44.0897","Maplink1")</f>
        <v>Maplink1</v>
      </c>
      <c r="AU1376" s="12" t="str">
        <f>HYPERLINK("https://www.google.iq/maps/search/+36.1487,44.0897/@36.1487,44.0897,14z?hl=en","Maplink2")</f>
        <v>Maplink2</v>
      </c>
      <c r="AV1376" s="12" t="str">
        <f>HYPERLINK("http://www.bing.com/maps/?lvl=14&amp;sty=h&amp;cp=36.1487~44.0897&amp;sp=point.36.1487_44.0897","Maplink3")</f>
        <v>Maplink3</v>
      </c>
    </row>
    <row r="1377" spans="1:48" ht="15" customHeight="1" x14ac:dyDescent="0.25">
      <c r="A1377" s="19">
        <v>25472</v>
      </c>
      <c r="B1377" s="20" t="s">
        <v>15</v>
      </c>
      <c r="C1377" s="20" t="s">
        <v>15</v>
      </c>
      <c r="D1377" s="20" t="s">
        <v>2596</v>
      </c>
      <c r="E1377" s="20" t="s">
        <v>2597</v>
      </c>
      <c r="F1377" s="20">
        <v>36.20116367</v>
      </c>
      <c r="G1377" s="20">
        <v>44.125883340000001</v>
      </c>
      <c r="H1377" s="22">
        <v>135</v>
      </c>
      <c r="I1377" s="22">
        <v>810</v>
      </c>
      <c r="J1377" s="21">
        <v>77</v>
      </c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>
        <v>48</v>
      </c>
      <c r="W1377" s="21"/>
      <c r="X1377" s="21">
        <v>10</v>
      </c>
      <c r="Y1377" s="21"/>
      <c r="Z1377" s="21"/>
      <c r="AA1377" s="21"/>
      <c r="AB1377" s="21"/>
      <c r="AC1377" s="21"/>
      <c r="AD1377" s="21"/>
      <c r="AE1377" s="21"/>
      <c r="AF1377" s="21"/>
      <c r="AG1377" s="21"/>
      <c r="AH1377" s="21">
        <v>135</v>
      </c>
      <c r="AI1377" s="21"/>
      <c r="AJ1377" s="21"/>
      <c r="AK1377" s="21"/>
      <c r="AL1377" s="21">
        <v>23</v>
      </c>
      <c r="AM1377" s="21">
        <v>27</v>
      </c>
      <c r="AN1377" s="21">
        <v>7</v>
      </c>
      <c r="AO1377" s="21">
        <v>3</v>
      </c>
      <c r="AP1377" s="21">
        <v>54</v>
      </c>
      <c r="AQ1377" s="21"/>
      <c r="AR1377" s="21">
        <v>21</v>
      </c>
      <c r="AS1377" s="21"/>
      <c r="AT1377" s="12" t="str">
        <f>HYPERLINK("http://www.openstreetmap.org/?mlat=36.2012&amp;mlon=44.1259&amp;zoom=12#map=12/36.2012/44.1259","Maplink1")</f>
        <v>Maplink1</v>
      </c>
      <c r="AU1377" s="12" t="str">
        <f>HYPERLINK("https://www.google.iq/maps/search/+36.2012,44.1259/@36.2012,44.1259,14z?hl=en","Maplink2")</f>
        <v>Maplink2</v>
      </c>
      <c r="AV1377" s="12" t="str">
        <f>HYPERLINK("http://www.bing.com/maps/?lvl=14&amp;sty=h&amp;cp=36.2012~44.1259&amp;sp=point.36.2012_44.1259","Maplink3")</f>
        <v>Maplink3</v>
      </c>
    </row>
    <row r="1378" spans="1:48" ht="15" customHeight="1" x14ac:dyDescent="0.25">
      <c r="A1378" s="19">
        <v>27329</v>
      </c>
      <c r="B1378" s="20" t="s">
        <v>15</v>
      </c>
      <c r="C1378" s="20" t="s">
        <v>15</v>
      </c>
      <c r="D1378" s="20" t="s">
        <v>2598</v>
      </c>
      <c r="E1378" s="20" t="s">
        <v>2599</v>
      </c>
      <c r="F1378" s="20">
        <v>36.184667210000001</v>
      </c>
      <c r="G1378" s="20">
        <v>44.12519417</v>
      </c>
      <c r="H1378" s="22">
        <v>100</v>
      </c>
      <c r="I1378" s="22">
        <v>600</v>
      </c>
      <c r="J1378" s="21">
        <v>15</v>
      </c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>
        <v>85</v>
      </c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21"/>
      <c r="AH1378" s="21">
        <v>100</v>
      </c>
      <c r="AI1378" s="21"/>
      <c r="AJ1378" s="21"/>
      <c r="AK1378" s="21"/>
      <c r="AL1378" s="21">
        <v>5</v>
      </c>
      <c r="AM1378" s="21">
        <v>20</v>
      </c>
      <c r="AN1378" s="21">
        <v>15</v>
      </c>
      <c r="AO1378" s="21"/>
      <c r="AP1378" s="21">
        <v>10</v>
      </c>
      <c r="AQ1378" s="21"/>
      <c r="AR1378" s="21">
        <v>50</v>
      </c>
      <c r="AS1378" s="21"/>
      <c r="AT1378" s="12" t="str">
        <f>HYPERLINK("http://www.openstreetmap.org/?mlat=36.1847&amp;mlon=44.1252&amp;zoom=12#map=12/36.1847/44.1252","Maplink1")</f>
        <v>Maplink1</v>
      </c>
      <c r="AU1378" s="12" t="str">
        <f>HYPERLINK("https://www.google.iq/maps/search/+36.1847,44.1252/@36.1847,44.1252,14z?hl=en","Maplink2")</f>
        <v>Maplink2</v>
      </c>
      <c r="AV1378" s="12" t="str">
        <f>HYPERLINK("http://www.bing.com/maps/?lvl=14&amp;sty=h&amp;cp=36.1847~44.1252&amp;sp=point.36.1847_44.1252","Maplink3")</f>
        <v>Maplink3</v>
      </c>
    </row>
    <row r="1379" spans="1:48" ht="15" customHeight="1" x14ac:dyDescent="0.25">
      <c r="A1379" s="19">
        <v>27148</v>
      </c>
      <c r="B1379" s="20" t="s">
        <v>15</v>
      </c>
      <c r="C1379" s="20" t="s">
        <v>15</v>
      </c>
      <c r="D1379" s="20" t="s">
        <v>2600</v>
      </c>
      <c r="E1379" s="20" t="s">
        <v>2601</v>
      </c>
      <c r="F1379" s="20">
        <v>36.230655900000002</v>
      </c>
      <c r="G1379" s="20">
        <v>44.002256709999997</v>
      </c>
      <c r="H1379" s="22">
        <v>43</v>
      </c>
      <c r="I1379" s="22">
        <v>258</v>
      </c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>
        <v>43</v>
      </c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21"/>
      <c r="AH1379" s="21">
        <v>43</v>
      </c>
      <c r="AI1379" s="21"/>
      <c r="AJ1379" s="21"/>
      <c r="AK1379" s="21"/>
      <c r="AL1379" s="21"/>
      <c r="AM1379" s="21">
        <v>40</v>
      </c>
      <c r="AN1379" s="21">
        <v>3</v>
      </c>
      <c r="AO1379" s="21"/>
      <c r="AP1379" s="21"/>
      <c r="AQ1379" s="21"/>
      <c r="AR1379" s="21"/>
      <c r="AS1379" s="21"/>
      <c r="AT1379" s="12" t="str">
        <f>HYPERLINK("http://www.openstreetmap.org/?mlat=36.2307&amp;mlon=44.0023&amp;zoom=12#map=12/36.2307/44.0023","Maplink1")</f>
        <v>Maplink1</v>
      </c>
      <c r="AU1379" s="12" t="str">
        <f>HYPERLINK("https://www.google.iq/maps/search/+36.2307,44.0023/@36.2307,44.0023,14z?hl=en","Maplink2")</f>
        <v>Maplink2</v>
      </c>
      <c r="AV1379" s="12" t="str">
        <f>HYPERLINK("http://www.bing.com/maps/?lvl=14&amp;sty=h&amp;cp=36.2307~44.0023&amp;sp=point.36.2307_44.0023","Maplink3")</f>
        <v>Maplink3</v>
      </c>
    </row>
    <row r="1380" spans="1:48" ht="15" customHeight="1" x14ac:dyDescent="0.25">
      <c r="A1380" s="19">
        <v>13230</v>
      </c>
      <c r="B1380" s="20" t="s">
        <v>15</v>
      </c>
      <c r="C1380" s="20" t="s">
        <v>15</v>
      </c>
      <c r="D1380" s="20" t="s">
        <v>6136</v>
      </c>
      <c r="E1380" s="20" t="s">
        <v>6137</v>
      </c>
      <c r="F1380" s="20">
        <v>36.294339999999998</v>
      </c>
      <c r="G1380" s="20">
        <v>43.991990000000001</v>
      </c>
      <c r="H1380" s="22">
        <v>913</v>
      </c>
      <c r="I1380" s="22">
        <v>5478</v>
      </c>
      <c r="J1380" s="21">
        <v>16</v>
      </c>
      <c r="K1380" s="21"/>
      <c r="L1380" s="21">
        <v>2</v>
      </c>
      <c r="M1380" s="21"/>
      <c r="N1380" s="21"/>
      <c r="O1380" s="21"/>
      <c r="P1380" s="21">
        <v>1</v>
      </c>
      <c r="Q1380" s="21"/>
      <c r="R1380" s="21">
        <v>2</v>
      </c>
      <c r="S1380" s="21"/>
      <c r="T1380" s="21"/>
      <c r="U1380" s="21"/>
      <c r="V1380" s="21">
        <v>832</v>
      </c>
      <c r="W1380" s="21"/>
      <c r="X1380" s="21">
        <v>60</v>
      </c>
      <c r="Y1380" s="21"/>
      <c r="Z1380" s="21"/>
      <c r="AA1380" s="21"/>
      <c r="AB1380" s="21">
        <v>913</v>
      </c>
      <c r="AC1380" s="21"/>
      <c r="AD1380" s="21"/>
      <c r="AE1380" s="21"/>
      <c r="AF1380" s="21"/>
      <c r="AG1380" s="21"/>
      <c r="AH1380" s="21"/>
      <c r="AI1380" s="21"/>
      <c r="AJ1380" s="21"/>
      <c r="AK1380" s="21"/>
      <c r="AL1380" s="21">
        <v>10</v>
      </c>
      <c r="AM1380" s="21">
        <v>283</v>
      </c>
      <c r="AN1380" s="21">
        <v>114</v>
      </c>
      <c r="AO1380" s="21">
        <v>2</v>
      </c>
      <c r="AP1380" s="21">
        <v>6</v>
      </c>
      <c r="AQ1380" s="21">
        <v>1</v>
      </c>
      <c r="AR1380" s="21">
        <v>495</v>
      </c>
      <c r="AS1380" s="21">
        <v>2</v>
      </c>
      <c r="AT1380" s="12" t="str">
        <f>HYPERLINK("http://www.openstreetmap.org/?mlat=36.2943&amp;mlon=43.992&amp;zoom=12#map=12/36.2943/43.992","Maplink1")</f>
        <v>Maplink1</v>
      </c>
      <c r="AU1380" s="12" t="str">
        <f>HYPERLINK("https://www.google.iq/maps/search/+36.2943,43.992/@36.2943,43.992,14z?hl=en","Maplink2")</f>
        <v>Maplink2</v>
      </c>
      <c r="AV1380" s="12" t="str">
        <f>HYPERLINK("http://www.bing.com/maps/?lvl=14&amp;sty=h&amp;cp=36.2943~43.992&amp;sp=point.36.2943_43.992","Maplink3")</f>
        <v>Maplink3</v>
      </c>
    </row>
    <row r="1381" spans="1:48" ht="15" customHeight="1" x14ac:dyDescent="0.25">
      <c r="A1381" s="19">
        <v>27138</v>
      </c>
      <c r="B1381" s="20" t="s">
        <v>15</v>
      </c>
      <c r="C1381" s="20" t="s">
        <v>15</v>
      </c>
      <c r="D1381" s="20" t="s">
        <v>2602</v>
      </c>
      <c r="E1381" s="20" t="s">
        <v>2603</v>
      </c>
      <c r="F1381" s="20">
        <v>36.302109889999997</v>
      </c>
      <c r="G1381" s="20">
        <v>44.025106809999997</v>
      </c>
      <c r="H1381" s="22">
        <v>112</v>
      </c>
      <c r="I1381" s="22">
        <v>672</v>
      </c>
      <c r="J1381" s="21">
        <v>36</v>
      </c>
      <c r="K1381" s="21"/>
      <c r="L1381" s="21">
        <v>9</v>
      </c>
      <c r="M1381" s="21"/>
      <c r="N1381" s="21"/>
      <c r="O1381" s="21"/>
      <c r="P1381" s="21"/>
      <c r="Q1381" s="21"/>
      <c r="R1381" s="21">
        <v>15</v>
      </c>
      <c r="S1381" s="21"/>
      <c r="T1381" s="21"/>
      <c r="U1381" s="21"/>
      <c r="V1381" s="21">
        <v>32</v>
      </c>
      <c r="W1381" s="21"/>
      <c r="X1381" s="21">
        <v>20</v>
      </c>
      <c r="Y1381" s="21"/>
      <c r="Z1381" s="21"/>
      <c r="AA1381" s="21"/>
      <c r="AB1381" s="21"/>
      <c r="AC1381" s="21"/>
      <c r="AD1381" s="21"/>
      <c r="AE1381" s="21"/>
      <c r="AF1381" s="21"/>
      <c r="AG1381" s="21"/>
      <c r="AH1381" s="21">
        <v>112</v>
      </c>
      <c r="AI1381" s="21"/>
      <c r="AJ1381" s="21"/>
      <c r="AK1381" s="21"/>
      <c r="AL1381" s="21">
        <v>10</v>
      </c>
      <c r="AM1381" s="21">
        <v>24</v>
      </c>
      <c r="AN1381" s="21">
        <v>15</v>
      </c>
      <c r="AO1381" s="21">
        <v>9</v>
      </c>
      <c r="AP1381" s="21">
        <v>25</v>
      </c>
      <c r="AQ1381" s="21"/>
      <c r="AR1381" s="21">
        <v>4</v>
      </c>
      <c r="AS1381" s="21">
        <v>25</v>
      </c>
      <c r="AT1381" s="12" t="str">
        <f>HYPERLINK("http://www.openstreetmap.org/?mlat=36.3021&amp;mlon=44.0251&amp;zoom=12#map=12/36.3021/44.0251","Maplink1")</f>
        <v>Maplink1</v>
      </c>
      <c r="AU1381" s="12" t="str">
        <f>HYPERLINK("https://www.google.iq/maps/search/+36.3021,44.0251/@36.3021,44.0251,14z?hl=en","Maplink2")</f>
        <v>Maplink2</v>
      </c>
      <c r="AV1381" s="12" t="str">
        <f>HYPERLINK("http://www.bing.com/maps/?lvl=14&amp;sty=h&amp;cp=36.3021~44.0251&amp;sp=point.36.3021_44.0251","Maplink3")</f>
        <v>Maplink3</v>
      </c>
    </row>
    <row r="1382" spans="1:48" ht="15" customHeight="1" x14ac:dyDescent="0.25">
      <c r="A1382" s="19">
        <v>12370</v>
      </c>
      <c r="B1382" s="20" t="s">
        <v>15</v>
      </c>
      <c r="C1382" s="20" t="s">
        <v>15</v>
      </c>
      <c r="D1382" s="20" t="s">
        <v>2604</v>
      </c>
      <c r="E1382" s="20" t="s">
        <v>2605</v>
      </c>
      <c r="F1382" s="20">
        <v>36.319884479999999</v>
      </c>
      <c r="G1382" s="20">
        <v>44.035669290000001</v>
      </c>
      <c r="H1382" s="22">
        <v>506</v>
      </c>
      <c r="I1382" s="22">
        <v>3036</v>
      </c>
      <c r="J1382" s="21">
        <v>58</v>
      </c>
      <c r="K1382" s="21"/>
      <c r="L1382" s="21">
        <v>8</v>
      </c>
      <c r="M1382" s="21"/>
      <c r="N1382" s="21"/>
      <c r="O1382" s="21"/>
      <c r="P1382" s="21"/>
      <c r="Q1382" s="21"/>
      <c r="R1382" s="21">
        <v>18</v>
      </c>
      <c r="S1382" s="21"/>
      <c r="T1382" s="21"/>
      <c r="U1382" s="21"/>
      <c r="V1382" s="21">
        <v>398</v>
      </c>
      <c r="W1382" s="21"/>
      <c r="X1382" s="21">
        <v>24</v>
      </c>
      <c r="Y1382" s="21"/>
      <c r="Z1382" s="21"/>
      <c r="AA1382" s="21"/>
      <c r="AB1382" s="21"/>
      <c r="AC1382" s="21">
        <v>5</v>
      </c>
      <c r="AD1382" s="21"/>
      <c r="AE1382" s="21"/>
      <c r="AF1382" s="21"/>
      <c r="AG1382" s="21"/>
      <c r="AH1382" s="21">
        <v>501</v>
      </c>
      <c r="AI1382" s="21"/>
      <c r="AJ1382" s="21"/>
      <c r="AK1382" s="21"/>
      <c r="AL1382" s="21">
        <v>23</v>
      </c>
      <c r="AM1382" s="21">
        <v>368</v>
      </c>
      <c r="AN1382" s="21">
        <v>30</v>
      </c>
      <c r="AO1382" s="21">
        <v>5</v>
      </c>
      <c r="AP1382" s="21">
        <v>40</v>
      </c>
      <c r="AQ1382" s="21">
        <v>4</v>
      </c>
      <c r="AR1382" s="21">
        <v>11</v>
      </c>
      <c r="AS1382" s="21">
        <v>25</v>
      </c>
      <c r="AT1382" s="12" t="str">
        <f>HYPERLINK("http://www.openstreetmap.org/?mlat=36.3199&amp;mlon=44.0357&amp;zoom=12#map=12/36.3199/44.0357","Maplink1")</f>
        <v>Maplink1</v>
      </c>
      <c r="AU1382" s="12" t="str">
        <f>HYPERLINK("https://www.google.iq/maps/search/+36.3199,44.0357/@36.3199,44.0357,14z?hl=en","Maplink2")</f>
        <v>Maplink2</v>
      </c>
      <c r="AV1382" s="12" t="str">
        <f>HYPERLINK("http://www.bing.com/maps/?lvl=14&amp;sty=h&amp;cp=36.3199~44.0357&amp;sp=point.36.3199_44.0357","Maplink3")</f>
        <v>Maplink3</v>
      </c>
    </row>
    <row r="1383" spans="1:48" ht="15" customHeight="1" x14ac:dyDescent="0.25">
      <c r="A1383" s="19">
        <v>27137</v>
      </c>
      <c r="B1383" s="20" t="s">
        <v>15</v>
      </c>
      <c r="C1383" s="20" t="s">
        <v>15</v>
      </c>
      <c r="D1383" s="20" t="s">
        <v>2606</v>
      </c>
      <c r="E1383" s="20" t="s">
        <v>2607</v>
      </c>
      <c r="F1383" s="20">
        <v>36.305490829999997</v>
      </c>
      <c r="G1383" s="20">
        <v>44.025896719999999</v>
      </c>
      <c r="H1383" s="22">
        <v>473</v>
      </c>
      <c r="I1383" s="22">
        <v>2838</v>
      </c>
      <c r="J1383" s="21">
        <v>298</v>
      </c>
      <c r="K1383" s="21"/>
      <c r="L1383" s="21">
        <v>40</v>
      </c>
      <c r="M1383" s="21"/>
      <c r="N1383" s="21"/>
      <c r="O1383" s="21"/>
      <c r="P1383" s="21"/>
      <c r="Q1383" s="21"/>
      <c r="R1383" s="21">
        <v>12</v>
      </c>
      <c r="S1383" s="21"/>
      <c r="T1383" s="21"/>
      <c r="U1383" s="21"/>
      <c r="V1383" s="21">
        <v>95</v>
      </c>
      <c r="W1383" s="21"/>
      <c r="X1383" s="21">
        <v>28</v>
      </c>
      <c r="Y1383" s="21"/>
      <c r="Z1383" s="21"/>
      <c r="AA1383" s="21"/>
      <c r="AB1383" s="21"/>
      <c r="AC1383" s="21"/>
      <c r="AD1383" s="21"/>
      <c r="AE1383" s="21"/>
      <c r="AF1383" s="21"/>
      <c r="AG1383" s="21"/>
      <c r="AH1383" s="21">
        <v>473</v>
      </c>
      <c r="AI1383" s="21"/>
      <c r="AJ1383" s="21"/>
      <c r="AK1383" s="21"/>
      <c r="AL1383" s="21">
        <v>15</v>
      </c>
      <c r="AM1383" s="21">
        <v>83</v>
      </c>
      <c r="AN1383" s="21">
        <v>10</v>
      </c>
      <c r="AO1383" s="21">
        <v>33</v>
      </c>
      <c r="AP1383" s="21">
        <v>279</v>
      </c>
      <c r="AQ1383" s="21">
        <v>15</v>
      </c>
      <c r="AR1383" s="21">
        <v>26</v>
      </c>
      <c r="AS1383" s="21">
        <v>12</v>
      </c>
      <c r="AT1383" s="12" t="str">
        <f>HYPERLINK("http://www.openstreetmap.org/?mlat=36.3055&amp;mlon=44.0259&amp;zoom=12#map=12/36.3055/44.0259","Maplink1")</f>
        <v>Maplink1</v>
      </c>
      <c r="AU1383" s="12" t="str">
        <f>HYPERLINK("https://www.google.iq/maps/search/+36.3055,44.0259/@36.3055,44.0259,14z?hl=en","Maplink2")</f>
        <v>Maplink2</v>
      </c>
      <c r="AV1383" s="12" t="str">
        <f>HYPERLINK("http://www.bing.com/maps/?lvl=14&amp;sty=h&amp;cp=36.3055~44.0259&amp;sp=point.36.3055_44.0259","Maplink3")</f>
        <v>Maplink3</v>
      </c>
    </row>
    <row r="1384" spans="1:48" ht="15" customHeight="1" x14ac:dyDescent="0.25">
      <c r="A1384" s="19">
        <v>25471</v>
      </c>
      <c r="B1384" s="20" t="s">
        <v>15</v>
      </c>
      <c r="C1384" s="20" t="s">
        <v>15</v>
      </c>
      <c r="D1384" s="20" t="s">
        <v>2608</v>
      </c>
      <c r="E1384" s="20" t="s">
        <v>2609</v>
      </c>
      <c r="F1384" s="20">
        <v>36.208961270000003</v>
      </c>
      <c r="G1384" s="20">
        <v>44.11383644</v>
      </c>
      <c r="H1384" s="22">
        <v>170</v>
      </c>
      <c r="I1384" s="22">
        <v>1020</v>
      </c>
      <c r="J1384" s="21">
        <v>58</v>
      </c>
      <c r="K1384" s="21"/>
      <c r="L1384" s="21"/>
      <c r="M1384" s="21"/>
      <c r="N1384" s="21"/>
      <c r="O1384" s="21"/>
      <c r="P1384" s="21"/>
      <c r="Q1384" s="21"/>
      <c r="R1384" s="21">
        <v>35</v>
      </c>
      <c r="S1384" s="21"/>
      <c r="T1384" s="21"/>
      <c r="U1384" s="21"/>
      <c r="V1384" s="21">
        <v>60</v>
      </c>
      <c r="W1384" s="21"/>
      <c r="X1384" s="21">
        <v>17</v>
      </c>
      <c r="Y1384" s="21"/>
      <c r="Z1384" s="21"/>
      <c r="AA1384" s="21"/>
      <c r="AB1384" s="21"/>
      <c r="AC1384" s="21"/>
      <c r="AD1384" s="21"/>
      <c r="AE1384" s="21"/>
      <c r="AF1384" s="21"/>
      <c r="AG1384" s="21"/>
      <c r="AH1384" s="21">
        <v>170</v>
      </c>
      <c r="AI1384" s="21"/>
      <c r="AJ1384" s="21"/>
      <c r="AK1384" s="21"/>
      <c r="AL1384" s="21">
        <v>48</v>
      </c>
      <c r="AM1384" s="21">
        <v>47</v>
      </c>
      <c r="AN1384" s="21">
        <v>20</v>
      </c>
      <c r="AO1384" s="21"/>
      <c r="AP1384" s="21">
        <v>10</v>
      </c>
      <c r="AQ1384" s="21"/>
      <c r="AR1384" s="21">
        <v>10</v>
      </c>
      <c r="AS1384" s="21">
        <v>35</v>
      </c>
      <c r="AT1384" s="12" t="str">
        <f>HYPERLINK("http://www.openstreetmap.org/?mlat=36.209&amp;mlon=44.1138&amp;zoom=12#map=12/36.209/44.1138","Maplink1")</f>
        <v>Maplink1</v>
      </c>
      <c r="AU1384" s="12" t="str">
        <f>HYPERLINK("https://www.google.iq/maps/search/+36.209,44.1138/@36.209,44.1138,14z?hl=en","Maplink2")</f>
        <v>Maplink2</v>
      </c>
      <c r="AV1384" s="12" t="str">
        <f>HYPERLINK("http://www.bing.com/maps/?lvl=14&amp;sty=h&amp;cp=36.209~44.1138&amp;sp=point.36.209_44.1138","Maplink3")</f>
        <v>Maplink3</v>
      </c>
    </row>
    <row r="1385" spans="1:48" ht="15" customHeight="1" x14ac:dyDescent="0.25">
      <c r="A1385" s="19">
        <v>27153</v>
      </c>
      <c r="B1385" s="20" t="s">
        <v>15</v>
      </c>
      <c r="C1385" s="20" t="s">
        <v>15</v>
      </c>
      <c r="D1385" s="20" t="s">
        <v>2610</v>
      </c>
      <c r="E1385" s="20" t="s">
        <v>2611</v>
      </c>
      <c r="F1385" s="20">
        <v>36.262774299999997</v>
      </c>
      <c r="G1385" s="20">
        <v>43.994216780000002</v>
      </c>
      <c r="H1385" s="22">
        <v>15</v>
      </c>
      <c r="I1385" s="22">
        <v>90</v>
      </c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>
        <v>15</v>
      </c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21"/>
      <c r="AH1385" s="21">
        <v>15</v>
      </c>
      <c r="AI1385" s="21"/>
      <c r="AJ1385" s="21"/>
      <c r="AK1385" s="21"/>
      <c r="AL1385" s="21"/>
      <c r="AM1385" s="21">
        <v>13</v>
      </c>
      <c r="AN1385" s="21">
        <v>2</v>
      </c>
      <c r="AO1385" s="21"/>
      <c r="AP1385" s="21"/>
      <c r="AQ1385" s="21"/>
      <c r="AR1385" s="21"/>
      <c r="AS1385" s="21"/>
      <c r="AT1385" s="12" t="str">
        <f>HYPERLINK("http://www.openstreetmap.org/?mlat=36.2628&amp;mlon=43.9942&amp;zoom=12#map=12/36.2628/43.9942","Maplink1")</f>
        <v>Maplink1</v>
      </c>
      <c r="AU1385" s="12" t="str">
        <f>HYPERLINK("https://www.google.iq/maps/search/+36.2628,43.9942/@36.2628,43.9942,14z?hl=en","Maplink2")</f>
        <v>Maplink2</v>
      </c>
      <c r="AV1385" s="12" t="str">
        <f>HYPERLINK("http://www.bing.com/maps/?lvl=14&amp;sty=h&amp;cp=36.2628~43.9942&amp;sp=point.36.2628_43.9942","Maplink3")</f>
        <v>Maplink3</v>
      </c>
    </row>
    <row r="1386" spans="1:48" ht="15" customHeight="1" x14ac:dyDescent="0.25">
      <c r="A1386" s="19">
        <v>25726</v>
      </c>
      <c r="B1386" s="20" t="s">
        <v>15</v>
      </c>
      <c r="C1386" s="20" t="s">
        <v>15</v>
      </c>
      <c r="D1386" s="20" t="s">
        <v>2612</v>
      </c>
      <c r="E1386" s="20" t="s">
        <v>2613</v>
      </c>
      <c r="F1386" s="20">
        <v>36.150541279999999</v>
      </c>
      <c r="G1386" s="20">
        <v>44.103178880000002</v>
      </c>
      <c r="H1386" s="22">
        <v>370</v>
      </c>
      <c r="I1386" s="22">
        <v>2220</v>
      </c>
      <c r="J1386" s="21">
        <v>55</v>
      </c>
      <c r="K1386" s="21"/>
      <c r="L1386" s="21"/>
      <c r="M1386" s="21"/>
      <c r="N1386" s="21"/>
      <c r="O1386" s="21"/>
      <c r="P1386" s="21"/>
      <c r="Q1386" s="21"/>
      <c r="R1386" s="21">
        <v>220</v>
      </c>
      <c r="S1386" s="21"/>
      <c r="T1386" s="21"/>
      <c r="U1386" s="21"/>
      <c r="V1386" s="21">
        <v>60</v>
      </c>
      <c r="W1386" s="21"/>
      <c r="X1386" s="21">
        <v>35</v>
      </c>
      <c r="Y1386" s="21"/>
      <c r="Z1386" s="21"/>
      <c r="AA1386" s="21"/>
      <c r="AB1386" s="21"/>
      <c r="AC1386" s="21">
        <v>10</v>
      </c>
      <c r="AD1386" s="21"/>
      <c r="AE1386" s="21"/>
      <c r="AF1386" s="21"/>
      <c r="AG1386" s="21"/>
      <c r="AH1386" s="21">
        <v>360</v>
      </c>
      <c r="AI1386" s="21"/>
      <c r="AJ1386" s="21"/>
      <c r="AK1386" s="21"/>
      <c r="AL1386" s="21">
        <v>45</v>
      </c>
      <c r="AM1386" s="21">
        <v>53</v>
      </c>
      <c r="AN1386" s="21"/>
      <c r="AO1386" s="21"/>
      <c r="AP1386" s="21">
        <v>10</v>
      </c>
      <c r="AQ1386" s="21"/>
      <c r="AR1386" s="21">
        <v>42</v>
      </c>
      <c r="AS1386" s="21">
        <v>220</v>
      </c>
      <c r="AT1386" s="12" t="str">
        <f>HYPERLINK("http://www.openstreetmap.org/?mlat=36.1505&amp;mlon=44.1032&amp;zoom=12#map=12/36.1505/44.1032","Maplink1")</f>
        <v>Maplink1</v>
      </c>
      <c r="AU1386" s="12" t="str">
        <f>HYPERLINK("https://www.google.iq/maps/search/+36.1505,44.1032/@36.1505,44.1032,14z?hl=en","Maplink2")</f>
        <v>Maplink2</v>
      </c>
      <c r="AV1386" s="12" t="str">
        <f>HYPERLINK("http://www.bing.com/maps/?lvl=14&amp;sty=h&amp;cp=36.1505~44.1032&amp;sp=point.36.1505_44.1032","Maplink3")</f>
        <v>Maplink3</v>
      </c>
    </row>
    <row r="1387" spans="1:48" ht="15" customHeight="1" x14ac:dyDescent="0.25">
      <c r="A1387" s="19">
        <v>25729</v>
      </c>
      <c r="B1387" s="20" t="s">
        <v>15</v>
      </c>
      <c r="C1387" s="20" t="s">
        <v>15</v>
      </c>
      <c r="D1387" s="20" t="s">
        <v>6018</v>
      </c>
      <c r="E1387" s="20" t="s">
        <v>6019</v>
      </c>
      <c r="F1387" s="20">
        <v>36.408647019999997</v>
      </c>
      <c r="G1387" s="20">
        <v>43.993644029999999</v>
      </c>
      <c r="H1387" s="22">
        <v>20</v>
      </c>
      <c r="I1387" s="22">
        <v>120</v>
      </c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>
        <v>20</v>
      </c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21"/>
      <c r="AH1387" s="21">
        <v>20</v>
      </c>
      <c r="AI1387" s="21"/>
      <c r="AJ1387" s="21"/>
      <c r="AK1387" s="21"/>
      <c r="AL1387" s="21"/>
      <c r="AM1387" s="21"/>
      <c r="AN1387" s="21">
        <v>20</v>
      </c>
      <c r="AO1387" s="21"/>
      <c r="AP1387" s="21"/>
      <c r="AQ1387" s="21"/>
      <c r="AR1387" s="21"/>
      <c r="AS1387" s="21"/>
      <c r="AT1387" s="12" t="str">
        <f>HYPERLINK("http://www.openstreetmap.org/?mlat=36.4086&amp;mlon=43.9936&amp;zoom=12#map=12/36.4086/43.9936","Maplink1")</f>
        <v>Maplink1</v>
      </c>
      <c r="AU1387" s="12" t="str">
        <f>HYPERLINK("https://www.google.iq/maps/search/+36.4086,43.9936/@36.4086,43.9936,14z?hl=en","Maplink2")</f>
        <v>Maplink2</v>
      </c>
      <c r="AV1387" s="12" t="str">
        <f>HYPERLINK("http://www.bing.com/maps/?lvl=14&amp;sty=h&amp;cp=36.4086~43.9936&amp;sp=point.36.4086_43.9936","Maplink3")</f>
        <v>Maplink3</v>
      </c>
    </row>
    <row r="1388" spans="1:48" ht="15" customHeight="1" x14ac:dyDescent="0.25">
      <c r="A1388" s="19">
        <v>27145</v>
      </c>
      <c r="B1388" s="20" t="s">
        <v>15</v>
      </c>
      <c r="C1388" s="20" t="s">
        <v>15</v>
      </c>
      <c r="D1388" s="20" t="s">
        <v>2614</v>
      </c>
      <c r="E1388" s="20" t="s">
        <v>2615</v>
      </c>
      <c r="F1388" s="20">
        <v>36.125877869999997</v>
      </c>
      <c r="G1388" s="20">
        <v>44.048913829999996</v>
      </c>
      <c r="H1388" s="22">
        <v>110</v>
      </c>
      <c r="I1388" s="22">
        <v>660</v>
      </c>
      <c r="J1388" s="21">
        <v>15</v>
      </c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>
        <v>95</v>
      </c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21"/>
      <c r="AH1388" s="21">
        <v>110</v>
      </c>
      <c r="AI1388" s="21"/>
      <c r="AJ1388" s="21"/>
      <c r="AK1388" s="21"/>
      <c r="AL1388" s="21">
        <v>5</v>
      </c>
      <c r="AM1388" s="21">
        <v>40</v>
      </c>
      <c r="AN1388" s="21"/>
      <c r="AO1388" s="21"/>
      <c r="AP1388" s="21">
        <v>10</v>
      </c>
      <c r="AQ1388" s="21"/>
      <c r="AR1388" s="21">
        <v>55</v>
      </c>
      <c r="AS1388" s="21"/>
      <c r="AT1388" s="12" t="str">
        <f>HYPERLINK("http://www.openstreetmap.org/?mlat=36.1259&amp;mlon=44.0489&amp;zoom=12#map=12/36.1259/44.0489","Maplink1")</f>
        <v>Maplink1</v>
      </c>
      <c r="AU1388" s="12" t="str">
        <f>HYPERLINK("https://www.google.iq/maps/search/+36.1259,44.0489/@36.1259,44.0489,14z?hl=en","Maplink2")</f>
        <v>Maplink2</v>
      </c>
      <c r="AV1388" s="12" t="str">
        <f>HYPERLINK("http://www.bing.com/maps/?lvl=14&amp;sty=h&amp;cp=36.1259~44.0489&amp;sp=point.36.1259_44.0489","Maplink3")</f>
        <v>Maplink3</v>
      </c>
    </row>
    <row r="1389" spans="1:48" ht="15" customHeight="1" x14ac:dyDescent="0.25">
      <c r="A1389" s="19">
        <v>27140</v>
      </c>
      <c r="B1389" s="20" t="s">
        <v>15</v>
      </c>
      <c r="C1389" s="20" t="s">
        <v>15</v>
      </c>
      <c r="D1389" s="20" t="s">
        <v>2616</v>
      </c>
      <c r="E1389" s="20" t="s">
        <v>2617</v>
      </c>
      <c r="F1389" s="20">
        <v>36.118686140000001</v>
      </c>
      <c r="G1389" s="20">
        <v>44.067335409999998</v>
      </c>
      <c r="H1389" s="22">
        <v>125</v>
      </c>
      <c r="I1389" s="22">
        <v>750</v>
      </c>
      <c r="J1389" s="21">
        <v>10</v>
      </c>
      <c r="K1389" s="21"/>
      <c r="L1389" s="21"/>
      <c r="M1389" s="21"/>
      <c r="N1389" s="21"/>
      <c r="O1389" s="21"/>
      <c r="P1389" s="21"/>
      <c r="Q1389" s="21"/>
      <c r="R1389" s="21">
        <v>25</v>
      </c>
      <c r="S1389" s="21"/>
      <c r="T1389" s="21"/>
      <c r="U1389" s="21"/>
      <c r="V1389" s="21">
        <v>75</v>
      </c>
      <c r="W1389" s="21"/>
      <c r="X1389" s="21">
        <v>15</v>
      </c>
      <c r="Y1389" s="21"/>
      <c r="Z1389" s="21"/>
      <c r="AA1389" s="21"/>
      <c r="AB1389" s="21"/>
      <c r="AC1389" s="21"/>
      <c r="AD1389" s="21"/>
      <c r="AE1389" s="21"/>
      <c r="AF1389" s="21"/>
      <c r="AG1389" s="21"/>
      <c r="AH1389" s="21">
        <v>125</v>
      </c>
      <c r="AI1389" s="21"/>
      <c r="AJ1389" s="21"/>
      <c r="AK1389" s="21"/>
      <c r="AL1389" s="21"/>
      <c r="AM1389" s="21">
        <v>65</v>
      </c>
      <c r="AN1389" s="21">
        <v>10</v>
      </c>
      <c r="AO1389" s="21"/>
      <c r="AP1389" s="21">
        <v>10</v>
      </c>
      <c r="AQ1389" s="21"/>
      <c r="AR1389" s="21">
        <v>15</v>
      </c>
      <c r="AS1389" s="21">
        <v>25</v>
      </c>
      <c r="AT1389" s="12" t="str">
        <f>HYPERLINK("http://www.openstreetmap.org/?mlat=36.1187&amp;mlon=44.0673&amp;zoom=12#map=12/36.1187/44.0673","Maplink1")</f>
        <v>Maplink1</v>
      </c>
      <c r="AU1389" s="12" t="str">
        <f>HYPERLINK("https://www.google.iq/maps/search/+36.1187,44.0673/@36.1187,44.0673,14z?hl=en","Maplink2")</f>
        <v>Maplink2</v>
      </c>
      <c r="AV1389" s="12" t="str">
        <f>HYPERLINK("http://www.bing.com/maps/?lvl=14&amp;sty=h&amp;cp=36.1187~44.0673&amp;sp=point.36.1187_44.0673","Maplink3")</f>
        <v>Maplink3</v>
      </c>
    </row>
    <row r="1390" spans="1:48" ht="15" customHeight="1" x14ac:dyDescent="0.25">
      <c r="A1390" s="19">
        <v>21669</v>
      </c>
      <c r="B1390" s="20" t="s">
        <v>15</v>
      </c>
      <c r="C1390" s="20" t="s">
        <v>15</v>
      </c>
      <c r="D1390" s="20" t="s">
        <v>2618</v>
      </c>
      <c r="E1390" s="20" t="s">
        <v>2619</v>
      </c>
      <c r="F1390" s="20">
        <v>36.115823319999997</v>
      </c>
      <c r="G1390" s="20">
        <v>44.07487433</v>
      </c>
      <c r="H1390" s="22">
        <v>355</v>
      </c>
      <c r="I1390" s="22">
        <v>2130</v>
      </c>
      <c r="J1390" s="21">
        <v>115</v>
      </c>
      <c r="K1390" s="21"/>
      <c r="L1390" s="21"/>
      <c r="M1390" s="21"/>
      <c r="N1390" s="21"/>
      <c r="O1390" s="21"/>
      <c r="P1390" s="21"/>
      <c r="Q1390" s="21"/>
      <c r="R1390" s="21">
        <v>25</v>
      </c>
      <c r="S1390" s="21"/>
      <c r="T1390" s="21"/>
      <c r="U1390" s="21"/>
      <c r="V1390" s="21">
        <v>97</v>
      </c>
      <c r="W1390" s="21"/>
      <c r="X1390" s="21">
        <v>118</v>
      </c>
      <c r="Y1390" s="21"/>
      <c r="Z1390" s="21"/>
      <c r="AA1390" s="21"/>
      <c r="AB1390" s="21"/>
      <c r="AC1390" s="21">
        <v>15</v>
      </c>
      <c r="AD1390" s="21"/>
      <c r="AE1390" s="21"/>
      <c r="AF1390" s="21"/>
      <c r="AG1390" s="21"/>
      <c r="AH1390" s="21">
        <v>340</v>
      </c>
      <c r="AI1390" s="21"/>
      <c r="AJ1390" s="21"/>
      <c r="AK1390" s="21"/>
      <c r="AL1390" s="21">
        <v>20</v>
      </c>
      <c r="AM1390" s="21">
        <v>140</v>
      </c>
      <c r="AN1390" s="21">
        <v>18</v>
      </c>
      <c r="AO1390" s="21"/>
      <c r="AP1390" s="21">
        <v>95</v>
      </c>
      <c r="AQ1390" s="21"/>
      <c r="AR1390" s="21">
        <v>57</v>
      </c>
      <c r="AS1390" s="21">
        <v>25</v>
      </c>
      <c r="AT1390" s="12" t="str">
        <f>HYPERLINK("http://www.openstreetmap.org/?mlat=36.1158&amp;mlon=44.0749&amp;zoom=12#map=12/36.1158/44.0749","Maplink1")</f>
        <v>Maplink1</v>
      </c>
      <c r="AU1390" s="12" t="str">
        <f>HYPERLINK("https://www.google.iq/maps/search/+36.1158,44.0749/@36.1158,44.0749,14z?hl=en","Maplink2")</f>
        <v>Maplink2</v>
      </c>
      <c r="AV1390" s="12" t="str">
        <f>HYPERLINK("http://www.bing.com/maps/?lvl=14&amp;sty=h&amp;cp=36.1158~44.0749&amp;sp=point.36.1158_44.0749","Maplink3")</f>
        <v>Maplink3</v>
      </c>
    </row>
    <row r="1391" spans="1:48" ht="15" customHeight="1" x14ac:dyDescent="0.25">
      <c r="A1391" s="19">
        <v>33152</v>
      </c>
      <c r="B1391" s="20" t="s">
        <v>15</v>
      </c>
      <c r="C1391" s="20" t="s">
        <v>15</v>
      </c>
      <c r="D1391" s="20" t="s">
        <v>5552</v>
      </c>
      <c r="E1391" s="20" t="s">
        <v>5553</v>
      </c>
      <c r="F1391" s="20">
        <v>36.220612699999997</v>
      </c>
      <c r="G1391" s="20">
        <v>44.140641700000003</v>
      </c>
      <c r="H1391" s="22">
        <v>55</v>
      </c>
      <c r="I1391" s="22">
        <v>330</v>
      </c>
      <c r="J1391" s="21"/>
      <c r="K1391" s="21"/>
      <c r="L1391" s="21"/>
      <c r="M1391" s="21"/>
      <c r="N1391" s="21"/>
      <c r="O1391" s="21"/>
      <c r="P1391" s="21"/>
      <c r="Q1391" s="21"/>
      <c r="R1391" s="21">
        <v>55</v>
      </c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21"/>
      <c r="AH1391" s="21"/>
      <c r="AI1391" s="21"/>
      <c r="AJ1391" s="21">
        <v>55</v>
      </c>
      <c r="AK1391" s="21"/>
      <c r="AL1391" s="21"/>
      <c r="AM1391" s="21"/>
      <c r="AN1391" s="21"/>
      <c r="AO1391" s="21"/>
      <c r="AP1391" s="21"/>
      <c r="AQ1391" s="21"/>
      <c r="AR1391" s="21"/>
      <c r="AS1391" s="21">
        <v>55</v>
      </c>
      <c r="AT1391" s="12" t="str">
        <f>HYPERLINK("http://www.openstreetmap.org/?mlat=36.2206&amp;mlon=44.1406&amp;zoom=12#map=12/36.2206/44.1406","Maplink1")</f>
        <v>Maplink1</v>
      </c>
      <c r="AU1391" s="12" t="str">
        <f>HYPERLINK("https://www.google.iq/maps/search/+36.2206,44.1406/@36.2206,44.1406,14z?hl=en","Maplink2")</f>
        <v>Maplink2</v>
      </c>
      <c r="AV1391" s="12" t="str">
        <f>HYPERLINK("http://www.bing.com/maps/?lvl=14&amp;sty=h&amp;cp=36.2206~44.1406&amp;sp=point.36.2206_44.1406","Maplink3")</f>
        <v>Maplink3</v>
      </c>
    </row>
    <row r="1392" spans="1:48" ht="15" customHeight="1" x14ac:dyDescent="0.25">
      <c r="A1392" s="19">
        <v>13203</v>
      </c>
      <c r="B1392" s="20" t="s">
        <v>15</v>
      </c>
      <c r="C1392" s="20" t="s">
        <v>15</v>
      </c>
      <c r="D1392" s="20" t="s">
        <v>2620</v>
      </c>
      <c r="E1392" s="20" t="s">
        <v>2621</v>
      </c>
      <c r="F1392" s="20">
        <v>36.021944609999998</v>
      </c>
      <c r="G1392" s="20">
        <v>43.913266849999999</v>
      </c>
      <c r="H1392" s="22">
        <v>520</v>
      </c>
      <c r="I1392" s="22">
        <v>3120</v>
      </c>
      <c r="J1392" s="21">
        <v>361</v>
      </c>
      <c r="K1392" s="21"/>
      <c r="L1392" s="21"/>
      <c r="M1392" s="21"/>
      <c r="N1392" s="21"/>
      <c r="O1392" s="21"/>
      <c r="P1392" s="21">
        <v>30</v>
      </c>
      <c r="Q1392" s="21"/>
      <c r="R1392" s="21">
        <v>10</v>
      </c>
      <c r="S1392" s="21"/>
      <c r="T1392" s="21"/>
      <c r="U1392" s="21"/>
      <c r="V1392" s="21">
        <v>59</v>
      </c>
      <c r="W1392" s="21"/>
      <c r="X1392" s="21">
        <v>60</v>
      </c>
      <c r="Y1392" s="21"/>
      <c r="Z1392" s="21"/>
      <c r="AA1392" s="21"/>
      <c r="AB1392" s="21"/>
      <c r="AC1392" s="21"/>
      <c r="AD1392" s="21"/>
      <c r="AE1392" s="21"/>
      <c r="AF1392" s="21"/>
      <c r="AG1392" s="21"/>
      <c r="AH1392" s="21">
        <v>520</v>
      </c>
      <c r="AI1392" s="21"/>
      <c r="AJ1392" s="21"/>
      <c r="AK1392" s="21"/>
      <c r="AL1392" s="21">
        <v>179</v>
      </c>
      <c r="AM1392" s="21">
        <v>40</v>
      </c>
      <c r="AN1392" s="21">
        <v>15</v>
      </c>
      <c r="AO1392" s="21"/>
      <c r="AP1392" s="21">
        <v>140</v>
      </c>
      <c r="AQ1392" s="21">
        <v>9</v>
      </c>
      <c r="AR1392" s="21">
        <v>87</v>
      </c>
      <c r="AS1392" s="21">
        <v>50</v>
      </c>
      <c r="AT1392" s="12" t="str">
        <f>HYPERLINK("http://www.openstreetmap.org/?mlat=36.0219&amp;mlon=43.9133&amp;zoom=12#map=12/36.0219/43.9133","Maplink1")</f>
        <v>Maplink1</v>
      </c>
      <c r="AU1392" s="12" t="str">
        <f>HYPERLINK("https://www.google.iq/maps/search/+36.0219,43.9133/@36.0219,43.9133,14z?hl=en","Maplink2")</f>
        <v>Maplink2</v>
      </c>
      <c r="AV1392" s="12" t="str">
        <f>HYPERLINK("http://www.bing.com/maps/?lvl=14&amp;sty=h&amp;cp=36.0219~43.9133&amp;sp=point.36.0219_43.9133","Maplink3")</f>
        <v>Maplink3</v>
      </c>
    </row>
    <row r="1393" spans="1:48" ht="15" customHeight="1" x14ac:dyDescent="0.25">
      <c r="A1393" s="19">
        <v>24419</v>
      </c>
      <c r="B1393" s="20" t="s">
        <v>15</v>
      </c>
      <c r="C1393" s="20" t="s">
        <v>15</v>
      </c>
      <c r="D1393" s="20" t="s">
        <v>2622</v>
      </c>
      <c r="E1393" s="20" t="s">
        <v>2623</v>
      </c>
      <c r="F1393" s="20">
        <v>36.288822528200001</v>
      </c>
      <c r="G1393" s="20">
        <v>44.0348909999</v>
      </c>
      <c r="H1393" s="22">
        <v>330</v>
      </c>
      <c r="I1393" s="22">
        <v>1980</v>
      </c>
      <c r="J1393" s="21">
        <v>55</v>
      </c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>
        <v>187</v>
      </c>
      <c r="W1393" s="21"/>
      <c r="X1393" s="21">
        <v>88</v>
      </c>
      <c r="Y1393" s="21"/>
      <c r="Z1393" s="21"/>
      <c r="AA1393" s="21"/>
      <c r="AB1393" s="21"/>
      <c r="AC1393" s="21"/>
      <c r="AD1393" s="21"/>
      <c r="AE1393" s="21"/>
      <c r="AF1393" s="21"/>
      <c r="AG1393" s="21"/>
      <c r="AH1393" s="21">
        <v>330</v>
      </c>
      <c r="AI1393" s="21"/>
      <c r="AJ1393" s="21"/>
      <c r="AK1393" s="21"/>
      <c r="AL1393" s="21">
        <v>20</v>
      </c>
      <c r="AM1393" s="21">
        <v>188</v>
      </c>
      <c r="AN1393" s="21">
        <v>85</v>
      </c>
      <c r="AO1393" s="21"/>
      <c r="AP1393" s="21">
        <v>22</v>
      </c>
      <c r="AQ1393" s="21">
        <v>13</v>
      </c>
      <c r="AR1393" s="21">
        <v>2</v>
      </c>
      <c r="AS1393" s="21"/>
      <c r="AT1393" s="12" t="str">
        <f>HYPERLINK("http://www.openstreetmap.org/?mlat=36.2888&amp;mlon=44.0349&amp;zoom=12#map=12/36.2888/44.0349","Maplink1")</f>
        <v>Maplink1</v>
      </c>
      <c r="AU1393" s="12" t="str">
        <f>HYPERLINK("https://www.google.iq/maps/search/+36.2888,44.0349/@36.2888,44.0349,14z?hl=en","Maplink2")</f>
        <v>Maplink2</v>
      </c>
      <c r="AV1393" s="12" t="str">
        <f>HYPERLINK("http://www.bing.com/maps/?lvl=14&amp;sty=h&amp;cp=36.2888~44.0349&amp;sp=point.36.2888_44.0349","Maplink3")</f>
        <v>Maplink3</v>
      </c>
    </row>
    <row r="1394" spans="1:48" ht="15" customHeight="1" x14ac:dyDescent="0.25">
      <c r="A1394" s="19">
        <v>24909</v>
      </c>
      <c r="B1394" s="20" t="s">
        <v>15</v>
      </c>
      <c r="C1394" s="20" t="s">
        <v>15</v>
      </c>
      <c r="D1394" s="20" t="s">
        <v>2624</v>
      </c>
      <c r="E1394" s="20" t="s">
        <v>2625</v>
      </c>
      <c r="F1394" s="20">
        <v>36.2795931892</v>
      </c>
      <c r="G1394" s="20">
        <v>43.934496727899997</v>
      </c>
      <c r="H1394" s="22">
        <v>168</v>
      </c>
      <c r="I1394" s="22">
        <v>1008</v>
      </c>
      <c r="J1394" s="21">
        <v>20</v>
      </c>
      <c r="K1394" s="21"/>
      <c r="L1394" s="21"/>
      <c r="M1394" s="21"/>
      <c r="N1394" s="21"/>
      <c r="O1394" s="21"/>
      <c r="P1394" s="21"/>
      <c r="Q1394" s="21"/>
      <c r="R1394" s="21">
        <v>13</v>
      </c>
      <c r="S1394" s="21"/>
      <c r="T1394" s="21"/>
      <c r="U1394" s="21"/>
      <c r="V1394" s="21">
        <v>128</v>
      </c>
      <c r="W1394" s="21"/>
      <c r="X1394" s="21">
        <v>7</v>
      </c>
      <c r="Y1394" s="21"/>
      <c r="Z1394" s="21"/>
      <c r="AA1394" s="21"/>
      <c r="AB1394" s="21"/>
      <c r="AC1394" s="21"/>
      <c r="AD1394" s="21"/>
      <c r="AE1394" s="21"/>
      <c r="AF1394" s="21"/>
      <c r="AG1394" s="21"/>
      <c r="AH1394" s="21">
        <v>168</v>
      </c>
      <c r="AI1394" s="21"/>
      <c r="AJ1394" s="21"/>
      <c r="AK1394" s="21"/>
      <c r="AL1394" s="21">
        <v>4</v>
      </c>
      <c r="AM1394" s="21">
        <v>124</v>
      </c>
      <c r="AN1394" s="21"/>
      <c r="AO1394" s="21"/>
      <c r="AP1394" s="21">
        <v>16</v>
      </c>
      <c r="AQ1394" s="21"/>
      <c r="AR1394" s="21">
        <v>11</v>
      </c>
      <c r="AS1394" s="21">
        <v>13</v>
      </c>
      <c r="AT1394" s="12" t="str">
        <f>HYPERLINK("http://www.openstreetmap.org/?mlat=36.2796&amp;mlon=43.9345&amp;zoom=12#map=12/36.2796/43.9345","Maplink1")</f>
        <v>Maplink1</v>
      </c>
      <c r="AU1394" s="12" t="str">
        <f>HYPERLINK("https://www.google.iq/maps/search/+36.2796,43.9345/@36.2796,43.9345,14z?hl=en","Maplink2")</f>
        <v>Maplink2</v>
      </c>
      <c r="AV1394" s="12" t="str">
        <f>HYPERLINK("http://www.bing.com/maps/?lvl=14&amp;sty=h&amp;cp=36.2796~43.9345&amp;sp=point.36.2796_43.9345","Maplink3")</f>
        <v>Maplink3</v>
      </c>
    </row>
    <row r="1395" spans="1:48" ht="15" customHeight="1" x14ac:dyDescent="0.25">
      <c r="A1395" s="19">
        <v>13677</v>
      </c>
      <c r="B1395" s="20" t="s">
        <v>15</v>
      </c>
      <c r="C1395" s="20" t="s">
        <v>15</v>
      </c>
      <c r="D1395" s="20" t="s">
        <v>2626</v>
      </c>
      <c r="E1395" s="20" t="s">
        <v>2627</v>
      </c>
      <c r="F1395" s="20">
        <v>36.231478019999997</v>
      </c>
      <c r="G1395" s="20">
        <v>43.987833270000003</v>
      </c>
      <c r="H1395" s="22">
        <v>162</v>
      </c>
      <c r="I1395" s="22">
        <v>972</v>
      </c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>
        <v>162</v>
      </c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21"/>
      <c r="AH1395" s="21">
        <v>162</v>
      </c>
      <c r="AI1395" s="21"/>
      <c r="AJ1395" s="21"/>
      <c r="AK1395" s="21"/>
      <c r="AL1395" s="21"/>
      <c r="AM1395" s="21">
        <v>127</v>
      </c>
      <c r="AN1395" s="21">
        <v>35</v>
      </c>
      <c r="AO1395" s="21"/>
      <c r="AP1395" s="21"/>
      <c r="AQ1395" s="21"/>
      <c r="AR1395" s="21"/>
      <c r="AS1395" s="21"/>
      <c r="AT1395" s="12" t="str">
        <f>HYPERLINK("http://www.openstreetmap.org/?mlat=36.2315&amp;mlon=43.9878&amp;zoom=12#map=12/36.2315/43.9878","Maplink1")</f>
        <v>Maplink1</v>
      </c>
      <c r="AU1395" s="12" t="str">
        <f>HYPERLINK("https://www.google.iq/maps/search/+36.2315,43.9878/@36.2315,43.9878,14z?hl=en","Maplink2")</f>
        <v>Maplink2</v>
      </c>
      <c r="AV1395" s="12" t="str">
        <f>HYPERLINK("http://www.bing.com/maps/?lvl=14&amp;sty=h&amp;cp=36.2315~43.9878&amp;sp=point.36.2315_43.9878","Maplink3")</f>
        <v>Maplink3</v>
      </c>
    </row>
    <row r="1396" spans="1:48" ht="15" customHeight="1" x14ac:dyDescent="0.25">
      <c r="A1396" s="19">
        <v>25973</v>
      </c>
      <c r="B1396" s="20" t="s">
        <v>15</v>
      </c>
      <c r="C1396" s="20" t="s">
        <v>15</v>
      </c>
      <c r="D1396" s="20" t="s">
        <v>2628</v>
      </c>
      <c r="E1396" s="20" t="s">
        <v>2629</v>
      </c>
      <c r="F1396" s="20">
        <v>36.119372560000002</v>
      </c>
      <c r="G1396" s="20">
        <v>44.062047919999998</v>
      </c>
      <c r="H1396" s="22">
        <v>150</v>
      </c>
      <c r="I1396" s="22">
        <v>900</v>
      </c>
      <c r="J1396" s="21">
        <v>65</v>
      </c>
      <c r="K1396" s="21"/>
      <c r="L1396" s="21"/>
      <c r="M1396" s="21"/>
      <c r="N1396" s="21"/>
      <c r="O1396" s="21"/>
      <c r="P1396" s="21"/>
      <c r="Q1396" s="21"/>
      <c r="R1396" s="21">
        <v>20</v>
      </c>
      <c r="S1396" s="21"/>
      <c r="T1396" s="21"/>
      <c r="U1396" s="21"/>
      <c r="V1396" s="21">
        <v>50</v>
      </c>
      <c r="W1396" s="21"/>
      <c r="X1396" s="21">
        <v>15</v>
      </c>
      <c r="Y1396" s="21"/>
      <c r="Z1396" s="21"/>
      <c r="AA1396" s="21"/>
      <c r="AB1396" s="21"/>
      <c r="AC1396" s="21">
        <v>15</v>
      </c>
      <c r="AD1396" s="21"/>
      <c r="AE1396" s="21"/>
      <c r="AF1396" s="21"/>
      <c r="AG1396" s="21"/>
      <c r="AH1396" s="21">
        <v>135</v>
      </c>
      <c r="AI1396" s="21"/>
      <c r="AJ1396" s="21"/>
      <c r="AK1396" s="21"/>
      <c r="AL1396" s="21">
        <v>10</v>
      </c>
      <c r="AM1396" s="21">
        <v>40</v>
      </c>
      <c r="AN1396" s="21"/>
      <c r="AO1396" s="21"/>
      <c r="AP1396" s="21">
        <v>55</v>
      </c>
      <c r="AQ1396" s="21"/>
      <c r="AR1396" s="21">
        <v>25</v>
      </c>
      <c r="AS1396" s="21">
        <v>20</v>
      </c>
      <c r="AT1396" s="12" t="str">
        <f>HYPERLINK("http://www.openstreetmap.org/?mlat=36.1194&amp;mlon=44.062&amp;zoom=12#map=12/36.1194/44.062","Maplink1")</f>
        <v>Maplink1</v>
      </c>
      <c r="AU1396" s="12" t="str">
        <f>HYPERLINK("https://www.google.iq/maps/search/+36.1194,44.062/@36.1194,44.062,14z?hl=en","Maplink2")</f>
        <v>Maplink2</v>
      </c>
      <c r="AV1396" s="12" t="str">
        <f>HYPERLINK("http://www.bing.com/maps/?lvl=14&amp;sty=h&amp;cp=36.1194~44.062&amp;sp=point.36.1194_44.062","Maplink3")</f>
        <v>Maplink3</v>
      </c>
    </row>
    <row r="1397" spans="1:48" ht="15" customHeight="1" x14ac:dyDescent="0.25">
      <c r="A1397" s="19">
        <v>24608</v>
      </c>
      <c r="B1397" s="20" t="s">
        <v>15</v>
      </c>
      <c r="C1397" s="20" t="s">
        <v>15</v>
      </c>
      <c r="D1397" s="20" t="s">
        <v>2630</v>
      </c>
      <c r="E1397" s="20" t="s">
        <v>2631</v>
      </c>
      <c r="F1397" s="20">
        <v>36.25869333</v>
      </c>
      <c r="G1397" s="20">
        <v>43.99399142</v>
      </c>
      <c r="H1397" s="22">
        <v>72</v>
      </c>
      <c r="I1397" s="22">
        <v>432</v>
      </c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>
        <v>72</v>
      </c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21"/>
      <c r="AH1397" s="21">
        <v>72</v>
      </c>
      <c r="AI1397" s="21"/>
      <c r="AJ1397" s="21"/>
      <c r="AK1397" s="21"/>
      <c r="AL1397" s="21"/>
      <c r="AM1397" s="21"/>
      <c r="AN1397" s="21">
        <v>58</v>
      </c>
      <c r="AO1397" s="21"/>
      <c r="AP1397" s="21"/>
      <c r="AQ1397" s="21"/>
      <c r="AR1397" s="21">
        <v>12</v>
      </c>
      <c r="AS1397" s="21">
        <v>2</v>
      </c>
      <c r="AT1397" s="12" t="str">
        <f>HYPERLINK("http://www.openstreetmap.org/?mlat=36.2587&amp;mlon=43.994&amp;zoom=12#map=12/36.2587/43.994","Maplink1")</f>
        <v>Maplink1</v>
      </c>
      <c r="AU1397" s="12" t="str">
        <f>HYPERLINK("https://www.google.iq/maps/search/+36.2587,43.994/@36.2587,43.994,14z?hl=en","Maplink2")</f>
        <v>Maplink2</v>
      </c>
      <c r="AV1397" s="12" t="str">
        <f>HYPERLINK("http://www.bing.com/maps/?lvl=14&amp;sty=h&amp;cp=36.2587~43.994&amp;sp=point.36.2587_43.994","Maplink3")</f>
        <v>Maplink3</v>
      </c>
    </row>
    <row r="1398" spans="1:48" ht="15" customHeight="1" x14ac:dyDescent="0.25">
      <c r="A1398" s="19">
        <v>24417</v>
      </c>
      <c r="B1398" s="20" t="s">
        <v>15</v>
      </c>
      <c r="C1398" s="20" t="s">
        <v>15</v>
      </c>
      <c r="D1398" s="20" t="s">
        <v>2632</v>
      </c>
      <c r="E1398" s="20" t="s">
        <v>2633</v>
      </c>
      <c r="F1398" s="20">
        <v>36.298115189999997</v>
      </c>
      <c r="G1398" s="20">
        <v>44.020570720000002</v>
      </c>
      <c r="H1398" s="22">
        <v>330</v>
      </c>
      <c r="I1398" s="22">
        <v>1980</v>
      </c>
      <c r="J1398" s="21">
        <v>190</v>
      </c>
      <c r="K1398" s="21"/>
      <c r="L1398" s="21">
        <v>15</v>
      </c>
      <c r="M1398" s="21"/>
      <c r="N1398" s="21"/>
      <c r="O1398" s="21"/>
      <c r="P1398" s="21"/>
      <c r="Q1398" s="21"/>
      <c r="R1398" s="21"/>
      <c r="S1398" s="21"/>
      <c r="T1398" s="21"/>
      <c r="U1398" s="21"/>
      <c r="V1398" s="21">
        <v>75</v>
      </c>
      <c r="W1398" s="21"/>
      <c r="X1398" s="21">
        <v>50</v>
      </c>
      <c r="Y1398" s="21"/>
      <c r="Z1398" s="21"/>
      <c r="AA1398" s="21"/>
      <c r="AB1398" s="21"/>
      <c r="AC1398" s="21"/>
      <c r="AD1398" s="21"/>
      <c r="AE1398" s="21"/>
      <c r="AF1398" s="21"/>
      <c r="AG1398" s="21"/>
      <c r="AH1398" s="21">
        <v>330</v>
      </c>
      <c r="AI1398" s="21"/>
      <c r="AJ1398" s="21"/>
      <c r="AK1398" s="21"/>
      <c r="AL1398" s="21">
        <v>130</v>
      </c>
      <c r="AM1398" s="21">
        <v>50</v>
      </c>
      <c r="AN1398" s="21">
        <v>40</v>
      </c>
      <c r="AO1398" s="21">
        <v>15</v>
      </c>
      <c r="AP1398" s="21">
        <v>55</v>
      </c>
      <c r="AQ1398" s="21">
        <v>10</v>
      </c>
      <c r="AR1398" s="21">
        <v>15</v>
      </c>
      <c r="AS1398" s="21">
        <v>15</v>
      </c>
      <c r="AT1398" s="12" t="str">
        <f>HYPERLINK("http://www.openstreetmap.org/?mlat=36.2981&amp;mlon=44.0206&amp;zoom=12#map=12/36.2981/44.0206","Maplink1")</f>
        <v>Maplink1</v>
      </c>
      <c r="AU1398" s="12" t="str">
        <f>HYPERLINK("https://www.google.iq/maps/search/+36.2981,44.0206/@36.2981,44.0206,14z?hl=en","Maplink2")</f>
        <v>Maplink2</v>
      </c>
      <c r="AV1398" s="12" t="str">
        <f>HYPERLINK("http://www.bing.com/maps/?lvl=14&amp;sty=h&amp;cp=36.2981~44.0206&amp;sp=point.36.2981_44.0206","Maplink3")</f>
        <v>Maplink3</v>
      </c>
    </row>
    <row r="1399" spans="1:48" ht="15" customHeight="1" x14ac:dyDescent="0.25">
      <c r="A1399" s="19">
        <v>24418</v>
      </c>
      <c r="B1399" s="20" t="s">
        <v>15</v>
      </c>
      <c r="C1399" s="20" t="s">
        <v>15</v>
      </c>
      <c r="D1399" s="20" t="s">
        <v>2634</v>
      </c>
      <c r="E1399" s="20" t="s">
        <v>2635</v>
      </c>
      <c r="F1399" s="20">
        <v>36.294026670000001</v>
      </c>
      <c r="G1399" s="20">
        <v>44.020325839999998</v>
      </c>
      <c r="H1399" s="22">
        <v>164</v>
      </c>
      <c r="I1399" s="22">
        <v>984</v>
      </c>
      <c r="J1399" s="21">
        <v>73</v>
      </c>
      <c r="K1399" s="21"/>
      <c r="L1399" s="21">
        <v>35</v>
      </c>
      <c r="M1399" s="21"/>
      <c r="N1399" s="21"/>
      <c r="O1399" s="21"/>
      <c r="P1399" s="21"/>
      <c r="Q1399" s="21"/>
      <c r="R1399" s="21"/>
      <c r="S1399" s="21"/>
      <c r="T1399" s="21"/>
      <c r="U1399" s="21"/>
      <c r="V1399" s="21">
        <v>29</v>
      </c>
      <c r="W1399" s="21"/>
      <c r="X1399" s="21">
        <v>27</v>
      </c>
      <c r="Y1399" s="21"/>
      <c r="Z1399" s="21"/>
      <c r="AA1399" s="21"/>
      <c r="AB1399" s="21"/>
      <c r="AC1399" s="21"/>
      <c r="AD1399" s="21"/>
      <c r="AE1399" s="21"/>
      <c r="AF1399" s="21"/>
      <c r="AG1399" s="21"/>
      <c r="AH1399" s="21">
        <v>164</v>
      </c>
      <c r="AI1399" s="21"/>
      <c r="AJ1399" s="21"/>
      <c r="AK1399" s="21"/>
      <c r="AL1399" s="21">
        <v>30</v>
      </c>
      <c r="AM1399" s="21">
        <v>27</v>
      </c>
      <c r="AN1399" s="21">
        <v>9</v>
      </c>
      <c r="AO1399" s="21">
        <v>35</v>
      </c>
      <c r="AP1399" s="21">
        <v>43</v>
      </c>
      <c r="AQ1399" s="21"/>
      <c r="AR1399" s="21">
        <v>20</v>
      </c>
      <c r="AS1399" s="21"/>
      <c r="AT1399" s="12" t="str">
        <f>HYPERLINK("http://www.openstreetmap.org/?mlat=36.294&amp;mlon=44.0203&amp;zoom=12#map=12/36.294/44.0203","Maplink1")</f>
        <v>Maplink1</v>
      </c>
      <c r="AU1399" s="12" t="str">
        <f>HYPERLINK("https://www.google.iq/maps/search/+36.294,44.0203/@36.294,44.0203,14z?hl=en","Maplink2")</f>
        <v>Maplink2</v>
      </c>
      <c r="AV1399" s="12" t="str">
        <f>HYPERLINK("http://www.bing.com/maps/?lvl=14&amp;sty=h&amp;cp=36.294~44.0203&amp;sp=point.36.294_44.0203","Maplink3")</f>
        <v>Maplink3</v>
      </c>
    </row>
    <row r="1400" spans="1:48" ht="15" customHeight="1" x14ac:dyDescent="0.25">
      <c r="A1400" s="19">
        <v>24606</v>
      </c>
      <c r="B1400" s="20" t="s">
        <v>15</v>
      </c>
      <c r="C1400" s="20" t="s">
        <v>15</v>
      </c>
      <c r="D1400" s="20" t="s">
        <v>6138</v>
      </c>
      <c r="E1400" s="20" t="s">
        <v>6139</v>
      </c>
      <c r="F1400" s="20">
        <v>36.256399999999999</v>
      </c>
      <c r="G1400" s="20">
        <v>43.9953</v>
      </c>
      <c r="H1400" s="22">
        <v>303</v>
      </c>
      <c r="I1400" s="22">
        <v>1818</v>
      </c>
      <c r="J1400" s="21"/>
      <c r="K1400" s="21"/>
      <c r="L1400" s="21"/>
      <c r="M1400" s="21"/>
      <c r="N1400" s="21"/>
      <c r="O1400" s="21">
        <v>2</v>
      </c>
      <c r="P1400" s="21"/>
      <c r="Q1400" s="21"/>
      <c r="R1400" s="21"/>
      <c r="S1400" s="21"/>
      <c r="T1400" s="21"/>
      <c r="U1400" s="21"/>
      <c r="V1400" s="21">
        <v>300</v>
      </c>
      <c r="W1400" s="21"/>
      <c r="X1400" s="21">
        <v>1</v>
      </c>
      <c r="Y1400" s="21"/>
      <c r="Z1400" s="21"/>
      <c r="AA1400" s="21"/>
      <c r="AB1400" s="21">
        <v>303</v>
      </c>
      <c r="AC1400" s="21"/>
      <c r="AD1400" s="21"/>
      <c r="AE1400" s="21"/>
      <c r="AF1400" s="21"/>
      <c r="AG1400" s="21"/>
      <c r="AH1400" s="21"/>
      <c r="AI1400" s="21"/>
      <c r="AJ1400" s="21"/>
      <c r="AK1400" s="21"/>
      <c r="AL1400" s="21"/>
      <c r="AM1400" s="21">
        <v>5</v>
      </c>
      <c r="AN1400" s="21">
        <v>298</v>
      </c>
      <c r="AO1400" s="21"/>
      <c r="AP1400" s="21"/>
      <c r="AQ1400" s="21"/>
      <c r="AR1400" s="21"/>
      <c r="AS1400" s="21"/>
      <c r="AT1400" s="12" t="str">
        <f>HYPERLINK("http://www.openstreetmap.org/?mlat=36.2564&amp;mlon=43.9953&amp;zoom=12#map=12/36.2564/43.9953","Maplink1")</f>
        <v>Maplink1</v>
      </c>
      <c r="AU1400" s="12" t="str">
        <f>HYPERLINK("https://www.google.iq/maps/search/+36.2564,43.9953/@36.2564,43.9953,14z?hl=en","Maplink2")</f>
        <v>Maplink2</v>
      </c>
      <c r="AV1400" s="12" t="str">
        <f>HYPERLINK("http://www.bing.com/maps/?lvl=14&amp;sty=h&amp;cp=36.2564~43.9953&amp;sp=point.36.2564_43.9953","Maplink3")</f>
        <v>Maplink3</v>
      </c>
    </row>
    <row r="1401" spans="1:48" ht="15" customHeight="1" x14ac:dyDescent="0.25">
      <c r="A1401" s="19">
        <v>20790</v>
      </c>
      <c r="B1401" s="20" t="s">
        <v>15</v>
      </c>
      <c r="C1401" s="20" t="s">
        <v>15</v>
      </c>
      <c r="D1401" s="20" t="s">
        <v>2636</v>
      </c>
      <c r="E1401" s="20" t="s">
        <v>2637</v>
      </c>
      <c r="F1401" s="20">
        <v>36.193162890000004</v>
      </c>
      <c r="G1401" s="20">
        <v>44.049313499999997</v>
      </c>
      <c r="H1401" s="22">
        <v>275</v>
      </c>
      <c r="I1401" s="22">
        <v>1650</v>
      </c>
      <c r="J1401" s="21">
        <v>195</v>
      </c>
      <c r="K1401" s="21"/>
      <c r="L1401" s="21"/>
      <c r="M1401" s="21"/>
      <c r="N1401" s="21"/>
      <c r="O1401" s="21"/>
      <c r="P1401" s="21"/>
      <c r="Q1401" s="21"/>
      <c r="R1401" s="21">
        <v>5</v>
      </c>
      <c r="S1401" s="21"/>
      <c r="T1401" s="21"/>
      <c r="U1401" s="21"/>
      <c r="V1401" s="21">
        <v>55</v>
      </c>
      <c r="W1401" s="21"/>
      <c r="X1401" s="21">
        <v>20</v>
      </c>
      <c r="Y1401" s="21"/>
      <c r="Z1401" s="21"/>
      <c r="AA1401" s="21"/>
      <c r="AB1401" s="21"/>
      <c r="AC1401" s="21"/>
      <c r="AD1401" s="21"/>
      <c r="AE1401" s="21"/>
      <c r="AF1401" s="21"/>
      <c r="AG1401" s="21"/>
      <c r="AH1401" s="21">
        <v>275</v>
      </c>
      <c r="AI1401" s="21"/>
      <c r="AJ1401" s="21"/>
      <c r="AK1401" s="21"/>
      <c r="AL1401" s="21">
        <v>133</v>
      </c>
      <c r="AM1401" s="21">
        <v>66</v>
      </c>
      <c r="AN1401" s="21"/>
      <c r="AO1401" s="21"/>
      <c r="AP1401" s="21">
        <v>42</v>
      </c>
      <c r="AQ1401" s="21">
        <v>4</v>
      </c>
      <c r="AR1401" s="21">
        <v>10</v>
      </c>
      <c r="AS1401" s="21">
        <v>20</v>
      </c>
      <c r="AT1401" s="12" t="str">
        <f>HYPERLINK("http://www.openstreetmap.org/?mlat=36.1932&amp;mlon=44.0493&amp;zoom=12#map=12/36.1932/44.0493","Maplink1")</f>
        <v>Maplink1</v>
      </c>
      <c r="AU1401" s="12" t="str">
        <f>HYPERLINK("https://www.google.iq/maps/search/+36.1932,44.0493/@36.1932,44.0493,14z?hl=en","Maplink2")</f>
        <v>Maplink2</v>
      </c>
      <c r="AV1401" s="12" t="str">
        <f>HYPERLINK("http://www.bing.com/maps/?lvl=14&amp;sty=h&amp;cp=36.1932~44.0493&amp;sp=point.36.1932_44.0493","Maplink3")</f>
        <v>Maplink3</v>
      </c>
    </row>
    <row r="1402" spans="1:48" ht="15" customHeight="1" x14ac:dyDescent="0.25">
      <c r="A1402" s="19">
        <v>25473</v>
      </c>
      <c r="B1402" s="20" t="s">
        <v>15</v>
      </c>
      <c r="C1402" s="20" t="s">
        <v>15</v>
      </c>
      <c r="D1402" s="20" t="s">
        <v>2638</v>
      </c>
      <c r="E1402" s="20" t="s">
        <v>2639</v>
      </c>
      <c r="F1402" s="20">
        <v>36.184063010000003</v>
      </c>
      <c r="G1402" s="20">
        <v>44.123624790000001</v>
      </c>
      <c r="H1402" s="22">
        <v>70</v>
      </c>
      <c r="I1402" s="22">
        <v>420</v>
      </c>
      <c r="J1402" s="21">
        <v>30</v>
      </c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>
        <v>40</v>
      </c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21"/>
      <c r="AH1402" s="21">
        <v>70</v>
      </c>
      <c r="AI1402" s="21"/>
      <c r="AJ1402" s="21"/>
      <c r="AK1402" s="21"/>
      <c r="AL1402" s="21">
        <v>10</v>
      </c>
      <c r="AM1402" s="21">
        <v>15</v>
      </c>
      <c r="AN1402" s="21">
        <v>15</v>
      </c>
      <c r="AO1402" s="21"/>
      <c r="AP1402" s="21">
        <v>20</v>
      </c>
      <c r="AQ1402" s="21"/>
      <c r="AR1402" s="21">
        <v>10</v>
      </c>
      <c r="AS1402" s="21"/>
      <c r="AT1402" s="12" t="str">
        <f>HYPERLINK("http://www.openstreetmap.org/?mlat=36.1841&amp;mlon=44.1236&amp;zoom=12#map=12/36.1841/44.1236","Maplink1")</f>
        <v>Maplink1</v>
      </c>
      <c r="AU1402" s="12" t="str">
        <f>HYPERLINK("https://www.google.iq/maps/search/+36.1841,44.1236/@36.1841,44.1236,14z?hl=en","Maplink2")</f>
        <v>Maplink2</v>
      </c>
      <c r="AV1402" s="12" t="str">
        <f>HYPERLINK("http://www.bing.com/maps/?lvl=14&amp;sty=h&amp;cp=36.1841~44.1236&amp;sp=point.36.1841_44.1236","Maplink3")</f>
        <v>Maplink3</v>
      </c>
    </row>
    <row r="1403" spans="1:48" ht="15" customHeight="1" x14ac:dyDescent="0.25">
      <c r="A1403" s="19">
        <v>27419</v>
      </c>
      <c r="B1403" s="20" t="s">
        <v>15</v>
      </c>
      <c r="C1403" s="20" t="s">
        <v>15</v>
      </c>
      <c r="D1403" s="20" t="s">
        <v>2640</v>
      </c>
      <c r="E1403" s="20" t="s">
        <v>2641</v>
      </c>
      <c r="F1403" s="20">
        <v>36.204163960000002</v>
      </c>
      <c r="G1403" s="20">
        <v>44.071057690000004</v>
      </c>
      <c r="H1403" s="22">
        <v>400</v>
      </c>
      <c r="I1403" s="22">
        <v>2400</v>
      </c>
      <c r="J1403" s="21">
        <v>202</v>
      </c>
      <c r="K1403" s="21"/>
      <c r="L1403" s="21"/>
      <c r="M1403" s="21"/>
      <c r="N1403" s="21"/>
      <c r="O1403" s="21"/>
      <c r="P1403" s="21"/>
      <c r="Q1403" s="21"/>
      <c r="R1403" s="21">
        <v>3</v>
      </c>
      <c r="S1403" s="21"/>
      <c r="T1403" s="21"/>
      <c r="U1403" s="21"/>
      <c r="V1403" s="21">
        <v>185</v>
      </c>
      <c r="W1403" s="21"/>
      <c r="X1403" s="21">
        <v>10</v>
      </c>
      <c r="Y1403" s="21"/>
      <c r="Z1403" s="21"/>
      <c r="AA1403" s="21"/>
      <c r="AB1403" s="21"/>
      <c r="AC1403" s="21"/>
      <c r="AD1403" s="21"/>
      <c r="AE1403" s="21"/>
      <c r="AF1403" s="21"/>
      <c r="AG1403" s="21"/>
      <c r="AH1403" s="21">
        <v>400</v>
      </c>
      <c r="AI1403" s="21"/>
      <c r="AJ1403" s="21"/>
      <c r="AK1403" s="21"/>
      <c r="AL1403" s="21">
        <v>90</v>
      </c>
      <c r="AM1403" s="21">
        <v>80</v>
      </c>
      <c r="AN1403" s="21">
        <v>10</v>
      </c>
      <c r="AO1403" s="21"/>
      <c r="AP1403" s="21">
        <v>112</v>
      </c>
      <c r="AQ1403" s="21"/>
      <c r="AR1403" s="21">
        <v>105</v>
      </c>
      <c r="AS1403" s="21">
        <v>3</v>
      </c>
      <c r="AT1403" s="12" t="str">
        <f>HYPERLINK("http://www.openstreetmap.org/?mlat=36.2042&amp;mlon=44.0711&amp;zoom=12#map=12/36.2042/44.0711","Maplink1")</f>
        <v>Maplink1</v>
      </c>
      <c r="AU1403" s="12" t="str">
        <f>HYPERLINK("https://www.google.iq/maps/search/+36.2042,44.0711/@36.2042,44.0711,14z?hl=en","Maplink2")</f>
        <v>Maplink2</v>
      </c>
      <c r="AV1403" s="12" t="str">
        <f>HYPERLINK("http://www.bing.com/maps/?lvl=14&amp;sty=h&amp;cp=36.2042~44.0711&amp;sp=point.36.2042_44.0711","Maplink3")</f>
        <v>Maplink3</v>
      </c>
    </row>
    <row r="1404" spans="1:48" ht="15" customHeight="1" x14ac:dyDescent="0.25">
      <c r="A1404" s="19">
        <v>13668</v>
      </c>
      <c r="B1404" s="20" t="s">
        <v>15</v>
      </c>
      <c r="C1404" s="20" t="s">
        <v>15</v>
      </c>
      <c r="D1404" s="20" t="s">
        <v>2642</v>
      </c>
      <c r="E1404" s="20" t="s">
        <v>2428</v>
      </c>
      <c r="F1404" s="20">
        <v>36.163858269999999</v>
      </c>
      <c r="G1404" s="20">
        <v>43.97527384</v>
      </c>
      <c r="H1404" s="22">
        <v>1150</v>
      </c>
      <c r="I1404" s="22">
        <v>6900</v>
      </c>
      <c r="J1404" s="21">
        <v>600</v>
      </c>
      <c r="K1404" s="21"/>
      <c r="L1404" s="21"/>
      <c r="M1404" s="21"/>
      <c r="N1404" s="21"/>
      <c r="O1404" s="21"/>
      <c r="P1404" s="21">
        <v>150</v>
      </c>
      <c r="Q1404" s="21"/>
      <c r="R1404" s="21"/>
      <c r="S1404" s="21"/>
      <c r="T1404" s="21"/>
      <c r="U1404" s="21"/>
      <c r="V1404" s="21">
        <v>400</v>
      </c>
      <c r="W1404" s="21"/>
      <c r="X1404" s="21"/>
      <c r="Y1404" s="21"/>
      <c r="Z1404" s="21"/>
      <c r="AA1404" s="21"/>
      <c r="AB1404" s="21"/>
      <c r="AC1404" s="21">
        <v>75</v>
      </c>
      <c r="AD1404" s="21"/>
      <c r="AE1404" s="21"/>
      <c r="AF1404" s="21"/>
      <c r="AG1404" s="21"/>
      <c r="AH1404" s="21">
        <v>1075</v>
      </c>
      <c r="AI1404" s="21"/>
      <c r="AJ1404" s="21"/>
      <c r="AK1404" s="21"/>
      <c r="AL1404" s="21">
        <v>400</v>
      </c>
      <c r="AM1404" s="21">
        <v>322</v>
      </c>
      <c r="AN1404" s="21"/>
      <c r="AO1404" s="21"/>
      <c r="AP1404" s="21">
        <v>220</v>
      </c>
      <c r="AQ1404" s="21">
        <v>58</v>
      </c>
      <c r="AR1404" s="21"/>
      <c r="AS1404" s="21">
        <v>150</v>
      </c>
      <c r="AT1404" s="12" t="str">
        <f>HYPERLINK("http://www.openstreetmap.org/?mlat=36.1639&amp;mlon=43.9753&amp;zoom=12#map=12/36.1639/43.9753","Maplink1")</f>
        <v>Maplink1</v>
      </c>
      <c r="AU1404" s="12" t="str">
        <f>HYPERLINK("https://www.google.iq/maps/search/+36.1639,43.9753/@36.1639,43.9753,14z?hl=en","Maplink2")</f>
        <v>Maplink2</v>
      </c>
      <c r="AV1404" s="12" t="str">
        <f>HYPERLINK("http://www.bing.com/maps/?lvl=14&amp;sty=h&amp;cp=36.1639~43.9753&amp;sp=point.36.1639_43.9753","Maplink3")</f>
        <v>Maplink3</v>
      </c>
    </row>
    <row r="1405" spans="1:48" ht="15" customHeight="1" x14ac:dyDescent="0.25">
      <c r="A1405" s="19">
        <v>25470</v>
      </c>
      <c r="B1405" s="20" t="s">
        <v>15</v>
      </c>
      <c r="C1405" s="20" t="s">
        <v>15</v>
      </c>
      <c r="D1405" s="20" t="s">
        <v>2643</v>
      </c>
      <c r="E1405" s="20" t="s">
        <v>2644</v>
      </c>
      <c r="F1405" s="20">
        <v>36.170222629999998</v>
      </c>
      <c r="G1405" s="20">
        <v>44.128027520000003</v>
      </c>
      <c r="H1405" s="22">
        <v>160</v>
      </c>
      <c r="I1405" s="22">
        <v>960</v>
      </c>
      <c r="J1405" s="21">
        <v>45</v>
      </c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>
        <v>100</v>
      </c>
      <c r="W1405" s="21"/>
      <c r="X1405" s="21">
        <v>15</v>
      </c>
      <c r="Y1405" s="21"/>
      <c r="Z1405" s="21"/>
      <c r="AA1405" s="21"/>
      <c r="AB1405" s="21"/>
      <c r="AC1405" s="21"/>
      <c r="AD1405" s="21"/>
      <c r="AE1405" s="21"/>
      <c r="AF1405" s="21"/>
      <c r="AG1405" s="21"/>
      <c r="AH1405" s="21">
        <v>160</v>
      </c>
      <c r="AI1405" s="21"/>
      <c r="AJ1405" s="21"/>
      <c r="AK1405" s="21"/>
      <c r="AL1405" s="21">
        <v>30</v>
      </c>
      <c r="AM1405" s="21">
        <v>25</v>
      </c>
      <c r="AN1405" s="21">
        <v>20</v>
      </c>
      <c r="AO1405" s="21"/>
      <c r="AP1405" s="21">
        <v>10</v>
      </c>
      <c r="AQ1405" s="21"/>
      <c r="AR1405" s="21">
        <v>70</v>
      </c>
      <c r="AS1405" s="21">
        <v>5</v>
      </c>
      <c r="AT1405" s="12" t="str">
        <f>HYPERLINK("http://www.openstreetmap.org/?mlat=36.1702&amp;mlon=44.128&amp;zoom=12#map=12/36.1702/44.128","Maplink1")</f>
        <v>Maplink1</v>
      </c>
      <c r="AU1405" s="12" t="str">
        <f>HYPERLINK("https://www.google.iq/maps/search/+36.1702,44.128/@36.1702,44.128,14z?hl=en","Maplink2")</f>
        <v>Maplink2</v>
      </c>
      <c r="AV1405" s="12" t="str">
        <f>HYPERLINK("http://www.bing.com/maps/?lvl=14&amp;sty=h&amp;cp=36.1702~44.128&amp;sp=point.36.1702_44.128","Maplink3")</f>
        <v>Maplink3</v>
      </c>
    </row>
    <row r="1406" spans="1:48" ht="15" customHeight="1" x14ac:dyDescent="0.25">
      <c r="A1406" s="19">
        <v>13686</v>
      </c>
      <c r="B1406" s="20" t="s">
        <v>15</v>
      </c>
      <c r="C1406" s="20" t="s">
        <v>15</v>
      </c>
      <c r="D1406" s="20" t="s">
        <v>2645</v>
      </c>
      <c r="E1406" s="20" t="s">
        <v>2646</v>
      </c>
      <c r="F1406" s="20">
        <v>36.229723679999999</v>
      </c>
      <c r="G1406" s="20">
        <v>43.988701679999998</v>
      </c>
      <c r="H1406" s="22">
        <v>18</v>
      </c>
      <c r="I1406" s="22">
        <v>108</v>
      </c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>
        <v>18</v>
      </c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21"/>
      <c r="AH1406" s="21">
        <v>18</v>
      </c>
      <c r="AI1406" s="21"/>
      <c r="AJ1406" s="21"/>
      <c r="AK1406" s="21"/>
      <c r="AL1406" s="21"/>
      <c r="AM1406" s="21">
        <v>11</v>
      </c>
      <c r="AN1406" s="21">
        <v>6</v>
      </c>
      <c r="AO1406" s="21"/>
      <c r="AP1406" s="21"/>
      <c r="AQ1406" s="21"/>
      <c r="AR1406" s="21">
        <v>1</v>
      </c>
      <c r="AS1406" s="21"/>
      <c r="AT1406" s="12" t="str">
        <f>HYPERLINK("http://www.openstreetmap.org/?mlat=36.2297&amp;mlon=43.9887&amp;zoom=12#map=12/36.2297/43.9887","Maplink1")</f>
        <v>Maplink1</v>
      </c>
      <c r="AU1406" s="12" t="str">
        <f>HYPERLINK("https://www.google.iq/maps/search/+36.2297,43.9887/@36.2297,43.9887,14z?hl=en","Maplink2")</f>
        <v>Maplink2</v>
      </c>
      <c r="AV1406" s="12" t="str">
        <f>HYPERLINK("http://www.bing.com/maps/?lvl=14&amp;sty=h&amp;cp=36.2297~43.9887&amp;sp=point.36.2297_43.9887","Maplink3")</f>
        <v>Maplink3</v>
      </c>
    </row>
    <row r="1407" spans="1:48" ht="15" customHeight="1" x14ac:dyDescent="0.25">
      <c r="A1407" s="19">
        <v>25727</v>
      </c>
      <c r="B1407" s="20" t="s">
        <v>15</v>
      </c>
      <c r="C1407" s="20" t="s">
        <v>15</v>
      </c>
      <c r="D1407" s="20" t="s">
        <v>2647</v>
      </c>
      <c r="E1407" s="20" t="s">
        <v>2648</v>
      </c>
      <c r="F1407" s="20">
        <v>36.208316809999999</v>
      </c>
      <c r="G1407" s="20">
        <v>43.86162109</v>
      </c>
      <c r="H1407" s="22">
        <v>172</v>
      </c>
      <c r="I1407" s="22">
        <v>1032</v>
      </c>
      <c r="J1407" s="21">
        <v>13</v>
      </c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>
        <v>159</v>
      </c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21"/>
      <c r="AH1407" s="21">
        <v>172</v>
      </c>
      <c r="AI1407" s="21"/>
      <c r="AJ1407" s="21"/>
      <c r="AK1407" s="21"/>
      <c r="AL1407" s="21">
        <v>6</v>
      </c>
      <c r="AM1407" s="21">
        <v>126</v>
      </c>
      <c r="AN1407" s="21">
        <v>23</v>
      </c>
      <c r="AO1407" s="21"/>
      <c r="AP1407" s="21">
        <v>4</v>
      </c>
      <c r="AQ1407" s="21"/>
      <c r="AR1407" s="21">
        <v>10</v>
      </c>
      <c r="AS1407" s="21">
        <v>3</v>
      </c>
      <c r="AT1407" s="12" t="str">
        <f>HYPERLINK("http://www.openstreetmap.org/?mlat=36.2083&amp;mlon=43.8616&amp;zoom=12#map=12/36.2083/43.8616","Maplink1")</f>
        <v>Maplink1</v>
      </c>
      <c r="AU1407" s="12" t="str">
        <f>HYPERLINK("https://www.google.iq/maps/search/+36.2083,43.8616/@36.2083,43.8616,14z?hl=en","Maplink2")</f>
        <v>Maplink2</v>
      </c>
      <c r="AV1407" s="12" t="str">
        <f>HYPERLINK("http://www.bing.com/maps/?lvl=14&amp;sty=h&amp;cp=36.2083~43.8616&amp;sp=point.36.2083_43.8616","Maplink3")</f>
        <v>Maplink3</v>
      </c>
    </row>
    <row r="1408" spans="1:48" ht="15" customHeight="1" x14ac:dyDescent="0.25">
      <c r="A1408" s="19">
        <v>29557</v>
      </c>
      <c r="B1408" s="20" t="s">
        <v>15</v>
      </c>
      <c r="C1408" s="20" t="s">
        <v>15</v>
      </c>
      <c r="D1408" s="20" t="s">
        <v>2649</v>
      </c>
      <c r="E1408" s="20" t="s">
        <v>2650</v>
      </c>
      <c r="F1408" s="20">
        <v>36.183966939999998</v>
      </c>
      <c r="G1408" s="20">
        <v>44.160910970000003</v>
      </c>
      <c r="H1408" s="22">
        <v>30</v>
      </c>
      <c r="I1408" s="22">
        <v>180</v>
      </c>
      <c r="J1408" s="21">
        <v>20</v>
      </c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>
        <v>5</v>
      </c>
      <c r="W1408" s="21"/>
      <c r="X1408" s="21">
        <v>5</v>
      </c>
      <c r="Y1408" s="21"/>
      <c r="Z1408" s="21"/>
      <c r="AA1408" s="21"/>
      <c r="AB1408" s="21"/>
      <c r="AC1408" s="21"/>
      <c r="AD1408" s="21"/>
      <c r="AE1408" s="21"/>
      <c r="AF1408" s="21"/>
      <c r="AG1408" s="21"/>
      <c r="AH1408" s="21">
        <v>30</v>
      </c>
      <c r="AI1408" s="21"/>
      <c r="AJ1408" s="21"/>
      <c r="AK1408" s="21"/>
      <c r="AL1408" s="21">
        <v>20</v>
      </c>
      <c r="AM1408" s="21">
        <v>5</v>
      </c>
      <c r="AN1408" s="21"/>
      <c r="AO1408" s="21"/>
      <c r="AP1408" s="21"/>
      <c r="AQ1408" s="21"/>
      <c r="AR1408" s="21">
        <v>5</v>
      </c>
      <c r="AS1408" s="21"/>
      <c r="AT1408" s="12" t="str">
        <f>HYPERLINK("http://www.openstreetmap.org/?mlat=36.184&amp;mlon=44.1609&amp;zoom=12#map=12/36.184/44.1609","Maplink1")</f>
        <v>Maplink1</v>
      </c>
      <c r="AU1408" s="12" t="str">
        <f>HYPERLINK("https://www.google.iq/maps/search/+36.184,44.1609/@36.184,44.1609,14z?hl=en","Maplink2")</f>
        <v>Maplink2</v>
      </c>
      <c r="AV1408" s="12" t="str">
        <f>HYPERLINK("http://www.bing.com/maps/?lvl=14&amp;sty=h&amp;cp=36.184~44.1609&amp;sp=point.36.184_44.1609","Maplink3")</f>
        <v>Maplink3</v>
      </c>
    </row>
    <row r="1409" spans="1:48" ht="15" customHeight="1" x14ac:dyDescent="0.25">
      <c r="A1409" s="19">
        <v>27152</v>
      </c>
      <c r="B1409" s="20" t="s">
        <v>15</v>
      </c>
      <c r="C1409" s="20" t="s">
        <v>15</v>
      </c>
      <c r="D1409" s="20" t="s">
        <v>2651</v>
      </c>
      <c r="E1409" s="20" t="s">
        <v>2652</v>
      </c>
      <c r="F1409" s="20">
        <v>36.22730808</v>
      </c>
      <c r="G1409" s="20">
        <v>43.996606880000002</v>
      </c>
      <c r="H1409" s="22">
        <v>158</v>
      </c>
      <c r="I1409" s="22">
        <v>948</v>
      </c>
      <c r="J1409" s="21"/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>
        <v>158</v>
      </c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21"/>
      <c r="AH1409" s="21">
        <v>158</v>
      </c>
      <c r="AI1409" s="21"/>
      <c r="AJ1409" s="21"/>
      <c r="AK1409" s="21"/>
      <c r="AL1409" s="21"/>
      <c r="AM1409" s="21">
        <v>106</v>
      </c>
      <c r="AN1409" s="21">
        <v>52</v>
      </c>
      <c r="AO1409" s="21"/>
      <c r="AP1409" s="21"/>
      <c r="AQ1409" s="21"/>
      <c r="AR1409" s="21"/>
      <c r="AS1409" s="21"/>
      <c r="AT1409" s="12" t="str">
        <f>HYPERLINK("http://www.openstreetmap.org/?mlat=36.2273&amp;mlon=43.9966&amp;zoom=12#map=12/36.2273/43.9966","Maplink1")</f>
        <v>Maplink1</v>
      </c>
      <c r="AU1409" s="12" t="str">
        <f>HYPERLINK("https://www.google.iq/maps/search/+36.2273,43.9966/@36.2273,43.9966,14z?hl=en","Maplink2")</f>
        <v>Maplink2</v>
      </c>
      <c r="AV1409" s="12" t="str">
        <f>HYPERLINK("http://www.bing.com/maps/?lvl=14&amp;sty=h&amp;cp=36.2273~43.9966&amp;sp=point.36.2273_43.9966","Maplink3")</f>
        <v>Maplink3</v>
      </c>
    </row>
    <row r="1410" spans="1:48" ht="15" customHeight="1" x14ac:dyDescent="0.25">
      <c r="A1410" s="19">
        <v>27421</v>
      </c>
      <c r="B1410" s="20" t="s">
        <v>15</v>
      </c>
      <c r="C1410" s="20" t="s">
        <v>15</v>
      </c>
      <c r="D1410" s="20" t="s">
        <v>2653</v>
      </c>
      <c r="E1410" s="20" t="s">
        <v>2654</v>
      </c>
      <c r="F1410" s="20">
        <v>36.171587600000002</v>
      </c>
      <c r="G1410" s="20">
        <v>44.05424197</v>
      </c>
      <c r="H1410" s="22">
        <v>145</v>
      </c>
      <c r="I1410" s="22">
        <v>870</v>
      </c>
      <c r="J1410" s="21">
        <v>60</v>
      </c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>
        <v>75</v>
      </c>
      <c r="W1410" s="21"/>
      <c r="X1410" s="21">
        <v>10</v>
      </c>
      <c r="Y1410" s="21"/>
      <c r="Z1410" s="21"/>
      <c r="AA1410" s="21"/>
      <c r="AB1410" s="21"/>
      <c r="AC1410" s="21"/>
      <c r="AD1410" s="21"/>
      <c r="AE1410" s="21"/>
      <c r="AF1410" s="21"/>
      <c r="AG1410" s="21"/>
      <c r="AH1410" s="21">
        <v>145</v>
      </c>
      <c r="AI1410" s="21"/>
      <c r="AJ1410" s="21"/>
      <c r="AK1410" s="21"/>
      <c r="AL1410" s="21">
        <v>25</v>
      </c>
      <c r="AM1410" s="21">
        <v>65</v>
      </c>
      <c r="AN1410" s="21"/>
      <c r="AO1410" s="21"/>
      <c r="AP1410" s="21">
        <v>30</v>
      </c>
      <c r="AQ1410" s="21"/>
      <c r="AR1410" s="21">
        <v>20</v>
      </c>
      <c r="AS1410" s="21">
        <v>5</v>
      </c>
      <c r="AT1410" s="12" t="str">
        <f>HYPERLINK("http://www.openstreetmap.org/?mlat=36.1716&amp;mlon=44.0542&amp;zoom=12#map=12/36.1716/44.0542","Maplink1")</f>
        <v>Maplink1</v>
      </c>
      <c r="AU1410" s="12" t="str">
        <f>HYPERLINK("https://www.google.iq/maps/search/+36.1716,44.0542/@36.1716,44.0542,14z?hl=en","Maplink2")</f>
        <v>Maplink2</v>
      </c>
      <c r="AV1410" s="12" t="str">
        <f>HYPERLINK("http://www.bing.com/maps/?lvl=14&amp;sty=h&amp;cp=36.1716~44.0542&amp;sp=point.36.1716_44.0542","Maplink3")</f>
        <v>Maplink3</v>
      </c>
    </row>
    <row r="1411" spans="1:48" ht="15" customHeight="1" x14ac:dyDescent="0.25">
      <c r="A1411" s="19">
        <v>25840</v>
      </c>
      <c r="B1411" s="20" t="s">
        <v>15</v>
      </c>
      <c r="C1411" s="20" t="s">
        <v>15</v>
      </c>
      <c r="D1411" s="20" t="s">
        <v>2655</v>
      </c>
      <c r="E1411" s="20" t="s">
        <v>2656</v>
      </c>
      <c r="F1411" s="20">
        <v>36.208679799999999</v>
      </c>
      <c r="G1411" s="20">
        <v>44.15035675</v>
      </c>
      <c r="H1411" s="22">
        <v>15</v>
      </c>
      <c r="I1411" s="22">
        <v>90</v>
      </c>
      <c r="J1411" s="21">
        <v>13</v>
      </c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>
        <v>2</v>
      </c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21"/>
      <c r="AH1411" s="21">
        <v>15</v>
      </c>
      <c r="AI1411" s="21"/>
      <c r="AJ1411" s="21"/>
      <c r="AK1411" s="21"/>
      <c r="AL1411" s="21"/>
      <c r="AM1411" s="21"/>
      <c r="AN1411" s="21">
        <v>5</v>
      </c>
      <c r="AO1411" s="21"/>
      <c r="AP1411" s="21">
        <v>7</v>
      </c>
      <c r="AQ1411" s="21"/>
      <c r="AR1411" s="21"/>
      <c r="AS1411" s="21">
        <v>3</v>
      </c>
      <c r="AT1411" s="12" t="str">
        <f>HYPERLINK("http://www.openstreetmap.org/?mlat=36.2087&amp;mlon=44.1504&amp;zoom=12#map=12/36.2087/44.1504","Maplink1")</f>
        <v>Maplink1</v>
      </c>
      <c r="AU1411" s="12" t="str">
        <f>HYPERLINK("https://www.google.iq/maps/search/+36.2087,44.1504/@36.2087,44.1504,14z?hl=en","Maplink2")</f>
        <v>Maplink2</v>
      </c>
      <c r="AV1411" s="12" t="str">
        <f>HYPERLINK("http://www.bing.com/maps/?lvl=14&amp;sty=h&amp;cp=36.2087~44.1504&amp;sp=point.36.2087_44.1504","Maplink3")</f>
        <v>Maplink3</v>
      </c>
    </row>
    <row r="1412" spans="1:48" ht="15" customHeight="1" x14ac:dyDescent="0.25">
      <c r="A1412" s="19">
        <v>25630</v>
      </c>
      <c r="B1412" s="20" t="s">
        <v>15</v>
      </c>
      <c r="C1412" s="20" t="s">
        <v>15</v>
      </c>
      <c r="D1412" s="20" t="s">
        <v>2657</v>
      </c>
      <c r="E1412" s="20" t="s">
        <v>2658</v>
      </c>
      <c r="F1412" s="20">
        <v>35.97915759</v>
      </c>
      <c r="G1412" s="20">
        <v>44.038927919999999</v>
      </c>
      <c r="H1412" s="22">
        <v>377</v>
      </c>
      <c r="I1412" s="22">
        <v>2262</v>
      </c>
      <c r="J1412" s="21">
        <v>278</v>
      </c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>
        <v>85</v>
      </c>
      <c r="W1412" s="21"/>
      <c r="X1412" s="21">
        <v>14</v>
      </c>
      <c r="Y1412" s="21"/>
      <c r="Z1412" s="21"/>
      <c r="AA1412" s="21"/>
      <c r="AB1412" s="21"/>
      <c r="AC1412" s="21"/>
      <c r="AD1412" s="21"/>
      <c r="AE1412" s="21"/>
      <c r="AF1412" s="21"/>
      <c r="AG1412" s="21"/>
      <c r="AH1412" s="21">
        <v>377</v>
      </c>
      <c r="AI1412" s="21"/>
      <c r="AJ1412" s="21"/>
      <c r="AK1412" s="21"/>
      <c r="AL1412" s="21"/>
      <c r="AM1412" s="21">
        <v>24</v>
      </c>
      <c r="AN1412" s="21"/>
      <c r="AO1412" s="21"/>
      <c r="AP1412" s="21">
        <v>268</v>
      </c>
      <c r="AQ1412" s="21"/>
      <c r="AR1412" s="21">
        <v>75</v>
      </c>
      <c r="AS1412" s="21">
        <v>10</v>
      </c>
      <c r="AT1412" s="12" t="str">
        <f>HYPERLINK("http://www.openstreetmap.org/?mlat=35.9792&amp;mlon=44.0389&amp;zoom=12#map=12/35.9792/44.0389","Maplink1")</f>
        <v>Maplink1</v>
      </c>
      <c r="AU1412" s="12" t="str">
        <f>HYPERLINK("https://www.google.iq/maps/search/+35.9792,44.0389/@35.9792,44.0389,14z?hl=en","Maplink2")</f>
        <v>Maplink2</v>
      </c>
      <c r="AV1412" s="12" t="str">
        <f>HYPERLINK("http://www.bing.com/maps/?lvl=14&amp;sty=h&amp;cp=35.9792~44.0389&amp;sp=point.35.9792_44.0389","Maplink3")</f>
        <v>Maplink3</v>
      </c>
    </row>
    <row r="1413" spans="1:48" ht="15" customHeight="1" x14ac:dyDescent="0.25">
      <c r="A1413" s="19">
        <v>13472</v>
      </c>
      <c r="B1413" s="20" t="s">
        <v>15</v>
      </c>
      <c r="C1413" s="20" t="s">
        <v>15</v>
      </c>
      <c r="D1413" s="20" t="s">
        <v>6020</v>
      </c>
      <c r="E1413" s="20" t="s">
        <v>6021</v>
      </c>
      <c r="F1413" s="20">
        <v>36.345434689999998</v>
      </c>
      <c r="G1413" s="20">
        <v>43.792366850000001</v>
      </c>
      <c r="H1413" s="22">
        <v>200</v>
      </c>
      <c r="I1413" s="22">
        <v>1200</v>
      </c>
      <c r="J1413" s="21"/>
      <c r="K1413" s="21"/>
      <c r="L1413" s="21">
        <v>6</v>
      </c>
      <c r="M1413" s="21"/>
      <c r="N1413" s="21"/>
      <c r="O1413" s="21"/>
      <c r="P1413" s="21"/>
      <c r="Q1413" s="21"/>
      <c r="R1413" s="21">
        <v>10</v>
      </c>
      <c r="S1413" s="21"/>
      <c r="T1413" s="21"/>
      <c r="U1413" s="21"/>
      <c r="V1413" s="21">
        <v>64</v>
      </c>
      <c r="W1413" s="21"/>
      <c r="X1413" s="21">
        <v>120</v>
      </c>
      <c r="Y1413" s="21"/>
      <c r="Z1413" s="21"/>
      <c r="AA1413" s="21"/>
      <c r="AB1413" s="21"/>
      <c r="AC1413" s="21"/>
      <c r="AD1413" s="21"/>
      <c r="AE1413" s="21"/>
      <c r="AF1413" s="21"/>
      <c r="AG1413" s="21"/>
      <c r="AH1413" s="21">
        <v>200</v>
      </c>
      <c r="AI1413" s="21"/>
      <c r="AJ1413" s="21"/>
      <c r="AK1413" s="21"/>
      <c r="AL1413" s="21"/>
      <c r="AM1413" s="21">
        <v>170</v>
      </c>
      <c r="AN1413" s="21">
        <v>14</v>
      </c>
      <c r="AO1413" s="21">
        <v>6</v>
      </c>
      <c r="AP1413" s="21"/>
      <c r="AQ1413" s="21"/>
      <c r="AR1413" s="21"/>
      <c r="AS1413" s="21">
        <v>10</v>
      </c>
      <c r="AT1413" s="12" t="str">
        <f>HYPERLINK("http://www.openstreetmap.org/?mlat=36.3454&amp;mlon=43.7924&amp;zoom=12#map=12/36.3454/43.7924","Maplink1")</f>
        <v>Maplink1</v>
      </c>
      <c r="AU1413" s="12" t="str">
        <f>HYPERLINK("https://www.google.iq/maps/search/+36.3454,43.7924/@36.3454,43.7924,14z?hl=en","Maplink2")</f>
        <v>Maplink2</v>
      </c>
      <c r="AV1413" s="12" t="str">
        <f>HYPERLINK("http://www.bing.com/maps/?lvl=14&amp;sty=h&amp;cp=36.3454~43.7924&amp;sp=point.36.3454_43.7924","Maplink3")</f>
        <v>Maplink3</v>
      </c>
    </row>
    <row r="1414" spans="1:48" ht="15" customHeight="1" x14ac:dyDescent="0.25">
      <c r="A1414" s="19">
        <v>27227</v>
      </c>
      <c r="B1414" s="20" t="s">
        <v>15</v>
      </c>
      <c r="C1414" s="20" t="s">
        <v>15</v>
      </c>
      <c r="D1414" s="20" t="s">
        <v>2659</v>
      </c>
      <c r="E1414" s="20" t="s">
        <v>2660</v>
      </c>
      <c r="F1414" s="20">
        <v>36.184103780000001</v>
      </c>
      <c r="G1414" s="20">
        <v>44.035230900000002</v>
      </c>
      <c r="H1414" s="22">
        <v>45</v>
      </c>
      <c r="I1414" s="22">
        <v>270</v>
      </c>
      <c r="J1414" s="21">
        <v>15</v>
      </c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>
        <v>25</v>
      </c>
      <c r="W1414" s="21"/>
      <c r="X1414" s="21">
        <v>5</v>
      </c>
      <c r="Y1414" s="21"/>
      <c r="Z1414" s="21"/>
      <c r="AA1414" s="21"/>
      <c r="AB1414" s="21"/>
      <c r="AC1414" s="21"/>
      <c r="AD1414" s="21"/>
      <c r="AE1414" s="21"/>
      <c r="AF1414" s="21"/>
      <c r="AG1414" s="21"/>
      <c r="AH1414" s="21">
        <v>45</v>
      </c>
      <c r="AI1414" s="21"/>
      <c r="AJ1414" s="21"/>
      <c r="AK1414" s="21"/>
      <c r="AL1414" s="21"/>
      <c r="AM1414" s="21">
        <v>22</v>
      </c>
      <c r="AN1414" s="21">
        <v>3</v>
      </c>
      <c r="AO1414" s="21"/>
      <c r="AP1414" s="21">
        <v>15</v>
      </c>
      <c r="AQ1414" s="21"/>
      <c r="AR1414" s="21">
        <v>5</v>
      </c>
      <c r="AS1414" s="21"/>
      <c r="AT1414" s="12" t="str">
        <f>HYPERLINK("http://www.openstreetmap.org/?mlat=36.1841&amp;mlon=44.0352&amp;zoom=12#map=12/36.1841/44.0352","Maplink1")</f>
        <v>Maplink1</v>
      </c>
      <c r="AU1414" s="12" t="str">
        <f>HYPERLINK("https://www.google.iq/maps/search/+36.1841,44.0352/@36.1841,44.0352,14z?hl=en","Maplink2")</f>
        <v>Maplink2</v>
      </c>
      <c r="AV1414" s="12" t="str">
        <f>HYPERLINK("http://www.bing.com/maps/?lvl=14&amp;sty=h&amp;cp=36.1841~44.0352&amp;sp=point.36.1841_44.0352","Maplink3")</f>
        <v>Maplink3</v>
      </c>
    </row>
    <row r="1415" spans="1:48" ht="15" customHeight="1" x14ac:dyDescent="0.25">
      <c r="A1415" s="19">
        <v>12821</v>
      </c>
      <c r="B1415" s="20" t="s">
        <v>15</v>
      </c>
      <c r="C1415" s="20" t="s">
        <v>15</v>
      </c>
      <c r="D1415" s="20" t="s">
        <v>2659</v>
      </c>
      <c r="E1415" s="20" t="s">
        <v>2660</v>
      </c>
      <c r="F1415" s="20">
        <v>36.267899999999997</v>
      </c>
      <c r="G1415" s="20">
        <v>43.661299999999997</v>
      </c>
      <c r="H1415" s="22">
        <v>3670</v>
      </c>
      <c r="I1415" s="22">
        <v>22020</v>
      </c>
      <c r="J1415" s="21">
        <v>1073</v>
      </c>
      <c r="K1415" s="21"/>
      <c r="L1415" s="21">
        <v>27</v>
      </c>
      <c r="M1415" s="21"/>
      <c r="N1415" s="21"/>
      <c r="O1415" s="21"/>
      <c r="P1415" s="21"/>
      <c r="Q1415" s="21"/>
      <c r="R1415" s="21">
        <v>30</v>
      </c>
      <c r="S1415" s="21"/>
      <c r="T1415" s="21"/>
      <c r="U1415" s="21"/>
      <c r="V1415" s="21">
        <v>2540</v>
      </c>
      <c r="W1415" s="21"/>
      <c r="X1415" s="21"/>
      <c r="Y1415" s="21"/>
      <c r="Z1415" s="21"/>
      <c r="AA1415" s="21"/>
      <c r="AB1415" s="21"/>
      <c r="AC1415" s="21">
        <v>10</v>
      </c>
      <c r="AD1415" s="21"/>
      <c r="AE1415" s="21"/>
      <c r="AF1415" s="21"/>
      <c r="AG1415" s="21"/>
      <c r="AH1415" s="21">
        <v>3660</v>
      </c>
      <c r="AI1415" s="21"/>
      <c r="AJ1415" s="21"/>
      <c r="AK1415" s="21"/>
      <c r="AL1415" s="21">
        <v>484</v>
      </c>
      <c r="AM1415" s="21">
        <v>1773</v>
      </c>
      <c r="AN1415" s="21">
        <v>490</v>
      </c>
      <c r="AO1415" s="21">
        <v>27</v>
      </c>
      <c r="AP1415" s="21">
        <v>570</v>
      </c>
      <c r="AQ1415" s="21">
        <v>5</v>
      </c>
      <c r="AR1415" s="21">
        <v>285</v>
      </c>
      <c r="AS1415" s="21">
        <v>36</v>
      </c>
      <c r="AT1415" s="12" t="str">
        <f>HYPERLINK("http://www.openstreetmap.org/?mlat=36.2679&amp;mlon=43.6613&amp;zoom=12#map=12/36.2679/43.6613","Maplink1")</f>
        <v>Maplink1</v>
      </c>
      <c r="AU1415" s="12" t="str">
        <f>HYPERLINK("https://www.google.iq/maps/search/+36.2679,43.6613/@36.2679,43.6613,14z?hl=en","Maplink2")</f>
        <v>Maplink2</v>
      </c>
      <c r="AV1415" s="12" t="str">
        <f>HYPERLINK("http://www.bing.com/maps/?lvl=14&amp;sty=h&amp;cp=36.2679~43.6613&amp;sp=point.36.2679_43.6613","Maplink3")</f>
        <v>Maplink3</v>
      </c>
    </row>
    <row r="1416" spans="1:48" ht="15" customHeight="1" x14ac:dyDescent="0.25">
      <c r="A1416" s="19">
        <v>21549</v>
      </c>
      <c r="B1416" s="20" t="s">
        <v>15</v>
      </c>
      <c r="C1416" s="20" t="s">
        <v>15</v>
      </c>
      <c r="D1416" s="20" t="s">
        <v>2661</v>
      </c>
      <c r="E1416" s="20" t="s">
        <v>2662</v>
      </c>
      <c r="F1416" s="20">
        <v>36.205614019999999</v>
      </c>
      <c r="G1416" s="20">
        <v>44.141389740000001</v>
      </c>
      <c r="H1416" s="22">
        <v>90</v>
      </c>
      <c r="I1416" s="22">
        <v>540</v>
      </c>
      <c r="J1416" s="21">
        <v>55</v>
      </c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>
        <v>20</v>
      </c>
      <c r="W1416" s="21"/>
      <c r="X1416" s="21">
        <v>15</v>
      </c>
      <c r="Y1416" s="21"/>
      <c r="Z1416" s="21"/>
      <c r="AA1416" s="21"/>
      <c r="AB1416" s="21"/>
      <c r="AC1416" s="21"/>
      <c r="AD1416" s="21"/>
      <c r="AE1416" s="21"/>
      <c r="AF1416" s="21"/>
      <c r="AG1416" s="21"/>
      <c r="AH1416" s="21">
        <v>90</v>
      </c>
      <c r="AI1416" s="21"/>
      <c r="AJ1416" s="21"/>
      <c r="AK1416" s="21"/>
      <c r="AL1416" s="21">
        <v>40</v>
      </c>
      <c r="AM1416" s="21">
        <v>25</v>
      </c>
      <c r="AN1416" s="21"/>
      <c r="AO1416" s="21"/>
      <c r="AP1416" s="21">
        <v>15</v>
      </c>
      <c r="AQ1416" s="21"/>
      <c r="AR1416" s="21">
        <v>10</v>
      </c>
      <c r="AS1416" s="21"/>
      <c r="AT1416" s="12" t="str">
        <f>HYPERLINK("http://www.openstreetmap.org/?mlat=36.2056&amp;mlon=44.1414&amp;zoom=12#map=12/36.2056/44.1414","Maplink1")</f>
        <v>Maplink1</v>
      </c>
      <c r="AU1416" s="12" t="str">
        <f>HYPERLINK("https://www.google.iq/maps/search/+36.2056,44.1414/@36.2056,44.1414,14z?hl=en","Maplink2")</f>
        <v>Maplink2</v>
      </c>
      <c r="AV1416" s="12" t="str">
        <f>HYPERLINK("http://www.bing.com/maps/?lvl=14&amp;sty=h&amp;cp=36.2056~44.1414&amp;sp=point.36.2056_44.1414","Maplink3")</f>
        <v>Maplink3</v>
      </c>
    </row>
    <row r="1417" spans="1:48" ht="15" customHeight="1" x14ac:dyDescent="0.25">
      <c r="A1417" s="19">
        <v>33470</v>
      </c>
      <c r="B1417" s="20" t="s">
        <v>15</v>
      </c>
      <c r="C1417" s="20" t="s">
        <v>15</v>
      </c>
      <c r="D1417" s="20" t="s">
        <v>6008</v>
      </c>
      <c r="E1417" s="20" t="s">
        <v>6009</v>
      </c>
      <c r="F1417" s="20">
        <v>36.281500000000001</v>
      </c>
      <c r="G1417" s="20">
        <v>44.018799999999999</v>
      </c>
      <c r="H1417" s="22">
        <v>45</v>
      </c>
      <c r="I1417" s="22">
        <v>270</v>
      </c>
      <c r="J1417" s="21">
        <v>10</v>
      </c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>
        <v>30</v>
      </c>
      <c r="W1417" s="21"/>
      <c r="X1417" s="21">
        <v>5</v>
      </c>
      <c r="Y1417" s="21"/>
      <c r="Z1417" s="21"/>
      <c r="AA1417" s="21"/>
      <c r="AB1417" s="21"/>
      <c r="AC1417" s="21"/>
      <c r="AD1417" s="21"/>
      <c r="AE1417" s="21"/>
      <c r="AF1417" s="21"/>
      <c r="AG1417" s="21"/>
      <c r="AH1417" s="21">
        <v>45</v>
      </c>
      <c r="AI1417" s="21"/>
      <c r="AJ1417" s="21"/>
      <c r="AK1417" s="21"/>
      <c r="AL1417" s="21">
        <v>3</v>
      </c>
      <c r="AM1417" s="21">
        <v>8</v>
      </c>
      <c r="AN1417" s="21"/>
      <c r="AO1417" s="21"/>
      <c r="AP1417" s="21">
        <v>8</v>
      </c>
      <c r="AQ1417" s="21"/>
      <c r="AR1417" s="21">
        <v>22</v>
      </c>
      <c r="AS1417" s="21">
        <v>4</v>
      </c>
      <c r="AT1417" s="12" t="str">
        <f>HYPERLINK("http://www.openstreetmap.org/?mlat=36.2815&amp;mlon=44.0188&amp;zoom=12#map=12/36.2815/44.0188","Maplink1")</f>
        <v>Maplink1</v>
      </c>
      <c r="AU1417" s="12" t="str">
        <f>HYPERLINK("https://www.google.iq/maps/search/+36.2815,44.0188/@36.2815,44.0188,14z?hl=en","Maplink2")</f>
        <v>Maplink2</v>
      </c>
      <c r="AV1417" s="12" t="str">
        <f>HYPERLINK("http://www.bing.com/maps/?lvl=14&amp;sty=h&amp;cp=36.2815~44.0188&amp;sp=point.36.2815_44.0188","Maplink3")</f>
        <v>Maplink3</v>
      </c>
    </row>
    <row r="1418" spans="1:48" ht="15" customHeight="1" x14ac:dyDescent="0.25">
      <c r="A1418" s="19">
        <v>21671</v>
      </c>
      <c r="B1418" s="20" t="s">
        <v>15</v>
      </c>
      <c r="C1418" s="20" t="s">
        <v>15</v>
      </c>
      <c r="D1418" s="20" t="s">
        <v>2663</v>
      </c>
      <c r="E1418" s="20" t="s">
        <v>2664</v>
      </c>
      <c r="F1418" s="20">
        <v>36.124529590000002</v>
      </c>
      <c r="G1418" s="20">
        <v>44.054302249999999</v>
      </c>
      <c r="H1418" s="22">
        <v>145</v>
      </c>
      <c r="I1418" s="22">
        <v>870</v>
      </c>
      <c r="J1418" s="21">
        <v>88</v>
      </c>
      <c r="K1418" s="21"/>
      <c r="L1418" s="21"/>
      <c r="M1418" s="21"/>
      <c r="N1418" s="21"/>
      <c r="O1418" s="21"/>
      <c r="P1418" s="21"/>
      <c r="Q1418" s="21"/>
      <c r="R1418" s="21">
        <v>15</v>
      </c>
      <c r="S1418" s="21"/>
      <c r="T1418" s="21"/>
      <c r="U1418" s="21"/>
      <c r="V1418" s="21">
        <v>42</v>
      </c>
      <c r="W1418" s="21"/>
      <c r="X1418" s="21"/>
      <c r="Y1418" s="21"/>
      <c r="Z1418" s="21"/>
      <c r="AA1418" s="21"/>
      <c r="AB1418" s="21"/>
      <c r="AC1418" s="21">
        <v>10</v>
      </c>
      <c r="AD1418" s="21"/>
      <c r="AE1418" s="21"/>
      <c r="AF1418" s="21"/>
      <c r="AG1418" s="21"/>
      <c r="AH1418" s="21">
        <v>135</v>
      </c>
      <c r="AI1418" s="21"/>
      <c r="AJ1418" s="21"/>
      <c r="AK1418" s="21"/>
      <c r="AL1418" s="21">
        <v>62</v>
      </c>
      <c r="AM1418" s="21">
        <v>15</v>
      </c>
      <c r="AN1418" s="21">
        <v>21</v>
      </c>
      <c r="AO1418" s="21"/>
      <c r="AP1418" s="21">
        <v>26</v>
      </c>
      <c r="AQ1418" s="21"/>
      <c r="AR1418" s="21">
        <v>6</v>
      </c>
      <c r="AS1418" s="21">
        <v>15</v>
      </c>
      <c r="AT1418" s="12" t="str">
        <f>HYPERLINK("http://www.openstreetmap.org/?mlat=36.1245&amp;mlon=44.0543&amp;zoom=12#map=12/36.1245/44.0543","Maplink1")</f>
        <v>Maplink1</v>
      </c>
      <c r="AU1418" s="12" t="str">
        <f>HYPERLINK("https://www.google.iq/maps/search/+36.1245,44.0543/@36.1245,44.0543,14z?hl=en","Maplink2")</f>
        <v>Maplink2</v>
      </c>
      <c r="AV1418" s="12" t="str">
        <f>HYPERLINK("http://www.bing.com/maps/?lvl=14&amp;sty=h&amp;cp=36.1245~44.0543&amp;sp=point.36.1245_44.0543","Maplink3")</f>
        <v>Maplink3</v>
      </c>
    </row>
    <row r="1419" spans="1:48" ht="15" customHeight="1" x14ac:dyDescent="0.25">
      <c r="A1419" s="19">
        <v>32052</v>
      </c>
      <c r="B1419" s="20" t="s">
        <v>15</v>
      </c>
      <c r="C1419" s="20" t="s">
        <v>15</v>
      </c>
      <c r="D1419" s="20" t="s">
        <v>2665</v>
      </c>
      <c r="E1419" s="20" t="s">
        <v>2666</v>
      </c>
      <c r="F1419" s="20">
        <v>36.221299999999999</v>
      </c>
      <c r="G1419" s="20">
        <v>44.146099999999997</v>
      </c>
      <c r="H1419" s="22">
        <v>315</v>
      </c>
      <c r="I1419" s="22">
        <v>1890</v>
      </c>
      <c r="J1419" s="21">
        <v>85</v>
      </c>
      <c r="K1419" s="21"/>
      <c r="L1419" s="21"/>
      <c r="M1419" s="21"/>
      <c r="N1419" s="21"/>
      <c r="O1419" s="21"/>
      <c r="P1419" s="21"/>
      <c r="Q1419" s="21"/>
      <c r="R1419" s="21">
        <v>150</v>
      </c>
      <c r="S1419" s="21"/>
      <c r="T1419" s="21"/>
      <c r="U1419" s="21"/>
      <c r="V1419" s="21">
        <v>70</v>
      </c>
      <c r="W1419" s="21"/>
      <c r="X1419" s="21">
        <v>10</v>
      </c>
      <c r="Y1419" s="21"/>
      <c r="Z1419" s="21"/>
      <c r="AA1419" s="21"/>
      <c r="AB1419" s="21"/>
      <c r="AC1419" s="21">
        <v>10</v>
      </c>
      <c r="AD1419" s="21"/>
      <c r="AE1419" s="21"/>
      <c r="AF1419" s="21"/>
      <c r="AG1419" s="21"/>
      <c r="AH1419" s="21">
        <v>305</v>
      </c>
      <c r="AI1419" s="21"/>
      <c r="AJ1419" s="21"/>
      <c r="AK1419" s="21"/>
      <c r="AL1419" s="21">
        <v>20</v>
      </c>
      <c r="AM1419" s="21">
        <v>32</v>
      </c>
      <c r="AN1419" s="21">
        <v>5</v>
      </c>
      <c r="AO1419" s="21"/>
      <c r="AP1419" s="21">
        <v>55</v>
      </c>
      <c r="AQ1419" s="21"/>
      <c r="AR1419" s="21">
        <v>43</v>
      </c>
      <c r="AS1419" s="21">
        <v>160</v>
      </c>
      <c r="AT1419" s="12" t="str">
        <f>HYPERLINK("http://www.openstreetmap.org/?mlat=36.2213&amp;mlon=44.1461&amp;zoom=12#map=12/36.2213/44.1461","Maplink1")</f>
        <v>Maplink1</v>
      </c>
      <c r="AU1419" s="12" t="str">
        <f>HYPERLINK("https://www.google.iq/maps/search/+36.2213,44.1461/@36.2213,44.1461,14z?hl=en","Maplink2")</f>
        <v>Maplink2</v>
      </c>
      <c r="AV1419" s="12" t="str">
        <f>HYPERLINK("http://www.bing.com/maps/?lvl=14&amp;sty=h&amp;cp=36.2213~44.1461&amp;sp=point.36.2213_44.1461","Maplink3")</f>
        <v>Maplink3</v>
      </c>
    </row>
    <row r="1420" spans="1:48" ht="15" customHeight="1" x14ac:dyDescent="0.25">
      <c r="A1420" s="19">
        <v>23931</v>
      </c>
      <c r="B1420" s="20" t="s">
        <v>15</v>
      </c>
      <c r="C1420" s="20" t="s">
        <v>15</v>
      </c>
      <c r="D1420" s="20" t="s">
        <v>2667</v>
      </c>
      <c r="E1420" s="20" t="s">
        <v>2668</v>
      </c>
      <c r="F1420" s="20">
        <v>36.186136980000001</v>
      </c>
      <c r="G1420" s="20">
        <v>44.123479529999997</v>
      </c>
      <c r="H1420" s="22">
        <v>100</v>
      </c>
      <c r="I1420" s="22">
        <v>600</v>
      </c>
      <c r="J1420" s="21">
        <v>25</v>
      </c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>
        <v>70</v>
      </c>
      <c r="W1420" s="21"/>
      <c r="X1420" s="21">
        <v>5</v>
      </c>
      <c r="Y1420" s="21"/>
      <c r="Z1420" s="21"/>
      <c r="AA1420" s="21"/>
      <c r="AB1420" s="21"/>
      <c r="AC1420" s="21"/>
      <c r="AD1420" s="21"/>
      <c r="AE1420" s="21"/>
      <c r="AF1420" s="21"/>
      <c r="AG1420" s="21"/>
      <c r="AH1420" s="21">
        <v>100</v>
      </c>
      <c r="AI1420" s="21"/>
      <c r="AJ1420" s="21"/>
      <c r="AK1420" s="21"/>
      <c r="AL1420" s="21">
        <v>10</v>
      </c>
      <c r="AM1420" s="21">
        <v>20</v>
      </c>
      <c r="AN1420" s="21">
        <v>5</v>
      </c>
      <c r="AO1420" s="21"/>
      <c r="AP1420" s="21">
        <v>5</v>
      </c>
      <c r="AQ1420" s="21"/>
      <c r="AR1420" s="21">
        <v>50</v>
      </c>
      <c r="AS1420" s="21">
        <v>10</v>
      </c>
      <c r="AT1420" s="12" t="str">
        <f>HYPERLINK("http://www.openstreetmap.org/?mlat=36.1861&amp;mlon=44.1235&amp;zoom=12#map=12/36.1861/44.1235","Maplink1")</f>
        <v>Maplink1</v>
      </c>
      <c r="AU1420" s="12" t="str">
        <f>HYPERLINK("https://www.google.iq/maps/search/+36.1861,44.1235/@36.1861,44.1235,14z?hl=en","Maplink2")</f>
        <v>Maplink2</v>
      </c>
      <c r="AV1420" s="12" t="str">
        <f>HYPERLINK("http://www.bing.com/maps/?lvl=14&amp;sty=h&amp;cp=36.1861~44.1235&amp;sp=point.36.1861_44.1235","Maplink3")</f>
        <v>Maplink3</v>
      </c>
    </row>
    <row r="1421" spans="1:48" ht="15" customHeight="1" x14ac:dyDescent="0.25">
      <c r="A1421" s="19">
        <v>27136</v>
      </c>
      <c r="B1421" s="20" t="s">
        <v>15</v>
      </c>
      <c r="C1421" s="20" t="s">
        <v>15</v>
      </c>
      <c r="D1421" s="20" t="s">
        <v>2669</v>
      </c>
      <c r="E1421" s="20" t="s">
        <v>2670</v>
      </c>
      <c r="F1421" s="20">
        <v>36.261699999999998</v>
      </c>
      <c r="G1421" s="20">
        <v>44.011000000000003</v>
      </c>
      <c r="H1421" s="22">
        <v>18</v>
      </c>
      <c r="I1421" s="22">
        <v>108</v>
      </c>
      <c r="J1421" s="21">
        <v>8</v>
      </c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>
        <v>10</v>
      </c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21"/>
      <c r="AH1421" s="21">
        <v>18</v>
      </c>
      <c r="AI1421" s="21"/>
      <c r="AJ1421" s="21"/>
      <c r="AK1421" s="21"/>
      <c r="AL1421" s="21"/>
      <c r="AM1421" s="21">
        <v>5</v>
      </c>
      <c r="AN1421" s="21"/>
      <c r="AO1421" s="21"/>
      <c r="AP1421" s="21">
        <v>6</v>
      </c>
      <c r="AQ1421" s="21">
        <v>2</v>
      </c>
      <c r="AR1421" s="21">
        <v>5</v>
      </c>
      <c r="AS1421" s="21"/>
      <c r="AT1421" s="12" t="str">
        <f>HYPERLINK("http://www.openstreetmap.org/?mlat=36.2617&amp;mlon=44.011&amp;zoom=12#map=12/36.2617/44.011","Maplink1")</f>
        <v>Maplink1</v>
      </c>
      <c r="AU1421" s="12" t="str">
        <f>HYPERLINK("https://www.google.iq/maps/search/+36.2617,44.011/@36.2617,44.011,14z?hl=en","Maplink2")</f>
        <v>Maplink2</v>
      </c>
      <c r="AV1421" s="12" t="str">
        <f>HYPERLINK("http://www.bing.com/maps/?lvl=14&amp;sty=h&amp;cp=36.2617~44.011&amp;sp=point.36.2617_44.011","Maplink3")</f>
        <v>Maplink3</v>
      </c>
    </row>
    <row r="1422" spans="1:48" ht="15" customHeight="1" x14ac:dyDescent="0.25">
      <c r="A1422" s="19">
        <v>12825</v>
      </c>
      <c r="B1422" s="20" t="s">
        <v>15</v>
      </c>
      <c r="C1422" s="20" t="s">
        <v>15</v>
      </c>
      <c r="D1422" s="20" t="s">
        <v>2671</v>
      </c>
      <c r="E1422" s="20" t="s">
        <v>2672</v>
      </c>
      <c r="F1422" s="20">
        <v>36.30014912</v>
      </c>
      <c r="G1422" s="20">
        <v>44.135655559999996</v>
      </c>
      <c r="H1422" s="22">
        <v>165</v>
      </c>
      <c r="I1422" s="22">
        <v>990</v>
      </c>
      <c r="J1422" s="21">
        <v>40</v>
      </c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>
        <v>75</v>
      </c>
      <c r="W1422" s="21"/>
      <c r="X1422" s="21">
        <v>50</v>
      </c>
      <c r="Y1422" s="21"/>
      <c r="Z1422" s="21"/>
      <c r="AA1422" s="21"/>
      <c r="AB1422" s="21"/>
      <c r="AC1422" s="21"/>
      <c r="AD1422" s="21"/>
      <c r="AE1422" s="21"/>
      <c r="AF1422" s="21"/>
      <c r="AG1422" s="21"/>
      <c r="AH1422" s="21">
        <v>165</v>
      </c>
      <c r="AI1422" s="21"/>
      <c r="AJ1422" s="21"/>
      <c r="AK1422" s="21"/>
      <c r="AL1422" s="21">
        <v>7</v>
      </c>
      <c r="AM1422" s="21">
        <v>55</v>
      </c>
      <c r="AN1422" s="21">
        <v>17</v>
      </c>
      <c r="AO1422" s="21"/>
      <c r="AP1422" s="21">
        <v>15</v>
      </c>
      <c r="AQ1422" s="21">
        <v>5</v>
      </c>
      <c r="AR1422" s="21">
        <v>50</v>
      </c>
      <c r="AS1422" s="21">
        <v>16</v>
      </c>
      <c r="AT1422" s="12" t="str">
        <f>HYPERLINK("http://www.openstreetmap.org/?mlat=36.3001&amp;mlon=44.1357&amp;zoom=12#map=12/36.3001/44.1357","Maplink1")</f>
        <v>Maplink1</v>
      </c>
      <c r="AU1422" s="12" t="str">
        <f>HYPERLINK("https://www.google.iq/maps/search/+36.3001,44.1357/@36.3001,44.1357,14z?hl=en","Maplink2")</f>
        <v>Maplink2</v>
      </c>
      <c r="AV1422" s="12" t="str">
        <f>HYPERLINK("http://www.bing.com/maps/?lvl=14&amp;sty=h&amp;cp=36.3001~44.1357&amp;sp=point.36.3001_44.1357","Maplink3")</f>
        <v>Maplink3</v>
      </c>
    </row>
    <row r="1423" spans="1:48" ht="15" customHeight="1" x14ac:dyDescent="0.25">
      <c r="A1423" s="19">
        <v>21247</v>
      </c>
      <c r="B1423" s="20" t="s">
        <v>15</v>
      </c>
      <c r="C1423" s="20" t="s">
        <v>15</v>
      </c>
      <c r="D1423" s="20" t="s">
        <v>2673</v>
      </c>
      <c r="E1423" s="20" t="s">
        <v>2554</v>
      </c>
      <c r="F1423" s="20">
        <v>36.149308740000002</v>
      </c>
      <c r="G1423" s="20">
        <v>44.034713719999999</v>
      </c>
      <c r="H1423" s="22">
        <v>330</v>
      </c>
      <c r="I1423" s="22">
        <v>1980</v>
      </c>
      <c r="J1423" s="21">
        <v>155</v>
      </c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>
        <v>90</v>
      </c>
      <c r="W1423" s="21"/>
      <c r="X1423" s="21">
        <v>85</v>
      </c>
      <c r="Y1423" s="21"/>
      <c r="Z1423" s="21"/>
      <c r="AA1423" s="21"/>
      <c r="AB1423" s="21"/>
      <c r="AC1423" s="21"/>
      <c r="AD1423" s="21"/>
      <c r="AE1423" s="21"/>
      <c r="AF1423" s="21"/>
      <c r="AG1423" s="21"/>
      <c r="AH1423" s="21">
        <v>330</v>
      </c>
      <c r="AI1423" s="21"/>
      <c r="AJ1423" s="21"/>
      <c r="AK1423" s="21"/>
      <c r="AL1423" s="21">
        <v>90</v>
      </c>
      <c r="AM1423" s="21">
        <v>155</v>
      </c>
      <c r="AN1423" s="21"/>
      <c r="AO1423" s="21"/>
      <c r="AP1423" s="21">
        <v>55</v>
      </c>
      <c r="AQ1423" s="21"/>
      <c r="AR1423" s="21">
        <v>20</v>
      </c>
      <c r="AS1423" s="21">
        <v>10</v>
      </c>
      <c r="AT1423" s="12" t="str">
        <f>HYPERLINK("http://www.openstreetmap.org/?mlat=36.1493&amp;mlon=44.0347&amp;zoom=12#map=12/36.1493/44.0347","Maplink1")</f>
        <v>Maplink1</v>
      </c>
      <c r="AU1423" s="12" t="str">
        <f>HYPERLINK("https://www.google.iq/maps/search/+36.1493,44.0347/@36.1493,44.0347,14z?hl=en","Maplink2")</f>
        <v>Maplink2</v>
      </c>
      <c r="AV1423" s="12" t="str">
        <f>HYPERLINK("http://www.bing.com/maps/?lvl=14&amp;sty=h&amp;cp=36.1493~44.0347&amp;sp=point.36.1493_44.0347","Maplink3")</f>
        <v>Maplink3</v>
      </c>
    </row>
    <row r="1424" spans="1:48" ht="15" customHeight="1" x14ac:dyDescent="0.25">
      <c r="A1424" s="19">
        <v>12826</v>
      </c>
      <c r="B1424" s="20" t="s">
        <v>15</v>
      </c>
      <c r="C1424" s="20" t="s">
        <v>15</v>
      </c>
      <c r="D1424" s="20" t="s">
        <v>2674</v>
      </c>
      <c r="E1424" s="20" t="s">
        <v>2675</v>
      </c>
      <c r="F1424" s="20">
        <v>36.119092369999997</v>
      </c>
      <c r="G1424" s="20">
        <v>43.968822320000001</v>
      </c>
      <c r="H1424" s="22">
        <v>1500</v>
      </c>
      <c r="I1424" s="22">
        <v>9000</v>
      </c>
      <c r="J1424" s="21">
        <v>601</v>
      </c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>
        <v>792</v>
      </c>
      <c r="W1424" s="21"/>
      <c r="X1424" s="21">
        <v>107</v>
      </c>
      <c r="Y1424" s="21"/>
      <c r="Z1424" s="21"/>
      <c r="AA1424" s="21"/>
      <c r="AB1424" s="21"/>
      <c r="AC1424" s="21"/>
      <c r="AD1424" s="21"/>
      <c r="AE1424" s="21"/>
      <c r="AF1424" s="21"/>
      <c r="AG1424" s="21"/>
      <c r="AH1424" s="21">
        <v>1500</v>
      </c>
      <c r="AI1424" s="21"/>
      <c r="AJ1424" s="21"/>
      <c r="AK1424" s="21"/>
      <c r="AL1424" s="21">
        <v>205</v>
      </c>
      <c r="AM1424" s="21">
        <v>792</v>
      </c>
      <c r="AN1424" s="21">
        <v>107</v>
      </c>
      <c r="AO1424" s="21"/>
      <c r="AP1424" s="21">
        <v>219</v>
      </c>
      <c r="AQ1424" s="21">
        <v>75</v>
      </c>
      <c r="AR1424" s="21">
        <v>30</v>
      </c>
      <c r="AS1424" s="21">
        <v>72</v>
      </c>
      <c r="AT1424" s="12" t="str">
        <f>HYPERLINK("http://www.openstreetmap.org/?mlat=36.1191&amp;mlon=43.9688&amp;zoom=12#map=12/36.1191/43.9688","Maplink1")</f>
        <v>Maplink1</v>
      </c>
      <c r="AU1424" s="12" t="str">
        <f>HYPERLINK("https://www.google.iq/maps/search/+36.1191,43.9688/@36.1191,43.9688,14z?hl=en","Maplink2")</f>
        <v>Maplink2</v>
      </c>
      <c r="AV1424" s="12" t="str">
        <f>HYPERLINK("http://www.bing.com/maps/?lvl=14&amp;sty=h&amp;cp=36.1191~43.9688&amp;sp=point.36.1191_43.9688","Maplink3")</f>
        <v>Maplink3</v>
      </c>
    </row>
    <row r="1425" spans="1:48" ht="15" customHeight="1" x14ac:dyDescent="0.25">
      <c r="A1425" s="19">
        <v>11832</v>
      </c>
      <c r="B1425" s="20" t="s">
        <v>15</v>
      </c>
      <c r="C1425" s="20" t="s">
        <v>15</v>
      </c>
      <c r="D1425" s="20" t="s">
        <v>2676</v>
      </c>
      <c r="E1425" s="20" t="s">
        <v>2677</v>
      </c>
      <c r="F1425" s="20">
        <v>36.187630370000001</v>
      </c>
      <c r="G1425" s="20">
        <v>44.001488729999998</v>
      </c>
      <c r="H1425" s="22">
        <v>73</v>
      </c>
      <c r="I1425" s="22">
        <v>438</v>
      </c>
      <c r="J1425" s="21">
        <v>15</v>
      </c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>
        <v>48</v>
      </c>
      <c r="W1425" s="21"/>
      <c r="X1425" s="21">
        <v>10</v>
      </c>
      <c r="Y1425" s="21"/>
      <c r="Z1425" s="21"/>
      <c r="AA1425" s="21"/>
      <c r="AB1425" s="21"/>
      <c r="AC1425" s="21"/>
      <c r="AD1425" s="21"/>
      <c r="AE1425" s="21"/>
      <c r="AF1425" s="21"/>
      <c r="AG1425" s="21"/>
      <c r="AH1425" s="21">
        <v>73</v>
      </c>
      <c r="AI1425" s="21"/>
      <c r="AJ1425" s="21"/>
      <c r="AK1425" s="21"/>
      <c r="AL1425" s="21">
        <v>7</v>
      </c>
      <c r="AM1425" s="21">
        <v>16</v>
      </c>
      <c r="AN1425" s="21">
        <v>3</v>
      </c>
      <c r="AO1425" s="21"/>
      <c r="AP1425" s="21">
        <v>8</v>
      </c>
      <c r="AQ1425" s="21">
        <v>1</v>
      </c>
      <c r="AR1425" s="21">
        <v>38</v>
      </c>
      <c r="AS1425" s="21"/>
      <c r="AT1425" s="12" t="str">
        <f>HYPERLINK("http://www.openstreetmap.org/?mlat=36.1876&amp;mlon=44.0015&amp;zoom=12#map=12/36.1876/44.0015","Maplink1")</f>
        <v>Maplink1</v>
      </c>
      <c r="AU1425" s="12" t="str">
        <f>HYPERLINK("https://www.google.iq/maps/search/+36.1876,44.0015/@36.1876,44.0015,14z?hl=en","Maplink2")</f>
        <v>Maplink2</v>
      </c>
      <c r="AV1425" s="12" t="str">
        <f>HYPERLINK("http://www.bing.com/maps/?lvl=14&amp;sty=h&amp;cp=36.1876~44.0015&amp;sp=point.36.1876_44.0015","Maplink3")</f>
        <v>Maplink3</v>
      </c>
    </row>
    <row r="1426" spans="1:48" ht="15" customHeight="1" x14ac:dyDescent="0.25">
      <c r="A1426" s="19">
        <v>27420</v>
      </c>
      <c r="B1426" s="20" t="s">
        <v>15</v>
      </c>
      <c r="C1426" s="20" t="s">
        <v>15</v>
      </c>
      <c r="D1426" s="20" t="s">
        <v>2678</v>
      </c>
      <c r="E1426" s="20" t="s">
        <v>2679</v>
      </c>
      <c r="F1426" s="20">
        <v>36.170933490000003</v>
      </c>
      <c r="G1426" s="20">
        <v>44.058997419999997</v>
      </c>
      <c r="H1426" s="22">
        <v>110</v>
      </c>
      <c r="I1426" s="22">
        <v>660</v>
      </c>
      <c r="J1426" s="21">
        <v>22</v>
      </c>
      <c r="K1426" s="21"/>
      <c r="L1426" s="21">
        <v>8</v>
      </c>
      <c r="M1426" s="21"/>
      <c r="N1426" s="21"/>
      <c r="O1426" s="21"/>
      <c r="P1426" s="21"/>
      <c r="Q1426" s="21"/>
      <c r="R1426" s="21">
        <v>5</v>
      </c>
      <c r="S1426" s="21"/>
      <c r="T1426" s="21"/>
      <c r="U1426" s="21"/>
      <c r="V1426" s="21">
        <v>30</v>
      </c>
      <c r="W1426" s="21"/>
      <c r="X1426" s="21">
        <v>45</v>
      </c>
      <c r="Y1426" s="21"/>
      <c r="Z1426" s="21"/>
      <c r="AA1426" s="21"/>
      <c r="AB1426" s="21"/>
      <c r="AC1426" s="21"/>
      <c r="AD1426" s="21"/>
      <c r="AE1426" s="21"/>
      <c r="AF1426" s="21"/>
      <c r="AG1426" s="21"/>
      <c r="AH1426" s="21">
        <v>110</v>
      </c>
      <c r="AI1426" s="21"/>
      <c r="AJ1426" s="21"/>
      <c r="AK1426" s="21"/>
      <c r="AL1426" s="21">
        <v>7</v>
      </c>
      <c r="AM1426" s="21">
        <v>50</v>
      </c>
      <c r="AN1426" s="21">
        <v>5</v>
      </c>
      <c r="AO1426" s="21">
        <v>8</v>
      </c>
      <c r="AP1426" s="21">
        <v>15</v>
      </c>
      <c r="AQ1426" s="21">
        <v>15</v>
      </c>
      <c r="AR1426" s="21">
        <v>5</v>
      </c>
      <c r="AS1426" s="21">
        <v>5</v>
      </c>
      <c r="AT1426" s="12" t="str">
        <f>HYPERLINK("http://www.openstreetmap.org/?mlat=36.1709&amp;mlon=44.059&amp;zoom=12#map=12/36.1709/44.059","Maplink1")</f>
        <v>Maplink1</v>
      </c>
      <c r="AU1426" s="12" t="str">
        <f>HYPERLINK("https://www.google.iq/maps/search/+36.1709,44.059/@36.1709,44.059,14z?hl=en","Maplink2")</f>
        <v>Maplink2</v>
      </c>
      <c r="AV1426" s="12" t="str">
        <f>HYPERLINK("http://www.bing.com/maps/?lvl=14&amp;sty=h&amp;cp=36.1709~44.059&amp;sp=point.36.1709_44.059","Maplink3")</f>
        <v>Maplink3</v>
      </c>
    </row>
    <row r="1427" spans="1:48" ht="15" customHeight="1" x14ac:dyDescent="0.25">
      <c r="A1427" s="19">
        <v>20986</v>
      </c>
      <c r="B1427" s="20" t="s">
        <v>15</v>
      </c>
      <c r="C1427" s="20" t="s">
        <v>15</v>
      </c>
      <c r="D1427" s="20" t="s">
        <v>2680</v>
      </c>
      <c r="E1427" s="20" t="s">
        <v>2681</v>
      </c>
      <c r="F1427" s="20">
        <v>36.235319250000003</v>
      </c>
      <c r="G1427" s="20">
        <v>43.987445600000001</v>
      </c>
      <c r="H1427" s="22">
        <v>224</v>
      </c>
      <c r="I1427" s="22">
        <v>1344</v>
      </c>
      <c r="J1427" s="21">
        <v>53</v>
      </c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>
        <v>171</v>
      </c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21"/>
      <c r="AH1427" s="21">
        <v>224</v>
      </c>
      <c r="AI1427" s="21"/>
      <c r="AJ1427" s="21"/>
      <c r="AK1427" s="21"/>
      <c r="AL1427" s="21">
        <v>16</v>
      </c>
      <c r="AM1427" s="21">
        <v>159</v>
      </c>
      <c r="AN1427" s="21">
        <v>9</v>
      </c>
      <c r="AO1427" s="21"/>
      <c r="AP1427" s="21">
        <v>30</v>
      </c>
      <c r="AQ1427" s="21"/>
      <c r="AR1427" s="21">
        <v>10</v>
      </c>
      <c r="AS1427" s="21"/>
      <c r="AT1427" s="12" t="str">
        <f>HYPERLINK("http://www.openstreetmap.org/?mlat=36.2353&amp;mlon=43.9874&amp;zoom=12#map=12/36.2353/43.9874","Maplink1")</f>
        <v>Maplink1</v>
      </c>
      <c r="AU1427" s="12" t="str">
        <f>HYPERLINK("https://www.google.iq/maps/search/+36.2353,43.9874/@36.2353,43.9874,14z?hl=en","Maplink2")</f>
        <v>Maplink2</v>
      </c>
      <c r="AV1427" s="12" t="str">
        <f>HYPERLINK("http://www.bing.com/maps/?lvl=14&amp;sty=h&amp;cp=36.2353~43.9874&amp;sp=point.36.2353_43.9874","Maplink3")</f>
        <v>Maplink3</v>
      </c>
    </row>
    <row r="1428" spans="1:48" ht="15" customHeight="1" x14ac:dyDescent="0.25">
      <c r="A1428" s="19">
        <v>23766</v>
      </c>
      <c r="B1428" s="20" t="s">
        <v>15</v>
      </c>
      <c r="C1428" s="20" t="s">
        <v>15</v>
      </c>
      <c r="D1428" s="20" t="s">
        <v>2682</v>
      </c>
      <c r="E1428" s="20" t="s">
        <v>2683</v>
      </c>
      <c r="F1428" s="20">
        <v>36.197217354700001</v>
      </c>
      <c r="G1428" s="20">
        <v>44.010882255699997</v>
      </c>
      <c r="H1428" s="22">
        <v>175</v>
      </c>
      <c r="I1428" s="22">
        <v>1050</v>
      </c>
      <c r="J1428" s="21">
        <v>136</v>
      </c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>
        <v>22</v>
      </c>
      <c r="W1428" s="21"/>
      <c r="X1428" s="21">
        <v>17</v>
      </c>
      <c r="Y1428" s="21"/>
      <c r="Z1428" s="21"/>
      <c r="AA1428" s="21"/>
      <c r="AB1428" s="21"/>
      <c r="AC1428" s="21"/>
      <c r="AD1428" s="21"/>
      <c r="AE1428" s="21"/>
      <c r="AF1428" s="21"/>
      <c r="AG1428" s="21"/>
      <c r="AH1428" s="21">
        <v>175</v>
      </c>
      <c r="AI1428" s="21"/>
      <c r="AJ1428" s="21"/>
      <c r="AK1428" s="21"/>
      <c r="AL1428" s="21">
        <v>95</v>
      </c>
      <c r="AM1428" s="21">
        <v>30</v>
      </c>
      <c r="AN1428" s="21"/>
      <c r="AO1428" s="21"/>
      <c r="AP1428" s="21">
        <v>33</v>
      </c>
      <c r="AQ1428" s="21">
        <v>5</v>
      </c>
      <c r="AR1428" s="21">
        <v>12</v>
      </c>
      <c r="AS1428" s="21"/>
      <c r="AT1428" s="12" t="str">
        <f>HYPERLINK("http://www.openstreetmap.org/?mlat=36.1972&amp;mlon=44.0109&amp;zoom=12#map=12/36.1972/44.0109","Maplink1")</f>
        <v>Maplink1</v>
      </c>
      <c r="AU1428" s="12" t="str">
        <f>HYPERLINK("https://www.google.iq/maps/search/+36.1972,44.0109/@36.1972,44.0109,14z?hl=en","Maplink2")</f>
        <v>Maplink2</v>
      </c>
      <c r="AV1428" s="12" t="str">
        <f>HYPERLINK("http://www.bing.com/maps/?lvl=14&amp;sty=h&amp;cp=36.1972~44.0109&amp;sp=point.36.1972_44.0109","Maplink3")</f>
        <v>Maplink3</v>
      </c>
    </row>
    <row r="1429" spans="1:48" ht="15" customHeight="1" x14ac:dyDescent="0.25">
      <c r="A1429" s="19">
        <v>22825</v>
      </c>
      <c r="B1429" s="20" t="s">
        <v>15</v>
      </c>
      <c r="C1429" s="20" t="s">
        <v>15</v>
      </c>
      <c r="D1429" s="20" t="s">
        <v>2684</v>
      </c>
      <c r="E1429" s="20" t="s">
        <v>2685</v>
      </c>
      <c r="F1429" s="20">
        <v>36.160824910000002</v>
      </c>
      <c r="G1429" s="20">
        <v>44.122024639999999</v>
      </c>
      <c r="H1429" s="22">
        <v>283</v>
      </c>
      <c r="I1429" s="22">
        <v>1698</v>
      </c>
      <c r="J1429" s="21">
        <v>25</v>
      </c>
      <c r="K1429" s="21"/>
      <c r="L1429" s="21"/>
      <c r="M1429" s="21"/>
      <c r="N1429" s="21"/>
      <c r="O1429" s="21"/>
      <c r="P1429" s="21"/>
      <c r="Q1429" s="21"/>
      <c r="R1429" s="21">
        <v>200</v>
      </c>
      <c r="S1429" s="21"/>
      <c r="T1429" s="21"/>
      <c r="U1429" s="21"/>
      <c r="V1429" s="21">
        <v>45</v>
      </c>
      <c r="W1429" s="21"/>
      <c r="X1429" s="21">
        <v>13</v>
      </c>
      <c r="Y1429" s="21"/>
      <c r="Z1429" s="21"/>
      <c r="AA1429" s="21"/>
      <c r="AB1429" s="21"/>
      <c r="AC1429" s="21">
        <v>10</v>
      </c>
      <c r="AD1429" s="21"/>
      <c r="AE1429" s="21"/>
      <c r="AF1429" s="21"/>
      <c r="AG1429" s="21"/>
      <c r="AH1429" s="21">
        <v>273</v>
      </c>
      <c r="AI1429" s="21"/>
      <c r="AJ1429" s="21"/>
      <c r="AK1429" s="21"/>
      <c r="AL1429" s="21">
        <v>5</v>
      </c>
      <c r="AM1429" s="21">
        <v>44</v>
      </c>
      <c r="AN1429" s="21"/>
      <c r="AO1429" s="21"/>
      <c r="AP1429" s="21">
        <v>20</v>
      </c>
      <c r="AQ1429" s="21"/>
      <c r="AR1429" s="21">
        <v>14</v>
      </c>
      <c r="AS1429" s="21">
        <v>200</v>
      </c>
      <c r="AT1429" s="12" t="str">
        <f>HYPERLINK("http://www.openstreetmap.org/?mlat=36.1608&amp;mlon=44.122&amp;zoom=12#map=12/36.1608/44.122","Maplink1")</f>
        <v>Maplink1</v>
      </c>
      <c r="AU1429" s="12" t="str">
        <f>HYPERLINK("https://www.google.iq/maps/search/+36.1608,44.122/@36.1608,44.122,14z?hl=en","Maplink2")</f>
        <v>Maplink2</v>
      </c>
      <c r="AV1429" s="12" t="str">
        <f>HYPERLINK("http://www.bing.com/maps/?lvl=14&amp;sty=h&amp;cp=36.1608~44.122&amp;sp=point.36.1608_44.122","Maplink3")</f>
        <v>Maplink3</v>
      </c>
    </row>
    <row r="1430" spans="1:48" ht="15" customHeight="1" x14ac:dyDescent="0.25">
      <c r="A1430" s="19">
        <v>24507</v>
      </c>
      <c r="B1430" s="20" t="s">
        <v>15</v>
      </c>
      <c r="C1430" s="20" t="s">
        <v>15</v>
      </c>
      <c r="D1430" s="20" t="s">
        <v>2686</v>
      </c>
      <c r="E1430" s="20" t="s">
        <v>2687</v>
      </c>
      <c r="F1430" s="20">
        <v>36.186364990000001</v>
      </c>
      <c r="G1430" s="20">
        <v>44.011283540000001</v>
      </c>
      <c r="H1430" s="22">
        <v>36</v>
      </c>
      <c r="I1430" s="22">
        <v>216</v>
      </c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>
        <v>36</v>
      </c>
      <c r="W1430" s="21"/>
      <c r="X1430" s="21"/>
      <c r="Y1430" s="21"/>
      <c r="Z1430" s="21"/>
      <c r="AA1430" s="21"/>
      <c r="AB1430" s="21"/>
      <c r="AC1430" s="21"/>
      <c r="AD1430" s="21"/>
      <c r="AE1430" s="21">
        <v>36</v>
      </c>
      <c r="AF1430" s="21"/>
      <c r="AG1430" s="21"/>
      <c r="AH1430" s="21"/>
      <c r="AI1430" s="21"/>
      <c r="AJ1430" s="21"/>
      <c r="AK1430" s="21"/>
      <c r="AL1430" s="21"/>
      <c r="AM1430" s="21"/>
      <c r="AN1430" s="21">
        <v>36</v>
      </c>
      <c r="AO1430" s="21"/>
      <c r="AP1430" s="21"/>
      <c r="AQ1430" s="21"/>
      <c r="AR1430" s="21"/>
      <c r="AS1430" s="21"/>
      <c r="AT1430" s="12" t="str">
        <f>HYPERLINK("http://www.openstreetmap.org/?mlat=36.1864&amp;mlon=44.0113&amp;zoom=12#map=12/36.1864/44.0113","Maplink1")</f>
        <v>Maplink1</v>
      </c>
      <c r="AU1430" s="12" t="str">
        <f>HYPERLINK("https://www.google.iq/maps/search/+36.1864,44.0113/@36.1864,44.0113,14z?hl=en","Maplink2")</f>
        <v>Maplink2</v>
      </c>
      <c r="AV1430" s="12" t="str">
        <f>HYPERLINK("http://www.bing.com/maps/?lvl=14&amp;sty=h&amp;cp=36.1864~44.0113&amp;sp=point.36.1864_44.0113","Maplink3")</f>
        <v>Maplink3</v>
      </c>
    </row>
    <row r="1431" spans="1:48" ht="15" customHeight="1" x14ac:dyDescent="0.25">
      <c r="A1431" s="19">
        <v>24607</v>
      </c>
      <c r="B1431" s="20" t="s">
        <v>15</v>
      </c>
      <c r="C1431" s="20" t="s">
        <v>15</v>
      </c>
      <c r="D1431" s="20" t="s">
        <v>2688</v>
      </c>
      <c r="E1431" s="20" t="s">
        <v>2689</v>
      </c>
      <c r="F1431" s="20">
        <v>36.259406339999998</v>
      </c>
      <c r="G1431" s="20">
        <v>44.000774180000001</v>
      </c>
      <c r="H1431" s="22">
        <v>20</v>
      </c>
      <c r="I1431" s="22">
        <v>120</v>
      </c>
      <c r="J1431" s="21"/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>
        <v>20</v>
      </c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21"/>
      <c r="AH1431" s="21">
        <v>20</v>
      </c>
      <c r="AI1431" s="21"/>
      <c r="AJ1431" s="21"/>
      <c r="AK1431" s="21"/>
      <c r="AL1431" s="21"/>
      <c r="AM1431" s="21"/>
      <c r="AN1431" s="21">
        <v>20</v>
      </c>
      <c r="AO1431" s="21"/>
      <c r="AP1431" s="21"/>
      <c r="AQ1431" s="21"/>
      <c r="AR1431" s="21"/>
      <c r="AS1431" s="21"/>
      <c r="AT1431" s="12" t="str">
        <f>HYPERLINK("http://www.openstreetmap.org/?mlat=36.2594&amp;mlon=44.0008&amp;zoom=12#map=12/36.2594/44.0008","Maplink1")</f>
        <v>Maplink1</v>
      </c>
      <c r="AU1431" s="12" t="str">
        <f>HYPERLINK("https://www.google.iq/maps/search/+36.2594,44.0008/@36.2594,44.0008,14z?hl=en","Maplink2")</f>
        <v>Maplink2</v>
      </c>
      <c r="AV1431" s="12" t="str">
        <f>HYPERLINK("http://www.bing.com/maps/?lvl=14&amp;sty=h&amp;cp=36.2594~44.0008&amp;sp=point.36.2594_44.0008","Maplink3")</f>
        <v>Maplink3</v>
      </c>
    </row>
    <row r="1432" spans="1:48" ht="15" customHeight="1" x14ac:dyDescent="0.25">
      <c r="A1432" s="19">
        <v>24665</v>
      </c>
      <c r="B1432" s="20" t="s">
        <v>15</v>
      </c>
      <c r="C1432" s="20" t="s">
        <v>15</v>
      </c>
      <c r="D1432" s="20" t="s">
        <v>2690</v>
      </c>
      <c r="E1432" s="20" t="s">
        <v>2691</v>
      </c>
      <c r="F1432" s="20">
        <v>36.228114660000003</v>
      </c>
      <c r="G1432" s="20">
        <v>44.144933039999998</v>
      </c>
      <c r="H1432" s="22">
        <v>220</v>
      </c>
      <c r="I1432" s="22">
        <v>1320</v>
      </c>
      <c r="J1432" s="21">
        <v>60</v>
      </c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>
        <v>140</v>
      </c>
      <c r="W1432" s="21"/>
      <c r="X1432" s="21">
        <v>20</v>
      </c>
      <c r="Y1432" s="21"/>
      <c r="Z1432" s="21"/>
      <c r="AA1432" s="21"/>
      <c r="AB1432" s="21"/>
      <c r="AC1432" s="21"/>
      <c r="AD1432" s="21"/>
      <c r="AE1432" s="21"/>
      <c r="AF1432" s="21"/>
      <c r="AG1432" s="21"/>
      <c r="AH1432" s="21">
        <v>220</v>
      </c>
      <c r="AI1432" s="21"/>
      <c r="AJ1432" s="21"/>
      <c r="AK1432" s="21"/>
      <c r="AL1432" s="21">
        <v>25</v>
      </c>
      <c r="AM1432" s="21">
        <v>100</v>
      </c>
      <c r="AN1432" s="21">
        <v>15</v>
      </c>
      <c r="AO1432" s="21"/>
      <c r="AP1432" s="21">
        <v>30</v>
      </c>
      <c r="AQ1432" s="21"/>
      <c r="AR1432" s="21">
        <v>45</v>
      </c>
      <c r="AS1432" s="21">
        <v>5</v>
      </c>
      <c r="AT1432" s="12" t="str">
        <f>HYPERLINK("http://www.openstreetmap.org/?mlat=36.2281&amp;mlon=44.1449&amp;zoom=12#map=12/36.2281/44.1449","Maplink1")</f>
        <v>Maplink1</v>
      </c>
      <c r="AU1432" s="12" t="str">
        <f>HYPERLINK("https://www.google.iq/maps/search/+36.2281,44.1449/@36.2281,44.1449,14z?hl=en","Maplink2")</f>
        <v>Maplink2</v>
      </c>
      <c r="AV1432" s="12" t="str">
        <f>HYPERLINK("http://www.bing.com/maps/?lvl=14&amp;sty=h&amp;cp=36.2281~44.1449&amp;sp=point.36.2281_44.1449","Maplink3")</f>
        <v>Maplink3</v>
      </c>
    </row>
    <row r="1433" spans="1:48" ht="15" customHeight="1" x14ac:dyDescent="0.25">
      <c r="A1433" s="19">
        <v>11778</v>
      </c>
      <c r="B1433" s="20" t="s">
        <v>15</v>
      </c>
      <c r="C1433" s="20" t="s">
        <v>15</v>
      </c>
      <c r="D1433" s="20" t="s">
        <v>2692</v>
      </c>
      <c r="E1433" s="20" t="s">
        <v>2693</v>
      </c>
      <c r="F1433" s="20">
        <v>36.23266418</v>
      </c>
      <c r="G1433" s="20">
        <v>44.138796669999998</v>
      </c>
      <c r="H1433" s="22">
        <v>20</v>
      </c>
      <c r="I1433" s="22">
        <v>120</v>
      </c>
      <c r="J1433" s="21">
        <v>10</v>
      </c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>
        <v>10</v>
      </c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21"/>
      <c r="AH1433" s="21">
        <v>20</v>
      </c>
      <c r="AI1433" s="21"/>
      <c r="AJ1433" s="21"/>
      <c r="AK1433" s="21"/>
      <c r="AL1433" s="21">
        <v>5</v>
      </c>
      <c r="AM1433" s="21"/>
      <c r="AN1433" s="21">
        <v>5</v>
      </c>
      <c r="AO1433" s="21"/>
      <c r="AP1433" s="21"/>
      <c r="AQ1433" s="21"/>
      <c r="AR1433" s="21">
        <v>5</v>
      </c>
      <c r="AS1433" s="21">
        <v>5</v>
      </c>
      <c r="AT1433" s="12" t="str">
        <f>HYPERLINK("http://www.openstreetmap.org/?mlat=36.2327&amp;mlon=44.1388&amp;zoom=12#map=12/36.2327/44.1388","Maplink1")</f>
        <v>Maplink1</v>
      </c>
      <c r="AU1433" s="12" t="str">
        <f>HYPERLINK("https://www.google.iq/maps/search/+36.2327,44.1388/@36.2327,44.1388,14z?hl=en","Maplink2")</f>
        <v>Maplink2</v>
      </c>
      <c r="AV1433" s="12" t="str">
        <f>HYPERLINK("http://www.bing.com/maps/?lvl=14&amp;sty=h&amp;cp=36.2327~44.1388&amp;sp=point.36.2327_44.1388","Maplink3")</f>
        <v>Maplink3</v>
      </c>
    </row>
    <row r="1434" spans="1:48" ht="15" customHeight="1" x14ac:dyDescent="0.25">
      <c r="A1434" s="19">
        <v>25974</v>
      </c>
      <c r="B1434" s="20" t="s">
        <v>15</v>
      </c>
      <c r="C1434" s="20" t="s">
        <v>15</v>
      </c>
      <c r="D1434" s="20" t="s">
        <v>2694</v>
      </c>
      <c r="E1434" s="20" t="s">
        <v>2695</v>
      </c>
      <c r="F1434" s="20">
        <v>36.020899659999998</v>
      </c>
      <c r="G1434" s="20">
        <v>43.921313730000001</v>
      </c>
      <c r="H1434" s="22">
        <v>200</v>
      </c>
      <c r="I1434" s="22">
        <v>1200</v>
      </c>
      <c r="J1434" s="21">
        <v>21</v>
      </c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>
        <v>152</v>
      </c>
      <c r="W1434" s="21"/>
      <c r="X1434" s="21">
        <v>27</v>
      </c>
      <c r="Y1434" s="21"/>
      <c r="Z1434" s="21"/>
      <c r="AA1434" s="21"/>
      <c r="AB1434" s="21"/>
      <c r="AC1434" s="21"/>
      <c r="AD1434" s="21"/>
      <c r="AE1434" s="21"/>
      <c r="AF1434" s="21"/>
      <c r="AG1434" s="21"/>
      <c r="AH1434" s="21">
        <v>200</v>
      </c>
      <c r="AI1434" s="21"/>
      <c r="AJ1434" s="21"/>
      <c r="AK1434" s="21"/>
      <c r="AL1434" s="21"/>
      <c r="AM1434" s="21">
        <v>168</v>
      </c>
      <c r="AN1434" s="21"/>
      <c r="AO1434" s="21"/>
      <c r="AP1434" s="21">
        <v>11</v>
      </c>
      <c r="AQ1434" s="21"/>
      <c r="AR1434" s="21">
        <v>11</v>
      </c>
      <c r="AS1434" s="21">
        <v>10</v>
      </c>
      <c r="AT1434" s="12" t="str">
        <f>HYPERLINK("http://www.openstreetmap.org/?mlat=36.0209&amp;mlon=43.9213&amp;zoom=12#map=12/36.0209/43.9213","Maplink1")</f>
        <v>Maplink1</v>
      </c>
      <c r="AU1434" s="12" t="str">
        <f>HYPERLINK("https://www.google.iq/maps/search/+36.0209,43.9213/@36.0209,43.9213,14z?hl=en","Maplink2")</f>
        <v>Maplink2</v>
      </c>
      <c r="AV1434" s="12" t="str">
        <f>HYPERLINK("http://www.bing.com/maps/?lvl=14&amp;sty=h&amp;cp=36.0209~43.9213&amp;sp=point.36.0209_43.9213","Maplink3")</f>
        <v>Maplink3</v>
      </c>
    </row>
    <row r="1435" spans="1:48" ht="15" customHeight="1" x14ac:dyDescent="0.25">
      <c r="A1435" s="19">
        <v>13199</v>
      </c>
      <c r="B1435" s="20" t="s">
        <v>15</v>
      </c>
      <c r="C1435" s="20" t="s">
        <v>15</v>
      </c>
      <c r="D1435" s="20" t="s">
        <v>2696</v>
      </c>
      <c r="E1435" s="20" t="s">
        <v>2697</v>
      </c>
      <c r="F1435" s="20">
        <v>36.269105979999999</v>
      </c>
      <c r="G1435" s="20">
        <v>44.068681660000003</v>
      </c>
      <c r="H1435" s="22">
        <v>350</v>
      </c>
      <c r="I1435" s="22">
        <v>2100</v>
      </c>
      <c r="J1435" s="21">
        <v>109</v>
      </c>
      <c r="K1435" s="21"/>
      <c r="L1435" s="21"/>
      <c r="M1435" s="21"/>
      <c r="N1435" s="21"/>
      <c r="O1435" s="21"/>
      <c r="P1435" s="21"/>
      <c r="Q1435" s="21"/>
      <c r="R1435" s="21">
        <v>19</v>
      </c>
      <c r="S1435" s="21"/>
      <c r="T1435" s="21"/>
      <c r="U1435" s="21"/>
      <c r="V1435" s="21">
        <v>142</v>
      </c>
      <c r="W1435" s="21"/>
      <c r="X1435" s="21">
        <v>80</v>
      </c>
      <c r="Y1435" s="21"/>
      <c r="Z1435" s="21"/>
      <c r="AA1435" s="21"/>
      <c r="AB1435" s="21"/>
      <c r="AC1435" s="21">
        <v>15</v>
      </c>
      <c r="AD1435" s="21"/>
      <c r="AE1435" s="21"/>
      <c r="AF1435" s="21"/>
      <c r="AG1435" s="21"/>
      <c r="AH1435" s="21">
        <v>335</v>
      </c>
      <c r="AI1435" s="21"/>
      <c r="AJ1435" s="21"/>
      <c r="AK1435" s="21"/>
      <c r="AL1435" s="21">
        <v>55</v>
      </c>
      <c r="AM1435" s="21">
        <v>127</v>
      </c>
      <c r="AN1435" s="21">
        <v>50</v>
      </c>
      <c r="AO1435" s="21"/>
      <c r="AP1435" s="21">
        <v>64</v>
      </c>
      <c r="AQ1435" s="21"/>
      <c r="AR1435" s="21">
        <v>35</v>
      </c>
      <c r="AS1435" s="21">
        <v>19</v>
      </c>
      <c r="AT1435" s="12" t="str">
        <f>HYPERLINK("http://www.openstreetmap.org/?mlat=36.2691&amp;mlon=44.0687&amp;zoom=12#map=12/36.2691/44.0687","Maplink1")</f>
        <v>Maplink1</v>
      </c>
      <c r="AU1435" s="12" t="str">
        <f>HYPERLINK("https://www.google.iq/maps/search/+36.2691,44.0687/@36.2691,44.0687,14z?hl=en","Maplink2")</f>
        <v>Maplink2</v>
      </c>
      <c r="AV1435" s="12" t="str">
        <f>HYPERLINK("http://www.bing.com/maps/?lvl=14&amp;sty=h&amp;cp=36.2691~44.0687&amp;sp=point.36.2691_44.0687","Maplink3")</f>
        <v>Maplink3</v>
      </c>
    </row>
    <row r="1436" spans="1:48" ht="15" customHeight="1" x14ac:dyDescent="0.25">
      <c r="A1436" s="19">
        <v>27332</v>
      </c>
      <c r="B1436" s="20" t="s">
        <v>15</v>
      </c>
      <c r="C1436" s="20" t="s">
        <v>15</v>
      </c>
      <c r="D1436" s="20" t="s">
        <v>2698</v>
      </c>
      <c r="E1436" s="20" t="s">
        <v>2699</v>
      </c>
      <c r="F1436" s="20">
        <v>36.193344799999998</v>
      </c>
      <c r="G1436" s="20">
        <v>44.123127889999999</v>
      </c>
      <c r="H1436" s="22">
        <v>205</v>
      </c>
      <c r="I1436" s="22">
        <v>1230</v>
      </c>
      <c r="J1436" s="21">
        <v>45</v>
      </c>
      <c r="K1436" s="21"/>
      <c r="L1436" s="21"/>
      <c r="M1436" s="21"/>
      <c r="N1436" s="21"/>
      <c r="O1436" s="21"/>
      <c r="P1436" s="21"/>
      <c r="Q1436" s="21"/>
      <c r="R1436" s="21">
        <v>60</v>
      </c>
      <c r="S1436" s="21"/>
      <c r="T1436" s="21"/>
      <c r="U1436" s="21"/>
      <c r="V1436" s="21">
        <v>80</v>
      </c>
      <c r="W1436" s="21"/>
      <c r="X1436" s="21">
        <v>20</v>
      </c>
      <c r="Y1436" s="21"/>
      <c r="Z1436" s="21"/>
      <c r="AA1436" s="21"/>
      <c r="AB1436" s="21"/>
      <c r="AC1436" s="21"/>
      <c r="AD1436" s="21"/>
      <c r="AE1436" s="21"/>
      <c r="AF1436" s="21"/>
      <c r="AG1436" s="21"/>
      <c r="AH1436" s="21">
        <v>205</v>
      </c>
      <c r="AI1436" s="21"/>
      <c r="AJ1436" s="21"/>
      <c r="AK1436" s="21"/>
      <c r="AL1436" s="21">
        <v>25</v>
      </c>
      <c r="AM1436" s="21">
        <v>30</v>
      </c>
      <c r="AN1436" s="21">
        <v>10</v>
      </c>
      <c r="AO1436" s="21"/>
      <c r="AP1436" s="21">
        <v>20</v>
      </c>
      <c r="AQ1436" s="21"/>
      <c r="AR1436" s="21">
        <v>50</v>
      </c>
      <c r="AS1436" s="21">
        <v>70</v>
      </c>
      <c r="AT1436" s="12" t="str">
        <f>HYPERLINK("http://www.openstreetmap.org/?mlat=36.1933&amp;mlon=44.1231&amp;zoom=12#map=12/36.1933/44.1231","Maplink1")</f>
        <v>Maplink1</v>
      </c>
      <c r="AU1436" s="12" t="str">
        <f>HYPERLINK("https://www.google.iq/maps/search/+36.1933,44.1231/@36.1933,44.1231,14z?hl=en","Maplink2")</f>
        <v>Maplink2</v>
      </c>
      <c r="AV1436" s="12" t="str">
        <f>HYPERLINK("http://www.bing.com/maps/?lvl=14&amp;sty=h&amp;cp=36.1933~44.1231&amp;sp=point.36.1933_44.1231","Maplink3")</f>
        <v>Maplink3</v>
      </c>
    </row>
    <row r="1437" spans="1:48" ht="15" customHeight="1" x14ac:dyDescent="0.25">
      <c r="A1437" s="19">
        <v>21318</v>
      </c>
      <c r="B1437" s="20" t="s">
        <v>15</v>
      </c>
      <c r="C1437" s="20" t="s">
        <v>15</v>
      </c>
      <c r="D1437" s="20" t="s">
        <v>2700</v>
      </c>
      <c r="E1437" s="20" t="s">
        <v>2701</v>
      </c>
      <c r="F1437" s="20">
        <v>36.081030009999999</v>
      </c>
      <c r="G1437" s="20">
        <v>43.95056494</v>
      </c>
      <c r="H1437" s="22">
        <v>270</v>
      </c>
      <c r="I1437" s="22">
        <v>1620</v>
      </c>
      <c r="J1437" s="21">
        <v>196</v>
      </c>
      <c r="K1437" s="21"/>
      <c r="L1437" s="21"/>
      <c r="M1437" s="21"/>
      <c r="N1437" s="21"/>
      <c r="O1437" s="21"/>
      <c r="P1437" s="21"/>
      <c r="Q1437" s="21"/>
      <c r="R1437" s="21">
        <v>5</v>
      </c>
      <c r="S1437" s="21"/>
      <c r="T1437" s="21"/>
      <c r="U1437" s="21"/>
      <c r="V1437" s="21">
        <v>29</v>
      </c>
      <c r="W1437" s="21"/>
      <c r="X1437" s="21">
        <v>40</v>
      </c>
      <c r="Y1437" s="21"/>
      <c r="Z1437" s="21"/>
      <c r="AA1437" s="21"/>
      <c r="AB1437" s="21"/>
      <c r="AC1437" s="21"/>
      <c r="AD1437" s="21"/>
      <c r="AE1437" s="21"/>
      <c r="AF1437" s="21"/>
      <c r="AG1437" s="21"/>
      <c r="AH1437" s="21">
        <v>270</v>
      </c>
      <c r="AI1437" s="21"/>
      <c r="AJ1437" s="21"/>
      <c r="AK1437" s="21"/>
      <c r="AL1437" s="21">
        <v>80</v>
      </c>
      <c r="AM1437" s="21">
        <v>54</v>
      </c>
      <c r="AN1437" s="21">
        <v>5</v>
      </c>
      <c r="AO1437" s="21"/>
      <c r="AP1437" s="21">
        <v>103</v>
      </c>
      <c r="AQ1437" s="21"/>
      <c r="AR1437" s="21">
        <v>10</v>
      </c>
      <c r="AS1437" s="21">
        <v>18</v>
      </c>
      <c r="AT1437" s="12" t="str">
        <f>HYPERLINK("http://www.openstreetmap.org/?mlat=36.081&amp;mlon=43.9506&amp;zoom=12#map=12/36.081/43.9506","Maplink1")</f>
        <v>Maplink1</v>
      </c>
      <c r="AU1437" s="12" t="str">
        <f>HYPERLINK("https://www.google.iq/maps/search/+36.081,43.9506/@36.081,43.9506,14z?hl=en","Maplink2")</f>
        <v>Maplink2</v>
      </c>
      <c r="AV1437" s="12" t="str">
        <f>HYPERLINK("http://www.bing.com/maps/?lvl=14&amp;sty=h&amp;cp=36.081~43.9506&amp;sp=point.36.081_43.9506","Maplink3")</f>
        <v>Maplink3</v>
      </c>
    </row>
    <row r="1438" spans="1:48" ht="15" customHeight="1" x14ac:dyDescent="0.25">
      <c r="A1438" s="19">
        <v>13400</v>
      </c>
      <c r="B1438" s="20" t="s">
        <v>15</v>
      </c>
      <c r="C1438" s="20" t="s">
        <v>15</v>
      </c>
      <c r="D1438" s="20" t="s">
        <v>2702</v>
      </c>
      <c r="E1438" s="20" t="s">
        <v>2703</v>
      </c>
      <c r="F1438" s="20">
        <v>36.00809847</v>
      </c>
      <c r="G1438" s="20">
        <v>44.037307970000001</v>
      </c>
      <c r="H1438" s="22">
        <v>1235</v>
      </c>
      <c r="I1438" s="22">
        <v>7410</v>
      </c>
      <c r="J1438" s="21">
        <v>855</v>
      </c>
      <c r="K1438" s="21"/>
      <c r="L1438" s="21"/>
      <c r="M1438" s="21"/>
      <c r="N1438" s="21"/>
      <c r="O1438" s="21"/>
      <c r="P1438" s="21"/>
      <c r="Q1438" s="21"/>
      <c r="R1438" s="21">
        <v>160</v>
      </c>
      <c r="S1438" s="21"/>
      <c r="T1438" s="21"/>
      <c r="U1438" s="21"/>
      <c r="V1438" s="21">
        <v>215</v>
      </c>
      <c r="W1438" s="21"/>
      <c r="X1438" s="21">
        <v>5</v>
      </c>
      <c r="Y1438" s="21"/>
      <c r="Z1438" s="21"/>
      <c r="AA1438" s="21"/>
      <c r="AB1438" s="21"/>
      <c r="AC1438" s="21">
        <v>80</v>
      </c>
      <c r="AD1438" s="21"/>
      <c r="AE1438" s="21"/>
      <c r="AF1438" s="21"/>
      <c r="AG1438" s="21"/>
      <c r="AH1438" s="21">
        <v>1155</v>
      </c>
      <c r="AI1438" s="21"/>
      <c r="AJ1438" s="21"/>
      <c r="AK1438" s="21"/>
      <c r="AL1438" s="21">
        <v>520</v>
      </c>
      <c r="AM1438" s="21">
        <v>208</v>
      </c>
      <c r="AN1438" s="21">
        <v>45</v>
      </c>
      <c r="AO1438" s="21"/>
      <c r="AP1438" s="21">
        <v>285</v>
      </c>
      <c r="AQ1438" s="21"/>
      <c r="AR1438" s="21">
        <v>12</v>
      </c>
      <c r="AS1438" s="21">
        <v>165</v>
      </c>
      <c r="AT1438" s="12" t="str">
        <f>HYPERLINK("http://www.openstreetmap.org/?mlat=36.0081&amp;mlon=44.0373&amp;zoom=12#map=12/36.0081/44.0373","Maplink1")</f>
        <v>Maplink1</v>
      </c>
      <c r="AU1438" s="12" t="str">
        <f>HYPERLINK("https://www.google.iq/maps/search/+36.0081,44.0373/@36.0081,44.0373,14z?hl=en","Maplink2")</f>
        <v>Maplink2</v>
      </c>
      <c r="AV1438" s="12" t="str">
        <f>HYPERLINK("http://www.bing.com/maps/?lvl=14&amp;sty=h&amp;cp=36.0081~44.0373&amp;sp=point.36.0081_44.0373","Maplink3")</f>
        <v>Maplink3</v>
      </c>
    </row>
    <row r="1439" spans="1:48" ht="15" customHeight="1" x14ac:dyDescent="0.25">
      <c r="A1439" s="19">
        <v>13670</v>
      </c>
      <c r="B1439" s="20" t="s">
        <v>15</v>
      </c>
      <c r="C1439" s="20" t="s">
        <v>15</v>
      </c>
      <c r="D1439" s="20" t="s">
        <v>2704</v>
      </c>
      <c r="E1439" s="20" t="s">
        <v>2705</v>
      </c>
      <c r="F1439" s="20">
        <v>36.148443125100002</v>
      </c>
      <c r="G1439" s="20">
        <v>44.0174735883</v>
      </c>
      <c r="H1439" s="22">
        <v>200</v>
      </c>
      <c r="I1439" s="22">
        <v>1200</v>
      </c>
      <c r="J1439" s="21">
        <v>160</v>
      </c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>
        <v>40</v>
      </c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21"/>
      <c r="AH1439" s="21">
        <v>200</v>
      </c>
      <c r="AI1439" s="21"/>
      <c r="AJ1439" s="21"/>
      <c r="AK1439" s="21"/>
      <c r="AL1439" s="21">
        <v>160</v>
      </c>
      <c r="AM1439" s="21">
        <v>40</v>
      </c>
      <c r="AN1439" s="21"/>
      <c r="AO1439" s="21"/>
      <c r="AP1439" s="21"/>
      <c r="AQ1439" s="21"/>
      <c r="AR1439" s="21"/>
      <c r="AS1439" s="21"/>
      <c r="AT1439" s="12" t="str">
        <f>HYPERLINK("http://www.openstreetmap.org/?mlat=36.1484&amp;mlon=44.0175&amp;zoom=12#map=12/36.1484/44.0175","Maplink1")</f>
        <v>Maplink1</v>
      </c>
      <c r="AU1439" s="12" t="str">
        <f>HYPERLINK("https://www.google.iq/maps/search/+36.1484,44.0175/@36.1484,44.0175,14z?hl=en","Maplink2")</f>
        <v>Maplink2</v>
      </c>
      <c r="AV1439" s="12" t="str">
        <f>HYPERLINK("http://www.bing.com/maps/?lvl=14&amp;sty=h&amp;cp=36.1484~44.0175&amp;sp=point.36.1484_44.0175","Maplink3")</f>
        <v>Maplink3</v>
      </c>
    </row>
    <row r="1440" spans="1:48" ht="15" customHeight="1" x14ac:dyDescent="0.25">
      <c r="A1440" s="19">
        <v>21899</v>
      </c>
      <c r="B1440" s="20" t="s">
        <v>15</v>
      </c>
      <c r="C1440" s="20" t="s">
        <v>15</v>
      </c>
      <c r="D1440" s="20" t="s">
        <v>2214</v>
      </c>
      <c r="E1440" s="20" t="s">
        <v>2215</v>
      </c>
      <c r="F1440" s="20">
        <v>36.272630620000001</v>
      </c>
      <c r="G1440" s="20">
        <v>43.736974539999999</v>
      </c>
      <c r="H1440" s="22">
        <v>712</v>
      </c>
      <c r="I1440" s="22">
        <v>4272</v>
      </c>
      <c r="J1440" s="21">
        <v>230</v>
      </c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>
        <v>349</v>
      </c>
      <c r="W1440" s="21"/>
      <c r="X1440" s="21">
        <v>133</v>
      </c>
      <c r="Y1440" s="21"/>
      <c r="Z1440" s="21"/>
      <c r="AA1440" s="21"/>
      <c r="AB1440" s="21"/>
      <c r="AC1440" s="21"/>
      <c r="AD1440" s="21"/>
      <c r="AE1440" s="21"/>
      <c r="AF1440" s="21"/>
      <c r="AG1440" s="21"/>
      <c r="AH1440" s="21">
        <v>712</v>
      </c>
      <c r="AI1440" s="21"/>
      <c r="AJ1440" s="21"/>
      <c r="AK1440" s="21"/>
      <c r="AL1440" s="21">
        <v>99</v>
      </c>
      <c r="AM1440" s="21">
        <v>242</v>
      </c>
      <c r="AN1440" s="21"/>
      <c r="AO1440" s="21"/>
      <c r="AP1440" s="21">
        <v>111</v>
      </c>
      <c r="AQ1440" s="21"/>
      <c r="AR1440" s="21">
        <v>260</v>
      </c>
      <c r="AS1440" s="21"/>
      <c r="AT1440" s="12" t="str">
        <f>HYPERLINK("http://www.openstreetmap.org/?mlat=36.2726&amp;mlon=43.737&amp;zoom=12#map=12/36.2726/43.737","Maplink1")</f>
        <v>Maplink1</v>
      </c>
      <c r="AU1440" s="12" t="str">
        <f>HYPERLINK("https://www.google.iq/maps/search/+36.2726,43.737/@36.2726,43.737,14z?hl=en","Maplink2")</f>
        <v>Maplink2</v>
      </c>
      <c r="AV1440" s="12" t="str">
        <f>HYPERLINK("http://www.bing.com/maps/?lvl=14&amp;sty=h&amp;cp=36.2726~43.737&amp;sp=point.36.2726_43.737","Maplink3")</f>
        <v>Maplink3</v>
      </c>
    </row>
    <row r="1441" spans="1:48" ht="15" customHeight="1" x14ac:dyDescent="0.25">
      <c r="A1441" s="19">
        <v>20997</v>
      </c>
      <c r="B1441" s="20" t="s">
        <v>15</v>
      </c>
      <c r="C1441" s="20" t="s">
        <v>15</v>
      </c>
      <c r="D1441" s="20" t="s">
        <v>2706</v>
      </c>
      <c r="E1441" s="20" t="s">
        <v>2707</v>
      </c>
      <c r="F1441" s="20">
        <v>36.169571589999997</v>
      </c>
      <c r="G1441" s="20">
        <v>44.018189710000001</v>
      </c>
      <c r="H1441" s="22">
        <v>77</v>
      </c>
      <c r="I1441" s="22">
        <v>462</v>
      </c>
      <c r="J1441" s="21">
        <v>53</v>
      </c>
      <c r="K1441" s="21"/>
      <c r="L1441" s="21">
        <v>8</v>
      </c>
      <c r="M1441" s="21"/>
      <c r="N1441" s="21"/>
      <c r="O1441" s="21"/>
      <c r="P1441" s="21"/>
      <c r="Q1441" s="21"/>
      <c r="R1441" s="21"/>
      <c r="S1441" s="21"/>
      <c r="T1441" s="21"/>
      <c r="U1441" s="21"/>
      <c r="V1441" s="21">
        <v>16</v>
      </c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21"/>
      <c r="AH1441" s="21">
        <v>77</v>
      </c>
      <c r="AI1441" s="21"/>
      <c r="AJ1441" s="21"/>
      <c r="AK1441" s="21"/>
      <c r="AL1441" s="21"/>
      <c r="AM1441" s="21">
        <v>10</v>
      </c>
      <c r="AN1441" s="21"/>
      <c r="AO1441" s="21">
        <v>8</v>
      </c>
      <c r="AP1441" s="21">
        <v>53</v>
      </c>
      <c r="AQ1441" s="21"/>
      <c r="AR1441" s="21">
        <v>6</v>
      </c>
      <c r="AS1441" s="21"/>
      <c r="AT1441" s="12" t="str">
        <f>HYPERLINK("http://www.openstreetmap.org/?mlat=36.1696&amp;mlon=44.0182&amp;zoom=12#map=12/36.1696/44.0182","Maplink1")</f>
        <v>Maplink1</v>
      </c>
      <c r="AU1441" s="12" t="str">
        <f>HYPERLINK("https://www.google.iq/maps/search/+36.1696,44.0182/@36.1696,44.0182,14z?hl=en","Maplink2")</f>
        <v>Maplink2</v>
      </c>
      <c r="AV1441" s="12" t="str">
        <f>HYPERLINK("http://www.bing.com/maps/?lvl=14&amp;sty=h&amp;cp=36.1696~44.0182&amp;sp=point.36.1696_44.0182","Maplink3")</f>
        <v>Maplink3</v>
      </c>
    </row>
    <row r="1442" spans="1:48" ht="15" customHeight="1" x14ac:dyDescent="0.25">
      <c r="A1442" s="19">
        <v>27210</v>
      </c>
      <c r="B1442" s="20" t="s">
        <v>15</v>
      </c>
      <c r="C1442" s="20" t="s">
        <v>15</v>
      </c>
      <c r="D1442" s="20" t="s">
        <v>2708</v>
      </c>
      <c r="E1442" s="20" t="s">
        <v>2709</v>
      </c>
      <c r="F1442" s="20">
        <v>36.161257169999999</v>
      </c>
      <c r="G1442" s="20">
        <v>44.025814820000001</v>
      </c>
      <c r="H1442" s="22">
        <v>170</v>
      </c>
      <c r="I1442" s="22">
        <v>1020</v>
      </c>
      <c r="J1442" s="21">
        <v>74</v>
      </c>
      <c r="K1442" s="21"/>
      <c r="L1442" s="21">
        <v>23</v>
      </c>
      <c r="M1442" s="21"/>
      <c r="N1442" s="21"/>
      <c r="O1442" s="21"/>
      <c r="P1442" s="21"/>
      <c r="Q1442" s="21"/>
      <c r="R1442" s="21"/>
      <c r="S1442" s="21"/>
      <c r="T1442" s="21"/>
      <c r="U1442" s="21"/>
      <c r="V1442" s="21">
        <v>67</v>
      </c>
      <c r="W1442" s="21"/>
      <c r="X1442" s="21">
        <v>6</v>
      </c>
      <c r="Y1442" s="21"/>
      <c r="Z1442" s="21"/>
      <c r="AA1442" s="21"/>
      <c r="AB1442" s="21"/>
      <c r="AC1442" s="21"/>
      <c r="AD1442" s="21"/>
      <c r="AE1442" s="21"/>
      <c r="AF1442" s="21"/>
      <c r="AG1442" s="21"/>
      <c r="AH1442" s="21">
        <v>170</v>
      </c>
      <c r="AI1442" s="21"/>
      <c r="AJ1442" s="21"/>
      <c r="AK1442" s="21"/>
      <c r="AL1442" s="21">
        <v>3</v>
      </c>
      <c r="AM1442" s="21">
        <v>50</v>
      </c>
      <c r="AN1442" s="21">
        <v>23</v>
      </c>
      <c r="AO1442" s="21"/>
      <c r="AP1442" s="21">
        <v>59</v>
      </c>
      <c r="AQ1442" s="21">
        <v>13</v>
      </c>
      <c r="AR1442" s="21">
        <v>17</v>
      </c>
      <c r="AS1442" s="21">
        <v>5</v>
      </c>
      <c r="AT1442" s="12" t="str">
        <f>HYPERLINK("http://www.openstreetmap.org/?mlat=36.1613&amp;mlon=44.0258&amp;zoom=12#map=12/36.1613/44.0258","Maplink1")</f>
        <v>Maplink1</v>
      </c>
      <c r="AU1442" s="12" t="str">
        <f>HYPERLINK("https://www.google.iq/maps/search/+36.1613,44.0258/@36.1613,44.0258,14z?hl=en","Maplink2")</f>
        <v>Maplink2</v>
      </c>
      <c r="AV1442" s="12" t="str">
        <f>HYPERLINK("http://www.bing.com/maps/?lvl=14&amp;sty=h&amp;cp=36.1613~44.0258&amp;sp=point.36.1613_44.0258","Maplink3")</f>
        <v>Maplink3</v>
      </c>
    </row>
    <row r="1443" spans="1:48" ht="15" customHeight="1" x14ac:dyDescent="0.25">
      <c r="A1443" s="19">
        <v>27206</v>
      </c>
      <c r="B1443" s="20" t="s">
        <v>15</v>
      </c>
      <c r="C1443" s="20" t="s">
        <v>15</v>
      </c>
      <c r="D1443" s="20" t="s">
        <v>2710</v>
      </c>
      <c r="E1443" s="20" t="s">
        <v>2711</v>
      </c>
      <c r="F1443" s="20">
        <v>36.175833744999998</v>
      </c>
      <c r="G1443" s="20">
        <v>44.019065219700003</v>
      </c>
      <c r="H1443" s="22">
        <v>55</v>
      </c>
      <c r="I1443" s="22">
        <v>330</v>
      </c>
      <c r="J1443" s="21"/>
      <c r="K1443" s="21"/>
      <c r="L1443" s="21">
        <v>3</v>
      </c>
      <c r="M1443" s="21"/>
      <c r="N1443" s="21"/>
      <c r="O1443" s="21"/>
      <c r="P1443" s="21"/>
      <c r="Q1443" s="21"/>
      <c r="R1443" s="21"/>
      <c r="S1443" s="21"/>
      <c r="T1443" s="21"/>
      <c r="U1443" s="21"/>
      <c r="V1443" s="21">
        <v>45</v>
      </c>
      <c r="W1443" s="21"/>
      <c r="X1443" s="21">
        <v>7</v>
      </c>
      <c r="Y1443" s="21"/>
      <c r="Z1443" s="21"/>
      <c r="AA1443" s="21"/>
      <c r="AB1443" s="21"/>
      <c r="AC1443" s="21"/>
      <c r="AD1443" s="21"/>
      <c r="AE1443" s="21"/>
      <c r="AF1443" s="21"/>
      <c r="AG1443" s="21"/>
      <c r="AH1443" s="21">
        <v>55</v>
      </c>
      <c r="AI1443" s="21"/>
      <c r="AJ1443" s="21"/>
      <c r="AK1443" s="21"/>
      <c r="AL1443" s="21"/>
      <c r="AM1443" s="21">
        <v>27</v>
      </c>
      <c r="AN1443" s="21">
        <v>10</v>
      </c>
      <c r="AO1443" s="21">
        <v>3</v>
      </c>
      <c r="AP1443" s="21"/>
      <c r="AQ1443" s="21"/>
      <c r="AR1443" s="21">
        <v>15</v>
      </c>
      <c r="AS1443" s="21"/>
      <c r="AT1443" s="12" t="str">
        <f>HYPERLINK("http://www.openstreetmap.org/?mlat=36.1758&amp;mlon=44.0191&amp;zoom=12#map=12/36.1758/44.0191","Maplink1")</f>
        <v>Maplink1</v>
      </c>
      <c r="AU1443" s="12" t="str">
        <f>HYPERLINK("https://www.google.iq/maps/search/+36.1758,44.0191/@36.1758,44.0191,14z?hl=en","Maplink2")</f>
        <v>Maplink2</v>
      </c>
      <c r="AV1443" s="12" t="str">
        <f>HYPERLINK("http://www.bing.com/maps/?lvl=14&amp;sty=h&amp;cp=36.1758~44.0191&amp;sp=point.36.1758_44.0191","Maplink3")</f>
        <v>Maplink3</v>
      </c>
    </row>
    <row r="1444" spans="1:48" ht="15" customHeight="1" x14ac:dyDescent="0.25">
      <c r="A1444" s="19">
        <v>27208</v>
      </c>
      <c r="B1444" s="20" t="s">
        <v>15</v>
      </c>
      <c r="C1444" s="20" t="s">
        <v>15</v>
      </c>
      <c r="D1444" s="20" t="s">
        <v>2712</v>
      </c>
      <c r="E1444" s="20" t="s">
        <v>2713</v>
      </c>
      <c r="F1444" s="20">
        <v>36.180847720000003</v>
      </c>
      <c r="G1444" s="20">
        <v>44.03236115</v>
      </c>
      <c r="H1444" s="22">
        <v>95</v>
      </c>
      <c r="I1444" s="22">
        <v>570</v>
      </c>
      <c r="J1444" s="21">
        <v>36</v>
      </c>
      <c r="K1444" s="21"/>
      <c r="L1444" s="21">
        <v>10</v>
      </c>
      <c r="M1444" s="21"/>
      <c r="N1444" s="21"/>
      <c r="O1444" s="21"/>
      <c r="P1444" s="21"/>
      <c r="Q1444" s="21"/>
      <c r="R1444" s="21"/>
      <c r="S1444" s="21"/>
      <c r="T1444" s="21"/>
      <c r="U1444" s="21"/>
      <c r="V1444" s="21">
        <v>42</v>
      </c>
      <c r="W1444" s="21"/>
      <c r="X1444" s="21">
        <v>7</v>
      </c>
      <c r="Y1444" s="21"/>
      <c r="Z1444" s="21"/>
      <c r="AA1444" s="21"/>
      <c r="AB1444" s="21"/>
      <c r="AC1444" s="21"/>
      <c r="AD1444" s="21"/>
      <c r="AE1444" s="21"/>
      <c r="AF1444" s="21"/>
      <c r="AG1444" s="21"/>
      <c r="AH1444" s="21">
        <v>95</v>
      </c>
      <c r="AI1444" s="21"/>
      <c r="AJ1444" s="21"/>
      <c r="AK1444" s="21"/>
      <c r="AL1444" s="21">
        <v>31</v>
      </c>
      <c r="AM1444" s="21">
        <v>15</v>
      </c>
      <c r="AN1444" s="21"/>
      <c r="AO1444" s="21">
        <v>5</v>
      </c>
      <c r="AP1444" s="21">
        <v>5</v>
      </c>
      <c r="AQ1444" s="21">
        <v>9</v>
      </c>
      <c r="AR1444" s="21">
        <v>30</v>
      </c>
      <c r="AS1444" s="21"/>
      <c r="AT1444" s="12" t="str">
        <f>HYPERLINK("http://www.openstreetmap.org/?mlat=36.1808&amp;mlon=44.0324&amp;zoom=12#map=12/36.1808/44.0324","Maplink1")</f>
        <v>Maplink1</v>
      </c>
      <c r="AU1444" s="12" t="str">
        <f>HYPERLINK("https://www.google.iq/maps/search/+36.1808,44.0324/@36.1808,44.0324,14z?hl=en","Maplink2")</f>
        <v>Maplink2</v>
      </c>
      <c r="AV1444" s="12" t="str">
        <f>HYPERLINK("http://www.bing.com/maps/?lvl=14&amp;sty=h&amp;cp=36.1808~44.0324&amp;sp=point.36.1808_44.0324","Maplink3")</f>
        <v>Maplink3</v>
      </c>
    </row>
    <row r="1445" spans="1:48" ht="15" customHeight="1" x14ac:dyDescent="0.25">
      <c r="A1445" s="19">
        <v>27209</v>
      </c>
      <c r="B1445" s="20" t="s">
        <v>15</v>
      </c>
      <c r="C1445" s="20" t="s">
        <v>15</v>
      </c>
      <c r="D1445" s="20" t="s">
        <v>2714</v>
      </c>
      <c r="E1445" s="20" t="s">
        <v>2715</v>
      </c>
      <c r="F1445" s="20">
        <v>36.178663405400002</v>
      </c>
      <c r="G1445" s="20">
        <v>44.030632246300001</v>
      </c>
      <c r="H1445" s="22">
        <v>95</v>
      </c>
      <c r="I1445" s="22">
        <v>570</v>
      </c>
      <c r="J1445" s="21">
        <v>61</v>
      </c>
      <c r="K1445" s="21"/>
      <c r="L1445" s="21">
        <v>3</v>
      </c>
      <c r="M1445" s="21"/>
      <c r="N1445" s="21"/>
      <c r="O1445" s="21"/>
      <c r="P1445" s="21"/>
      <c r="Q1445" s="21"/>
      <c r="R1445" s="21"/>
      <c r="S1445" s="21"/>
      <c r="T1445" s="21"/>
      <c r="U1445" s="21"/>
      <c r="V1445" s="21">
        <v>29</v>
      </c>
      <c r="W1445" s="21"/>
      <c r="X1445" s="21">
        <v>2</v>
      </c>
      <c r="Y1445" s="21"/>
      <c r="Z1445" s="21"/>
      <c r="AA1445" s="21"/>
      <c r="AB1445" s="21"/>
      <c r="AC1445" s="21"/>
      <c r="AD1445" s="21"/>
      <c r="AE1445" s="21"/>
      <c r="AF1445" s="21"/>
      <c r="AG1445" s="21"/>
      <c r="AH1445" s="21">
        <v>95</v>
      </c>
      <c r="AI1445" s="21"/>
      <c r="AJ1445" s="21"/>
      <c r="AK1445" s="21"/>
      <c r="AL1445" s="21">
        <v>6</v>
      </c>
      <c r="AM1445" s="21">
        <v>3</v>
      </c>
      <c r="AN1445" s="21">
        <v>6</v>
      </c>
      <c r="AO1445" s="21"/>
      <c r="AP1445" s="21">
        <v>56</v>
      </c>
      <c r="AQ1445" s="21"/>
      <c r="AR1445" s="21">
        <v>24</v>
      </c>
      <c r="AS1445" s="21"/>
      <c r="AT1445" s="12" t="str">
        <f>HYPERLINK("http://www.openstreetmap.org/?mlat=36.1787&amp;mlon=44.0306&amp;zoom=12#map=12/36.1787/44.0306","Maplink1")</f>
        <v>Maplink1</v>
      </c>
      <c r="AU1445" s="12" t="str">
        <f>HYPERLINK("https://www.google.iq/maps/search/+36.1787,44.0306/@36.1787,44.0306,14z?hl=en","Maplink2")</f>
        <v>Maplink2</v>
      </c>
      <c r="AV1445" s="12" t="str">
        <f>HYPERLINK("http://www.bing.com/maps/?lvl=14&amp;sty=h&amp;cp=36.1787~44.0306&amp;sp=point.36.1787_44.0306","Maplink3")</f>
        <v>Maplink3</v>
      </c>
    </row>
    <row r="1446" spans="1:48" ht="15" customHeight="1" x14ac:dyDescent="0.25">
      <c r="A1446" s="19">
        <v>27205</v>
      </c>
      <c r="B1446" s="20" t="s">
        <v>15</v>
      </c>
      <c r="C1446" s="20" t="s">
        <v>15</v>
      </c>
      <c r="D1446" s="20" t="s">
        <v>2716</v>
      </c>
      <c r="E1446" s="20" t="s">
        <v>2717</v>
      </c>
      <c r="F1446" s="20">
        <v>36.163996750000003</v>
      </c>
      <c r="G1446" s="20">
        <v>44.021292029999998</v>
      </c>
      <c r="H1446" s="22">
        <v>302</v>
      </c>
      <c r="I1446" s="22">
        <v>1812</v>
      </c>
      <c r="J1446" s="21">
        <v>124</v>
      </c>
      <c r="K1446" s="21"/>
      <c r="L1446" s="21">
        <v>29</v>
      </c>
      <c r="M1446" s="21"/>
      <c r="N1446" s="21"/>
      <c r="O1446" s="21"/>
      <c r="P1446" s="21"/>
      <c r="Q1446" s="21"/>
      <c r="R1446" s="21"/>
      <c r="S1446" s="21"/>
      <c r="T1446" s="21"/>
      <c r="U1446" s="21"/>
      <c r="V1446" s="21">
        <v>133</v>
      </c>
      <c r="W1446" s="21"/>
      <c r="X1446" s="21">
        <v>16</v>
      </c>
      <c r="Y1446" s="21"/>
      <c r="Z1446" s="21"/>
      <c r="AA1446" s="21"/>
      <c r="AB1446" s="21"/>
      <c r="AC1446" s="21"/>
      <c r="AD1446" s="21"/>
      <c r="AE1446" s="21"/>
      <c r="AF1446" s="21"/>
      <c r="AG1446" s="21"/>
      <c r="AH1446" s="21">
        <v>302</v>
      </c>
      <c r="AI1446" s="21"/>
      <c r="AJ1446" s="21"/>
      <c r="AK1446" s="21"/>
      <c r="AL1446" s="21">
        <v>51</v>
      </c>
      <c r="AM1446" s="21">
        <v>53</v>
      </c>
      <c r="AN1446" s="21">
        <v>50</v>
      </c>
      <c r="AO1446" s="21"/>
      <c r="AP1446" s="21">
        <v>94</v>
      </c>
      <c r="AQ1446" s="21">
        <v>20</v>
      </c>
      <c r="AR1446" s="21">
        <v>30</v>
      </c>
      <c r="AS1446" s="21">
        <v>4</v>
      </c>
      <c r="AT1446" s="12" t="str">
        <f>HYPERLINK("http://www.openstreetmap.org/?mlat=36.164&amp;mlon=44.0213&amp;zoom=12#map=12/36.164/44.0213","Maplink1")</f>
        <v>Maplink1</v>
      </c>
      <c r="AU1446" s="12" t="str">
        <f>HYPERLINK("https://www.google.iq/maps/search/+36.164,44.0213/@36.164,44.0213,14z?hl=en","Maplink2")</f>
        <v>Maplink2</v>
      </c>
      <c r="AV1446" s="12" t="str">
        <f>HYPERLINK("http://www.bing.com/maps/?lvl=14&amp;sty=h&amp;cp=36.164~44.0213&amp;sp=point.36.164_44.0213","Maplink3")</f>
        <v>Maplink3</v>
      </c>
    </row>
    <row r="1447" spans="1:48" ht="15" customHeight="1" x14ac:dyDescent="0.25">
      <c r="A1447" s="19">
        <v>27207</v>
      </c>
      <c r="B1447" s="20" t="s">
        <v>15</v>
      </c>
      <c r="C1447" s="20" t="s">
        <v>15</v>
      </c>
      <c r="D1447" s="20" t="s">
        <v>2718</v>
      </c>
      <c r="E1447" s="20" t="s">
        <v>2719</v>
      </c>
      <c r="F1447" s="20">
        <v>36.169199962900002</v>
      </c>
      <c r="G1447" s="20">
        <v>44.032324344300001</v>
      </c>
      <c r="H1447" s="22">
        <v>235</v>
      </c>
      <c r="I1447" s="22">
        <v>1410</v>
      </c>
      <c r="J1447" s="21">
        <v>115</v>
      </c>
      <c r="K1447" s="21"/>
      <c r="L1447" s="21">
        <v>22</v>
      </c>
      <c r="M1447" s="21"/>
      <c r="N1447" s="21"/>
      <c r="O1447" s="21"/>
      <c r="P1447" s="21"/>
      <c r="Q1447" s="21"/>
      <c r="R1447" s="21"/>
      <c r="S1447" s="21"/>
      <c r="T1447" s="21"/>
      <c r="U1447" s="21"/>
      <c r="V1447" s="21">
        <v>75</v>
      </c>
      <c r="W1447" s="21"/>
      <c r="X1447" s="21">
        <v>23</v>
      </c>
      <c r="Y1447" s="21"/>
      <c r="Z1447" s="21"/>
      <c r="AA1447" s="21"/>
      <c r="AB1447" s="21"/>
      <c r="AC1447" s="21"/>
      <c r="AD1447" s="21"/>
      <c r="AE1447" s="21"/>
      <c r="AF1447" s="21"/>
      <c r="AG1447" s="21"/>
      <c r="AH1447" s="21">
        <v>235</v>
      </c>
      <c r="AI1447" s="21"/>
      <c r="AJ1447" s="21"/>
      <c r="AK1447" s="21"/>
      <c r="AL1447" s="21">
        <v>10</v>
      </c>
      <c r="AM1447" s="21">
        <v>38</v>
      </c>
      <c r="AN1447" s="21">
        <v>10</v>
      </c>
      <c r="AO1447" s="21">
        <v>22</v>
      </c>
      <c r="AP1447" s="21">
        <v>95</v>
      </c>
      <c r="AQ1447" s="21">
        <v>10</v>
      </c>
      <c r="AR1447" s="21">
        <v>40</v>
      </c>
      <c r="AS1447" s="21">
        <v>10</v>
      </c>
      <c r="AT1447" s="12" t="str">
        <f>HYPERLINK("http://www.openstreetmap.org/?mlat=36.1692&amp;mlon=44.0323&amp;zoom=12#map=12/36.1692/44.0323","Maplink1")</f>
        <v>Maplink1</v>
      </c>
      <c r="AU1447" s="12" t="str">
        <f>HYPERLINK("https://www.google.iq/maps/search/+36.1692,44.0323/@36.1692,44.0323,14z?hl=en","Maplink2")</f>
        <v>Maplink2</v>
      </c>
      <c r="AV1447" s="12" t="str">
        <f>HYPERLINK("http://www.bing.com/maps/?lvl=14&amp;sty=h&amp;cp=36.1692~44.0323&amp;sp=point.36.1692_44.0323","Maplink3")</f>
        <v>Maplink3</v>
      </c>
    </row>
    <row r="1448" spans="1:48" ht="15" customHeight="1" x14ac:dyDescent="0.25">
      <c r="A1448" s="19">
        <v>27134</v>
      </c>
      <c r="B1448" s="20" t="s">
        <v>15</v>
      </c>
      <c r="C1448" s="20" t="s">
        <v>15</v>
      </c>
      <c r="D1448" s="20" t="s">
        <v>2720</v>
      </c>
      <c r="E1448" s="20" t="s">
        <v>2721</v>
      </c>
      <c r="F1448" s="20">
        <v>36.236749209999999</v>
      </c>
      <c r="G1448" s="20">
        <v>43.993729860000002</v>
      </c>
      <c r="H1448" s="22">
        <v>75</v>
      </c>
      <c r="I1448" s="22">
        <v>450</v>
      </c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>
        <v>75</v>
      </c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21"/>
      <c r="AH1448" s="21">
        <v>75</v>
      </c>
      <c r="AI1448" s="21"/>
      <c r="AJ1448" s="21"/>
      <c r="AK1448" s="21"/>
      <c r="AL1448" s="21"/>
      <c r="AM1448" s="21">
        <v>38</v>
      </c>
      <c r="AN1448" s="21">
        <v>35</v>
      </c>
      <c r="AO1448" s="21"/>
      <c r="AP1448" s="21"/>
      <c r="AQ1448" s="21"/>
      <c r="AR1448" s="21">
        <v>2</v>
      </c>
      <c r="AS1448" s="21"/>
      <c r="AT1448" s="12" t="str">
        <f>HYPERLINK("http://www.openstreetmap.org/?mlat=36.2367&amp;mlon=43.9937&amp;zoom=12#map=12/36.2367/43.9937","Maplink1")</f>
        <v>Maplink1</v>
      </c>
      <c r="AU1448" s="12" t="str">
        <f>HYPERLINK("https://www.google.iq/maps/search/+36.2367,43.9937/@36.2367,43.9937,14z?hl=en","Maplink2")</f>
        <v>Maplink2</v>
      </c>
      <c r="AV1448" s="12" t="str">
        <f>HYPERLINK("http://www.bing.com/maps/?lvl=14&amp;sty=h&amp;cp=36.2367~43.9937&amp;sp=point.36.2367_43.9937","Maplink3")</f>
        <v>Maplink3</v>
      </c>
    </row>
    <row r="1449" spans="1:48" ht="15" customHeight="1" x14ac:dyDescent="0.25">
      <c r="A1449" s="19">
        <v>27226</v>
      </c>
      <c r="B1449" s="20" t="s">
        <v>15</v>
      </c>
      <c r="C1449" s="20" t="s">
        <v>15</v>
      </c>
      <c r="D1449" s="20" t="s">
        <v>2722</v>
      </c>
      <c r="E1449" s="20" t="s">
        <v>2215</v>
      </c>
      <c r="F1449" s="20">
        <v>36.171391989999996</v>
      </c>
      <c r="G1449" s="20">
        <v>43.993771209999998</v>
      </c>
      <c r="H1449" s="22">
        <v>200</v>
      </c>
      <c r="I1449" s="22">
        <v>1200</v>
      </c>
      <c r="J1449" s="21">
        <v>95</v>
      </c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>
        <v>100</v>
      </c>
      <c r="W1449" s="21"/>
      <c r="X1449" s="21">
        <v>5</v>
      </c>
      <c r="Y1449" s="21"/>
      <c r="Z1449" s="21"/>
      <c r="AA1449" s="21"/>
      <c r="AB1449" s="21"/>
      <c r="AC1449" s="21"/>
      <c r="AD1449" s="21"/>
      <c r="AE1449" s="21"/>
      <c r="AF1449" s="21"/>
      <c r="AG1449" s="21"/>
      <c r="AH1449" s="21">
        <v>200</v>
      </c>
      <c r="AI1449" s="21"/>
      <c r="AJ1449" s="21"/>
      <c r="AK1449" s="21"/>
      <c r="AL1449" s="21">
        <v>18</v>
      </c>
      <c r="AM1449" s="21">
        <v>90</v>
      </c>
      <c r="AN1449" s="21"/>
      <c r="AO1449" s="21"/>
      <c r="AP1449" s="21">
        <v>42</v>
      </c>
      <c r="AQ1449" s="21"/>
      <c r="AR1449" s="21">
        <v>25</v>
      </c>
      <c r="AS1449" s="21">
        <v>25</v>
      </c>
      <c r="AT1449" s="12" t="str">
        <f>HYPERLINK("http://www.openstreetmap.org/?mlat=36.1714&amp;mlon=43.9938&amp;zoom=12#map=12/36.1714/43.9938","Maplink1")</f>
        <v>Maplink1</v>
      </c>
      <c r="AU1449" s="12" t="str">
        <f>HYPERLINK("https://www.google.iq/maps/search/+36.1714,43.9938/@36.1714,43.9938,14z?hl=en","Maplink2")</f>
        <v>Maplink2</v>
      </c>
      <c r="AV1449" s="12" t="str">
        <f>HYPERLINK("http://www.bing.com/maps/?lvl=14&amp;sty=h&amp;cp=36.1714~43.9938&amp;sp=point.36.1714_43.9938","Maplink3")</f>
        <v>Maplink3</v>
      </c>
    </row>
    <row r="1450" spans="1:48" ht="15" customHeight="1" x14ac:dyDescent="0.25">
      <c r="A1450" s="19">
        <v>27216</v>
      </c>
      <c r="B1450" s="20" t="s">
        <v>15</v>
      </c>
      <c r="C1450" s="20" t="s">
        <v>15</v>
      </c>
      <c r="D1450" s="20" t="s">
        <v>2723</v>
      </c>
      <c r="E1450" s="20" t="s">
        <v>2724</v>
      </c>
      <c r="F1450" s="20">
        <v>36.180798000000003</v>
      </c>
      <c r="G1450" s="20">
        <v>44.020308999999997</v>
      </c>
      <c r="H1450" s="22">
        <v>30</v>
      </c>
      <c r="I1450" s="22">
        <v>180</v>
      </c>
      <c r="J1450" s="21">
        <v>17</v>
      </c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>
        <v>13</v>
      </c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21"/>
      <c r="AH1450" s="21">
        <v>30</v>
      </c>
      <c r="AI1450" s="21"/>
      <c r="AJ1450" s="21"/>
      <c r="AK1450" s="21"/>
      <c r="AL1450" s="21"/>
      <c r="AM1450" s="21">
        <v>13</v>
      </c>
      <c r="AN1450" s="21"/>
      <c r="AO1450" s="21"/>
      <c r="AP1450" s="21">
        <v>17</v>
      </c>
      <c r="AQ1450" s="21"/>
      <c r="AR1450" s="21"/>
      <c r="AS1450" s="21"/>
      <c r="AT1450" s="12" t="str">
        <f>HYPERLINK("http://www.openstreetmap.org/?mlat=36.1808&amp;mlon=44.0203&amp;zoom=12#map=12/36.1808/44.0203","Maplink1")</f>
        <v>Maplink1</v>
      </c>
      <c r="AU1450" s="12" t="str">
        <f>HYPERLINK("https://www.google.iq/maps/search/+36.1808,44.0203/@36.1808,44.0203,14z?hl=en","Maplink2")</f>
        <v>Maplink2</v>
      </c>
      <c r="AV1450" s="12" t="str">
        <f>HYPERLINK("http://www.bing.com/maps/?lvl=14&amp;sty=h&amp;cp=36.1808~44.0203&amp;sp=point.36.1808_44.0203","Maplink3")</f>
        <v>Maplink3</v>
      </c>
    </row>
    <row r="1451" spans="1:48" ht="15" customHeight="1" x14ac:dyDescent="0.25">
      <c r="A1451" s="19">
        <v>27215</v>
      </c>
      <c r="B1451" s="20" t="s">
        <v>15</v>
      </c>
      <c r="C1451" s="20" t="s">
        <v>15</v>
      </c>
      <c r="D1451" s="20" t="s">
        <v>2725</v>
      </c>
      <c r="E1451" s="20" t="s">
        <v>2726</v>
      </c>
      <c r="F1451" s="20">
        <v>36.189755040000001</v>
      </c>
      <c r="G1451" s="20">
        <v>44.031867339999998</v>
      </c>
      <c r="H1451" s="22">
        <v>28</v>
      </c>
      <c r="I1451" s="22">
        <v>168</v>
      </c>
      <c r="J1451" s="21">
        <v>17</v>
      </c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>
        <v>11</v>
      </c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21"/>
      <c r="AH1451" s="21">
        <v>28</v>
      </c>
      <c r="AI1451" s="21"/>
      <c r="AJ1451" s="21"/>
      <c r="AK1451" s="21"/>
      <c r="AL1451" s="21"/>
      <c r="AM1451" s="21">
        <v>11</v>
      </c>
      <c r="AN1451" s="21"/>
      <c r="AO1451" s="21"/>
      <c r="AP1451" s="21">
        <v>17</v>
      </c>
      <c r="AQ1451" s="21"/>
      <c r="AR1451" s="21"/>
      <c r="AS1451" s="21"/>
      <c r="AT1451" s="12" t="str">
        <f>HYPERLINK("http://www.openstreetmap.org/?mlat=36.1898&amp;mlon=44.0319&amp;zoom=12#map=12/36.1898/44.0319","Maplink1")</f>
        <v>Maplink1</v>
      </c>
      <c r="AU1451" s="12" t="str">
        <f>HYPERLINK("https://www.google.iq/maps/search/+36.1898,44.0319/@36.1898,44.0319,14z?hl=en","Maplink2")</f>
        <v>Maplink2</v>
      </c>
      <c r="AV1451" s="12" t="str">
        <f>HYPERLINK("http://www.bing.com/maps/?lvl=14&amp;sty=h&amp;cp=36.1898~44.0319&amp;sp=point.36.1898_44.0319","Maplink3")</f>
        <v>Maplink3</v>
      </c>
    </row>
    <row r="1452" spans="1:48" ht="15" customHeight="1" x14ac:dyDescent="0.25">
      <c r="A1452" s="19">
        <v>27330</v>
      </c>
      <c r="B1452" s="20" t="s">
        <v>15</v>
      </c>
      <c r="C1452" s="20" t="s">
        <v>15</v>
      </c>
      <c r="D1452" s="20" t="s">
        <v>2727</v>
      </c>
      <c r="E1452" s="20" t="s">
        <v>2728</v>
      </c>
      <c r="F1452" s="20">
        <v>36.371355445799999</v>
      </c>
      <c r="G1452" s="20">
        <v>44.244680355100002</v>
      </c>
      <c r="H1452" s="22">
        <v>18</v>
      </c>
      <c r="I1452" s="22">
        <v>108</v>
      </c>
      <c r="J1452" s="21">
        <v>13</v>
      </c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>
        <v>5</v>
      </c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21"/>
      <c r="AH1452" s="21">
        <v>18</v>
      </c>
      <c r="AI1452" s="21"/>
      <c r="AJ1452" s="21"/>
      <c r="AK1452" s="21"/>
      <c r="AL1452" s="21">
        <v>3</v>
      </c>
      <c r="AM1452" s="21">
        <v>2</v>
      </c>
      <c r="AN1452" s="21"/>
      <c r="AO1452" s="21"/>
      <c r="AP1452" s="21">
        <v>8</v>
      </c>
      <c r="AQ1452" s="21"/>
      <c r="AR1452" s="21">
        <v>5</v>
      </c>
      <c r="AS1452" s="21"/>
      <c r="AT1452" s="12" t="str">
        <f>HYPERLINK("http://www.openstreetmap.org/?mlat=36.3714&amp;mlon=44.2447&amp;zoom=12#map=12/36.3714/44.2447","Maplink1")</f>
        <v>Maplink1</v>
      </c>
      <c r="AU1452" s="12" t="str">
        <f>HYPERLINK("https://www.google.iq/maps/search/+36.3714,44.2447/@36.3714,44.2447,14z?hl=en","Maplink2")</f>
        <v>Maplink2</v>
      </c>
      <c r="AV1452" s="12" t="str">
        <f>HYPERLINK("http://www.bing.com/maps/?lvl=14&amp;sty=h&amp;cp=36.3714~44.2447&amp;sp=point.36.3714_44.2447","Maplink3")</f>
        <v>Maplink3</v>
      </c>
    </row>
    <row r="1453" spans="1:48" ht="15" customHeight="1" x14ac:dyDescent="0.25">
      <c r="A1453" s="19">
        <v>23911</v>
      </c>
      <c r="B1453" s="20" t="s">
        <v>15</v>
      </c>
      <c r="C1453" s="20" t="s">
        <v>15</v>
      </c>
      <c r="D1453" s="20" t="s">
        <v>2729</v>
      </c>
      <c r="E1453" s="20" t="s">
        <v>2730</v>
      </c>
      <c r="F1453" s="20">
        <v>36.182650389999999</v>
      </c>
      <c r="G1453" s="20">
        <v>44.018366899999997</v>
      </c>
      <c r="H1453" s="22">
        <v>57</v>
      </c>
      <c r="I1453" s="22">
        <v>342</v>
      </c>
      <c r="J1453" s="21">
        <v>35</v>
      </c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>
        <v>22</v>
      </c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21"/>
      <c r="AH1453" s="21">
        <v>57</v>
      </c>
      <c r="AI1453" s="21"/>
      <c r="AJ1453" s="21"/>
      <c r="AK1453" s="21"/>
      <c r="AL1453" s="21"/>
      <c r="AM1453" s="21">
        <v>22</v>
      </c>
      <c r="AN1453" s="21"/>
      <c r="AO1453" s="21"/>
      <c r="AP1453" s="21">
        <v>35</v>
      </c>
      <c r="AQ1453" s="21"/>
      <c r="AR1453" s="21"/>
      <c r="AS1453" s="21"/>
      <c r="AT1453" s="12" t="str">
        <f>HYPERLINK("http://www.openstreetmap.org/?mlat=36.1827&amp;mlon=44.0184&amp;zoom=12#map=12/36.1827/44.0184","Maplink1")</f>
        <v>Maplink1</v>
      </c>
      <c r="AU1453" s="12" t="str">
        <f>HYPERLINK("https://www.google.iq/maps/search/+36.1827,44.0184/@36.1827,44.0184,14z?hl=en","Maplink2")</f>
        <v>Maplink2</v>
      </c>
      <c r="AV1453" s="12" t="str">
        <f>HYPERLINK("http://www.bing.com/maps/?lvl=14&amp;sty=h&amp;cp=36.1827~44.0184&amp;sp=point.36.1827_44.0184","Maplink3")</f>
        <v>Maplink3</v>
      </c>
    </row>
    <row r="1454" spans="1:48" ht="15" customHeight="1" x14ac:dyDescent="0.25">
      <c r="A1454" s="19">
        <v>11777</v>
      </c>
      <c r="B1454" s="20" t="s">
        <v>15</v>
      </c>
      <c r="C1454" s="20" t="s">
        <v>15</v>
      </c>
      <c r="D1454" s="20" t="s">
        <v>2731</v>
      </c>
      <c r="E1454" s="20" t="s">
        <v>2732</v>
      </c>
      <c r="F1454" s="20">
        <v>36.21429432</v>
      </c>
      <c r="G1454" s="20">
        <v>44.097612839999996</v>
      </c>
      <c r="H1454" s="22">
        <v>300</v>
      </c>
      <c r="I1454" s="22">
        <v>1800</v>
      </c>
      <c r="J1454" s="21">
        <v>35</v>
      </c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>
        <v>195</v>
      </c>
      <c r="W1454" s="21"/>
      <c r="X1454" s="21">
        <v>70</v>
      </c>
      <c r="Y1454" s="21"/>
      <c r="Z1454" s="21"/>
      <c r="AA1454" s="21"/>
      <c r="AB1454" s="21"/>
      <c r="AC1454" s="21"/>
      <c r="AD1454" s="21"/>
      <c r="AE1454" s="21"/>
      <c r="AF1454" s="21"/>
      <c r="AG1454" s="21"/>
      <c r="AH1454" s="21">
        <v>300</v>
      </c>
      <c r="AI1454" s="21"/>
      <c r="AJ1454" s="21"/>
      <c r="AK1454" s="21"/>
      <c r="AL1454" s="21">
        <v>20</v>
      </c>
      <c r="AM1454" s="21">
        <v>160</v>
      </c>
      <c r="AN1454" s="21">
        <v>40</v>
      </c>
      <c r="AO1454" s="21"/>
      <c r="AP1454" s="21">
        <v>10</v>
      </c>
      <c r="AQ1454" s="21">
        <v>10</v>
      </c>
      <c r="AR1454" s="21">
        <v>55</v>
      </c>
      <c r="AS1454" s="21">
        <v>5</v>
      </c>
      <c r="AT1454" s="12" t="str">
        <f>HYPERLINK("http://www.openstreetmap.org/?mlat=36.2143&amp;mlon=44.0976&amp;zoom=12#map=12/36.2143/44.0976","Maplink1")</f>
        <v>Maplink1</v>
      </c>
      <c r="AU1454" s="12" t="str">
        <f>HYPERLINK("https://www.google.iq/maps/search/+36.2143,44.0976/@36.2143,44.0976,14z?hl=en","Maplink2")</f>
        <v>Maplink2</v>
      </c>
      <c r="AV1454" s="12" t="str">
        <f>HYPERLINK("http://www.bing.com/maps/?lvl=14&amp;sty=h&amp;cp=36.2143~44.0976&amp;sp=point.36.2143_44.0976","Maplink3")</f>
        <v>Maplink3</v>
      </c>
    </row>
    <row r="1455" spans="1:48" ht="15" customHeight="1" x14ac:dyDescent="0.25">
      <c r="A1455" s="19">
        <v>21251</v>
      </c>
      <c r="B1455" s="20" t="s">
        <v>15</v>
      </c>
      <c r="C1455" s="20" t="s">
        <v>15</v>
      </c>
      <c r="D1455" s="20" t="s">
        <v>2733</v>
      </c>
      <c r="E1455" s="20" t="s">
        <v>2734</v>
      </c>
      <c r="F1455" s="20">
        <v>36.192353641700002</v>
      </c>
      <c r="G1455" s="20">
        <v>44.022285608600001</v>
      </c>
      <c r="H1455" s="22">
        <v>100</v>
      </c>
      <c r="I1455" s="22">
        <v>600</v>
      </c>
      <c r="J1455" s="21">
        <v>18</v>
      </c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>
        <v>54</v>
      </c>
      <c r="W1455" s="21"/>
      <c r="X1455" s="21">
        <v>28</v>
      </c>
      <c r="Y1455" s="21"/>
      <c r="Z1455" s="21"/>
      <c r="AA1455" s="21"/>
      <c r="AB1455" s="21"/>
      <c r="AC1455" s="21"/>
      <c r="AD1455" s="21"/>
      <c r="AE1455" s="21"/>
      <c r="AF1455" s="21"/>
      <c r="AG1455" s="21"/>
      <c r="AH1455" s="21">
        <v>100</v>
      </c>
      <c r="AI1455" s="21"/>
      <c r="AJ1455" s="21"/>
      <c r="AK1455" s="21"/>
      <c r="AL1455" s="21">
        <v>8</v>
      </c>
      <c r="AM1455" s="21">
        <v>68</v>
      </c>
      <c r="AN1455" s="21"/>
      <c r="AO1455" s="21"/>
      <c r="AP1455" s="21">
        <v>10</v>
      </c>
      <c r="AQ1455" s="21">
        <v>3</v>
      </c>
      <c r="AR1455" s="21">
        <v>11</v>
      </c>
      <c r="AS1455" s="21"/>
      <c r="AT1455" s="12" t="str">
        <f>HYPERLINK("http://www.openstreetmap.org/?mlat=36.1924&amp;mlon=44.0223&amp;zoom=12#map=12/36.1924/44.0223","Maplink1")</f>
        <v>Maplink1</v>
      </c>
      <c r="AU1455" s="12" t="str">
        <f>HYPERLINK("https://www.google.iq/maps/search/+36.1924,44.0223/@36.1924,44.0223,14z?hl=en","Maplink2")</f>
        <v>Maplink2</v>
      </c>
      <c r="AV1455" s="12" t="str">
        <f>HYPERLINK("http://www.bing.com/maps/?lvl=14&amp;sty=h&amp;cp=36.1924~44.0223&amp;sp=point.36.1924_44.0223","Maplink3")</f>
        <v>Maplink3</v>
      </c>
    </row>
    <row r="1456" spans="1:48" ht="15" customHeight="1" x14ac:dyDescent="0.25">
      <c r="A1456" s="19">
        <v>25469</v>
      </c>
      <c r="B1456" s="20" t="s">
        <v>15</v>
      </c>
      <c r="C1456" s="20" t="s">
        <v>15</v>
      </c>
      <c r="D1456" s="20" t="s">
        <v>2735</v>
      </c>
      <c r="E1456" s="20" t="s">
        <v>2736</v>
      </c>
      <c r="F1456" s="20">
        <v>36.228375710500003</v>
      </c>
      <c r="G1456" s="20">
        <v>44.126622797499998</v>
      </c>
      <c r="H1456" s="22">
        <v>700</v>
      </c>
      <c r="I1456" s="22">
        <v>4200</v>
      </c>
      <c r="J1456" s="21">
        <v>180</v>
      </c>
      <c r="K1456" s="21"/>
      <c r="L1456" s="21">
        <v>1</v>
      </c>
      <c r="M1456" s="21"/>
      <c r="N1456" s="21"/>
      <c r="O1456" s="21"/>
      <c r="P1456" s="21"/>
      <c r="Q1456" s="21"/>
      <c r="R1456" s="21"/>
      <c r="S1456" s="21"/>
      <c r="T1456" s="21"/>
      <c r="U1456" s="21"/>
      <c r="V1456" s="21">
        <v>316</v>
      </c>
      <c r="W1456" s="21"/>
      <c r="X1456" s="21">
        <v>203</v>
      </c>
      <c r="Y1456" s="21"/>
      <c r="Z1456" s="21"/>
      <c r="AA1456" s="21"/>
      <c r="AB1456" s="21"/>
      <c r="AC1456" s="21"/>
      <c r="AD1456" s="21"/>
      <c r="AE1456" s="21"/>
      <c r="AF1456" s="21"/>
      <c r="AG1456" s="21"/>
      <c r="AH1456" s="21">
        <v>700</v>
      </c>
      <c r="AI1456" s="21"/>
      <c r="AJ1456" s="21"/>
      <c r="AK1456" s="21"/>
      <c r="AL1456" s="21">
        <v>100</v>
      </c>
      <c r="AM1456" s="21">
        <v>351</v>
      </c>
      <c r="AN1456" s="21">
        <v>33</v>
      </c>
      <c r="AO1456" s="21">
        <v>1</v>
      </c>
      <c r="AP1456" s="21">
        <v>63</v>
      </c>
      <c r="AQ1456" s="21"/>
      <c r="AR1456" s="21">
        <v>135</v>
      </c>
      <c r="AS1456" s="21">
        <v>17</v>
      </c>
      <c r="AT1456" s="12" t="str">
        <f>HYPERLINK("http://www.openstreetmap.org/?mlat=36.2284&amp;mlon=44.1266&amp;zoom=12#map=12/36.2284/44.1266","Maplink1")</f>
        <v>Maplink1</v>
      </c>
      <c r="AU1456" s="12" t="str">
        <f>HYPERLINK("https://www.google.iq/maps/search/+36.2284,44.1266/@36.2284,44.1266,14z?hl=en","Maplink2")</f>
        <v>Maplink2</v>
      </c>
      <c r="AV1456" s="12" t="str">
        <f>HYPERLINK("http://www.bing.com/maps/?lvl=14&amp;sty=h&amp;cp=36.2284~44.1266&amp;sp=point.36.2284_44.1266","Maplink3")</f>
        <v>Maplink3</v>
      </c>
    </row>
    <row r="1457" spans="1:48" ht="15" customHeight="1" x14ac:dyDescent="0.25">
      <c r="A1457" s="19">
        <v>11711</v>
      </c>
      <c r="B1457" s="20" t="s">
        <v>15</v>
      </c>
      <c r="C1457" s="20" t="s">
        <v>15</v>
      </c>
      <c r="D1457" s="20" t="s">
        <v>2737</v>
      </c>
      <c r="E1457" s="20" t="s">
        <v>2738</v>
      </c>
      <c r="F1457" s="20">
        <v>36.382858229999997</v>
      </c>
      <c r="G1457" s="20">
        <v>43.865946870000002</v>
      </c>
      <c r="H1457" s="22">
        <v>11</v>
      </c>
      <c r="I1457" s="22">
        <v>66</v>
      </c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>
        <v>11</v>
      </c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21"/>
      <c r="AH1457" s="21">
        <v>11</v>
      </c>
      <c r="AI1457" s="21"/>
      <c r="AJ1457" s="21"/>
      <c r="AK1457" s="21"/>
      <c r="AL1457" s="21"/>
      <c r="AM1457" s="21"/>
      <c r="AN1457" s="21">
        <v>10</v>
      </c>
      <c r="AO1457" s="21"/>
      <c r="AP1457" s="21"/>
      <c r="AQ1457" s="21"/>
      <c r="AR1457" s="21">
        <v>1</v>
      </c>
      <c r="AS1457" s="21"/>
      <c r="AT1457" s="12" t="str">
        <f>HYPERLINK("http://www.openstreetmap.org/?mlat=36.3829&amp;mlon=43.8659&amp;zoom=12#map=12/36.3829/43.8659","Maplink1")</f>
        <v>Maplink1</v>
      </c>
      <c r="AU1457" s="12" t="str">
        <f>HYPERLINK("https://www.google.iq/maps/search/+36.3829,43.8659/@36.3829,43.8659,14z?hl=en","Maplink2")</f>
        <v>Maplink2</v>
      </c>
      <c r="AV1457" s="12" t="str">
        <f>HYPERLINK("http://www.bing.com/maps/?lvl=14&amp;sty=h&amp;cp=36.3829~43.8659&amp;sp=point.36.3829_43.8659","Maplink3")</f>
        <v>Maplink3</v>
      </c>
    </row>
    <row r="1458" spans="1:48" ht="15" customHeight="1" x14ac:dyDescent="0.25">
      <c r="A1458" s="19">
        <v>21250</v>
      </c>
      <c r="B1458" s="20" t="s">
        <v>15</v>
      </c>
      <c r="C1458" s="20" t="s">
        <v>15</v>
      </c>
      <c r="D1458" s="20" t="s">
        <v>2739</v>
      </c>
      <c r="E1458" s="20" t="s">
        <v>2740</v>
      </c>
      <c r="F1458" s="20">
        <v>36.152072670000003</v>
      </c>
      <c r="G1458" s="20">
        <v>44.042323690000003</v>
      </c>
      <c r="H1458" s="22">
        <v>200</v>
      </c>
      <c r="I1458" s="22">
        <v>1200</v>
      </c>
      <c r="J1458" s="21">
        <v>81</v>
      </c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>
        <v>69</v>
      </c>
      <c r="W1458" s="21"/>
      <c r="X1458" s="21">
        <v>50</v>
      </c>
      <c r="Y1458" s="21"/>
      <c r="Z1458" s="21"/>
      <c r="AA1458" s="21"/>
      <c r="AB1458" s="21"/>
      <c r="AC1458" s="21"/>
      <c r="AD1458" s="21"/>
      <c r="AE1458" s="21"/>
      <c r="AF1458" s="21"/>
      <c r="AG1458" s="21"/>
      <c r="AH1458" s="21">
        <v>200</v>
      </c>
      <c r="AI1458" s="21"/>
      <c r="AJ1458" s="21"/>
      <c r="AK1458" s="21"/>
      <c r="AL1458" s="21">
        <v>48</v>
      </c>
      <c r="AM1458" s="21">
        <v>84</v>
      </c>
      <c r="AN1458" s="21"/>
      <c r="AO1458" s="21"/>
      <c r="AP1458" s="21">
        <v>30</v>
      </c>
      <c r="AQ1458" s="21">
        <v>3</v>
      </c>
      <c r="AR1458" s="21">
        <v>35</v>
      </c>
      <c r="AS1458" s="21"/>
      <c r="AT1458" s="12" t="str">
        <f>HYPERLINK("http://www.openstreetmap.org/?mlat=36.1521&amp;mlon=44.0423&amp;zoom=12#map=12/36.1521/44.0423","Maplink1")</f>
        <v>Maplink1</v>
      </c>
      <c r="AU1458" s="12" t="str">
        <f>HYPERLINK("https://www.google.iq/maps/search/+36.1521,44.0423/@36.1521,44.0423,14z?hl=en","Maplink2")</f>
        <v>Maplink2</v>
      </c>
      <c r="AV1458" s="12" t="str">
        <f>HYPERLINK("http://www.bing.com/maps/?lvl=14&amp;sty=h&amp;cp=36.1521~44.0423&amp;sp=point.36.1521_44.0423","Maplink3")</f>
        <v>Maplink3</v>
      </c>
    </row>
    <row r="1459" spans="1:48" ht="15" customHeight="1" x14ac:dyDescent="0.25">
      <c r="A1459" s="19">
        <v>11709</v>
      </c>
      <c r="B1459" s="20" t="s">
        <v>15</v>
      </c>
      <c r="C1459" s="20" t="s">
        <v>15</v>
      </c>
      <c r="D1459" s="20" t="s">
        <v>2741</v>
      </c>
      <c r="E1459" s="20" t="s">
        <v>2742</v>
      </c>
      <c r="F1459" s="20">
        <v>36.248536099799999</v>
      </c>
      <c r="G1459" s="20">
        <v>44.087273938199999</v>
      </c>
      <c r="H1459" s="22">
        <v>530</v>
      </c>
      <c r="I1459" s="22">
        <v>3180</v>
      </c>
      <c r="J1459" s="21">
        <v>78</v>
      </c>
      <c r="K1459" s="21"/>
      <c r="L1459" s="21">
        <v>57</v>
      </c>
      <c r="M1459" s="21"/>
      <c r="N1459" s="21"/>
      <c r="O1459" s="21"/>
      <c r="P1459" s="21"/>
      <c r="Q1459" s="21"/>
      <c r="R1459" s="21">
        <v>15</v>
      </c>
      <c r="S1459" s="21"/>
      <c r="T1459" s="21"/>
      <c r="U1459" s="21"/>
      <c r="V1459" s="21">
        <v>363</v>
      </c>
      <c r="W1459" s="21"/>
      <c r="X1459" s="21">
        <v>17</v>
      </c>
      <c r="Y1459" s="21"/>
      <c r="Z1459" s="21"/>
      <c r="AA1459" s="21"/>
      <c r="AB1459" s="21"/>
      <c r="AC1459" s="21">
        <v>10</v>
      </c>
      <c r="AD1459" s="21"/>
      <c r="AE1459" s="21"/>
      <c r="AF1459" s="21"/>
      <c r="AG1459" s="21"/>
      <c r="AH1459" s="21">
        <v>520</v>
      </c>
      <c r="AI1459" s="21"/>
      <c r="AJ1459" s="21"/>
      <c r="AK1459" s="21"/>
      <c r="AL1459" s="21"/>
      <c r="AM1459" s="21">
        <v>334</v>
      </c>
      <c r="AN1459" s="21">
        <v>16</v>
      </c>
      <c r="AO1459" s="21">
        <v>48</v>
      </c>
      <c r="AP1459" s="21">
        <v>59</v>
      </c>
      <c r="AQ1459" s="21">
        <v>10</v>
      </c>
      <c r="AR1459" s="21">
        <v>48</v>
      </c>
      <c r="AS1459" s="21">
        <v>15</v>
      </c>
      <c r="AT1459" s="12" t="str">
        <f>HYPERLINK("http://www.openstreetmap.org/?mlat=36.2485&amp;mlon=44.0873&amp;zoom=12#map=12/36.2485/44.0873","Maplink1")</f>
        <v>Maplink1</v>
      </c>
      <c r="AU1459" s="12" t="str">
        <f>HYPERLINK("https://www.google.iq/maps/search/+36.2485,44.0873/@36.2485,44.0873,14z?hl=en","Maplink2")</f>
        <v>Maplink2</v>
      </c>
      <c r="AV1459" s="12" t="str">
        <f>HYPERLINK("http://www.bing.com/maps/?lvl=14&amp;sty=h&amp;cp=36.2485~44.0873&amp;sp=point.36.2485_44.0873","Maplink3")</f>
        <v>Maplink3</v>
      </c>
    </row>
    <row r="1460" spans="1:48" ht="15" customHeight="1" x14ac:dyDescent="0.25">
      <c r="A1460" s="19">
        <v>27331</v>
      </c>
      <c r="B1460" s="20" t="s">
        <v>15</v>
      </c>
      <c r="C1460" s="20" t="s">
        <v>15</v>
      </c>
      <c r="D1460" s="20" t="s">
        <v>2743</v>
      </c>
      <c r="E1460" s="20" t="s">
        <v>2744</v>
      </c>
      <c r="F1460" s="20">
        <v>36.196116449999998</v>
      </c>
      <c r="G1460" s="20">
        <v>44.135105350000003</v>
      </c>
      <c r="H1460" s="22">
        <v>15</v>
      </c>
      <c r="I1460" s="22">
        <v>90</v>
      </c>
      <c r="J1460" s="21">
        <v>7</v>
      </c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>
        <v>8</v>
      </c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21"/>
      <c r="AH1460" s="21">
        <v>15</v>
      </c>
      <c r="AI1460" s="21"/>
      <c r="AJ1460" s="21"/>
      <c r="AK1460" s="21"/>
      <c r="AL1460" s="21">
        <v>5</v>
      </c>
      <c r="AM1460" s="21">
        <v>5</v>
      </c>
      <c r="AN1460" s="21">
        <v>4</v>
      </c>
      <c r="AO1460" s="21"/>
      <c r="AP1460" s="21">
        <v>1</v>
      </c>
      <c r="AQ1460" s="21"/>
      <c r="AR1460" s="21"/>
      <c r="AS1460" s="21"/>
      <c r="AT1460" s="12" t="str">
        <f>HYPERLINK("http://www.openstreetmap.org/?mlat=36.1961&amp;mlon=44.1351&amp;zoom=12#map=12/36.1961/44.1351","Maplink1")</f>
        <v>Maplink1</v>
      </c>
      <c r="AU1460" s="12" t="str">
        <f>HYPERLINK("https://www.google.iq/maps/search/+36.1961,44.1351/@36.1961,44.1351,14z?hl=en","Maplink2")</f>
        <v>Maplink2</v>
      </c>
      <c r="AV1460" s="12" t="str">
        <f>HYPERLINK("http://www.bing.com/maps/?lvl=14&amp;sty=h&amp;cp=36.1961~44.1351&amp;sp=point.36.1961_44.1351","Maplink3")</f>
        <v>Maplink3</v>
      </c>
    </row>
    <row r="1461" spans="1:48" ht="15" customHeight="1" x14ac:dyDescent="0.25">
      <c r="A1461" s="19">
        <v>22076</v>
      </c>
      <c r="B1461" s="20" t="s">
        <v>15</v>
      </c>
      <c r="C1461" s="20" t="s">
        <v>15</v>
      </c>
      <c r="D1461" s="20" t="s">
        <v>2745</v>
      </c>
      <c r="E1461" s="20" t="s">
        <v>2161</v>
      </c>
      <c r="F1461" s="20">
        <v>36.206528050000003</v>
      </c>
      <c r="G1461" s="20">
        <v>44.021267960000003</v>
      </c>
      <c r="H1461" s="22">
        <v>225</v>
      </c>
      <c r="I1461" s="22">
        <v>1350</v>
      </c>
      <c r="J1461" s="21">
        <v>32</v>
      </c>
      <c r="K1461" s="21"/>
      <c r="L1461" s="21">
        <v>58</v>
      </c>
      <c r="M1461" s="21"/>
      <c r="N1461" s="21"/>
      <c r="O1461" s="21">
        <v>3</v>
      </c>
      <c r="P1461" s="21"/>
      <c r="Q1461" s="21"/>
      <c r="R1461" s="21">
        <v>12</v>
      </c>
      <c r="S1461" s="21"/>
      <c r="T1461" s="21"/>
      <c r="U1461" s="21"/>
      <c r="V1461" s="21">
        <v>114</v>
      </c>
      <c r="W1461" s="21"/>
      <c r="X1461" s="21">
        <v>6</v>
      </c>
      <c r="Y1461" s="21"/>
      <c r="Z1461" s="21"/>
      <c r="AA1461" s="21"/>
      <c r="AB1461" s="21"/>
      <c r="AC1461" s="21"/>
      <c r="AD1461" s="21"/>
      <c r="AE1461" s="21"/>
      <c r="AF1461" s="21"/>
      <c r="AG1461" s="21"/>
      <c r="AH1461" s="21">
        <v>225</v>
      </c>
      <c r="AI1461" s="21"/>
      <c r="AJ1461" s="21"/>
      <c r="AK1461" s="21"/>
      <c r="AL1461" s="21">
        <v>10</v>
      </c>
      <c r="AM1461" s="21">
        <v>75</v>
      </c>
      <c r="AN1461" s="21">
        <v>15</v>
      </c>
      <c r="AO1461" s="21">
        <v>40</v>
      </c>
      <c r="AP1461" s="21">
        <v>22</v>
      </c>
      <c r="AQ1461" s="21">
        <v>8</v>
      </c>
      <c r="AR1461" s="21">
        <v>35</v>
      </c>
      <c r="AS1461" s="21">
        <v>20</v>
      </c>
      <c r="AT1461" s="12" t="str">
        <f>HYPERLINK("http://www.openstreetmap.org/?mlat=36.2065&amp;mlon=44.0213&amp;zoom=12#map=12/36.2065/44.0213","Maplink1")</f>
        <v>Maplink1</v>
      </c>
      <c r="AU1461" s="12" t="str">
        <f>HYPERLINK("https://www.google.iq/maps/search/+36.2065,44.0213/@36.2065,44.0213,14z?hl=en","Maplink2")</f>
        <v>Maplink2</v>
      </c>
      <c r="AV1461" s="12" t="str">
        <f>HYPERLINK("http://www.bing.com/maps/?lvl=14&amp;sty=h&amp;cp=36.2065~44.0213&amp;sp=point.36.2065_44.0213","Maplink3")</f>
        <v>Maplink3</v>
      </c>
    </row>
    <row r="1462" spans="1:48" ht="15" customHeight="1" x14ac:dyDescent="0.25">
      <c r="A1462" s="19">
        <v>27212</v>
      </c>
      <c r="B1462" s="20" t="s">
        <v>15</v>
      </c>
      <c r="C1462" s="20" t="s">
        <v>15</v>
      </c>
      <c r="D1462" s="20" t="s">
        <v>2746</v>
      </c>
      <c r="E1462" s="20" t="s">
        <v>2747</v>
      </c>
      <c r="F1462" s="20">
        <v>36.210458029999998</v>
      </c>
      <c r="G1462" s="20">
        <v>44.003548119999998</v>
      </c>
      <c r="H1462" s="22">
        <v>232</v>
      </c>
      <c r="I1462" s="22">
        <v>1392</v>
      </c>
      <c r="J1462" s="21">
        <v>27</v>
      </c>
      <c r="K1462" s="21"/>
      <c r="L1462" s="21">
        <v>71</v>
      </c>
      <c r="M1462" s="21"/>
      <c r="N1462" s="21"/>
      <c r="O1462" s="21">
        <v>3</v>
      </c>
      <c r="P1462" s="21"/>
      <c r="Q1462" s="21"/>
      <c r="R1462" s="21">
        <v>24</v>
      </c>
      <c r="S1462" s="21"/>
      <c r="T1462" s="21"/>
      <c r="U1462" s="21"/>
      <c r="V1462" s="21">
        <v>91</v>
      </c>
      <c r="W1462" s="21"/>
      <c r="X1462" s="21">
        <v>16</v>
      </c>
      <c r="Y1462" s="21"/>
      <c r="Z1462" s="21"/>
      <c r="AA1462" s="21"/>
      <c r="AB1462" s="21"/>
      <c r="AC1462" s="21"/>
      <c r="AD1462" s="21"/>
      <c r="AE1462" s="21"/>
      <c r="AF1462" s="21"/>
      <c r="AG1462" s="21"/>
      <c r="AH1462" s="21">
        <v>232</v>
      </c>
      <c r="AI1462" s="21"/>
      <c r="AJ1462" s="21"/>
      <c r="AK1462" s="21"/>
      <c r="AL1462" s="21">
        <v>5</v>
      </c>
      <c r="AM1462" s="21">
        <v>76</v>
      </c>
      <c r="AN1462" s="21">
        <v>10</v>
      </c>
      <c r="AO1462" s="21">
        <v>70</v>
      </c>
      <c r="AP1462" s="21">
        <v>27</v>
      </c>
      <c r="AQ1462" s="21">
        <v>6</v>
      </c>
      <c r="AR1462" s="21">
        <v>10</v>
      </c>
      <c r="AS1462" s="21">
        <v>28</v>
      </c>
      <c r="AT1462" s="12" t="str">
        <f>HYPERLINK("http://www.openstreetmap.org/?mlat=36.2105&amp;mlon=44.0035&amp;zoom=12#map=12/36.2105/44.0035","Maplink1")</f>
        <v>Maplink1</v>
      </c>
      <c r="AU1462" s="12" t="str">
        <f>HYPERLINK("https://www.google.iq/maps/search/+36.2105,44.0035/@36.2105,44.0035,14z?hl=en","Maplink2")</f>
        <v>Maplink2</v>
      </c>
      <c r="AV1462" s="12" t="str">
        <f>HYPERLINK("http://www.bing.com/maps/?lvl=14&amp;sty=h&amp;cp=36.2105~44.0035&amp;sp=point.36.2105_44.0035","Maplink3")</f>
        <v>Maplink3</v>
      </c>
    </row>
    <row r="1463" spans="1:48" ht="15" customHeight="1" x14ac:dyDescent="0.25">
      <c r="A1463" s="19">
        <v>27211</v>
      </c>
      <c r="B1463" s="20" t="s">
        <v>15</v>
      </c>
      <c r="C1463" s="20" t="s">
        <v>15</v>
      </c>
      <c r="D1463" s="20" t="s">
        <v>2748</v>
      </c>
      <c r="E1463" s="20" t="s">
        <v>2749</v>
      </c>
      <c r="F1463" s="20">
        <v>36.213788010000002</v>
      </c>
      <c r="G1463" s="20">
        <v>44.019290130000002</v>
      </c>
      <c r="H1463" s="22">
        <v>284</v>
      </c>
      <c r="I1463" s="22">
        <v>1704</v>
      </c>
      <c r="J1463" s="21">
        <v>39</v>
      </c>
      <c r="K1463" s="21"/>
      <c r="L1463" s="21">
        <v>60</v>
      </c>
      <c r="M1463" s="21"/>
      <c r="N1463" s="21"/>
      <c r="O1463" s="21">
        <v>5</v>
      </c>
      <c r="P1463" s="21"/>
      <c r="Q1463" s="21"/>
      <c r="R1463" s="21">
        <v>30</v>
      </c>
      <c r="S1463" s="21"/>
      <c r="T1463" s="21"/>
      <c r="U1463" s="21"/>
      <c r="V1463" s="21">
        <v>133</v>
      </c>
      <c r="W1463" s="21"/>
      <c r="X1463" s="21">
        <v>17</v>
      </c>
      <c r="Y1463" s="21"/>
      <c r="Z1463" s="21"/>
      <c r="AA1463" s="21"/>
      <c r="AB1463" s="21"/>
      <c r="AC1463" s="21"/>
      <c r="AD1463" s="21"/>
      <c r="AE1463" s="21"/>
      <c r="AF1463" s="21"/>
      <c r="AG1463" s="21"/>
      <c r="AH1463" s="21">
        <v>284</v>
      </c>
      <c r="AI1463" s="21"/>
      <c r="AJ1463" s="21"/>
      <c r="AK1463" s="21"/>
      <c r="AL1463" s="21">
        <v>15</v>
      </c>
      <c r="AM1463" s="21">
        <v>112</v>
      </c>
      <c r="AN1463" s="21">
        <v>22</v>
      </c>
      <c r="AO1463" s="21">
        <v>60</v>
      </c>
      <c r="AP1463" s="21">
        <v>24</v>
      </c>
      <c r="AQ1463" s="21">
        <v>3</v>
      </c>
      <c r="AR1463" s="21">
        <v>18</v>
      </c>
      <c r="AS1463" s="21">
        <v>30</v>
      </c>
      <c r="AT1463" s="12" t="str">
        <f>HYPERLINK("http://www.openstreetmap.org/?mlat=36.2138&amp;mlon=44.0193&amp;zoom=12#map=12/36.2138/44.0193","Maplink1")</f>
        <v>Maplink1</v>
      </c>
      <c r="AU1463" s="12" t="str">
        <f>HYPERLINK("https://www.google.iq/maps/search/+36.2138,44.0193/@36.2138,44.0193,14z?hl=en","Maplink2")</f>
        <v>Maplink2</v>
      </c>
      <c r="AV1463" s="12" t="str">
        <f>HYPERLINK("http://www.bing.com/maps/?lvl=14&amp;sty=h&amp;cp=36.2138~44.0193&amp;sp=point.36.2138_44.0193","Maplink3")</f>
        <v>Maplink3</v>
      </c>
    </row>
    <row r="1464" spans="1:48" ht="15" customHeight="1" x14ac:dyDescent="0.25">
      <c r="A1464" s="19">
        <v>27214</v>
      </c>
      <c r="B1464" s="20" t="s">
        <v>15</v>
      </c>
      <c r="C1464" s="20" t="s">
        <v>15</v>
      </c>
      <c r="D1464" s="20" t="s">
        <v>2750</v>
      </c>
      <c r="E1464" s="20" t="s">
        <v>2751</v>
      </c>
      <c r="F1464" s="20">
        <v>36.217374318700003</v>
      </c>
      <c r="G1464" s="20">
        <v>44.031602123600003</v>
      </c>
      <c r="H1464" s="22">
        <v>211</v>
      </c>
      <c r="I1464" s="22">
        <v>1266</v>
      </c>
      <c r="J1464" s="21">
        <v>23</v>
      </c>
      <c r="K1464" s="21"/>
      <c r="L1464" s="21">
        <v>61</v>
      </c>
      <c r="M1464" s="21"/>
      <c r="N1464" s="21"/>
      <c r="O1464" s="21">
        <v>2</v>
      </c>
      <c r="P1464" s="21"/>
      <c r="Q1464" s="21"/>
      <c r="R1464" s="21">
        <v>16</v>
      </c>
      <c r="S1464" s="21"/>
      <c r="T1464" s="21"/>
      <c r="U1464" s="21"/>
      <c r="V1464" s="21">
        <v>94</v>
      </c>
      <c r="W1464" s="21"/>
      <c r="X1464" s="21">
        <v>15</v>
      </c>
      <c r="Y1464" s="21"/>
      <c r="Z1464" s="21"/>
      <c r="AA1464" s="21"/>
      <c r="AB1464" s="21"/>
      <c r="AC1464" s="21"/>
      <c r="AD1464" s="21"/>
      <c r="AE1464" s="21"/>
      <c r="AF1464" s="21"/>
      <c r="AG1464" s="21"/>
      <c r="AH1464" s="21">
        <v>211</v>
      </c>
      <c r="AI1464" s="21"/>
      <c r="AJ1464" s="21"/>
      <c r="AK1464" s="21"/>
      <c r="AL1464" s="21">
        <v>9</v>
      </c>
      <c r="AM1464" s="21">
        <v>93</v>
      </c>
      <c r="AN1464" s="21">
        <v>10</v>
      </c>
      <c r="AO1464" s="21">
        <v>61</v>
      </c>
      <c r="AP1464" s="21">
        <v>13</v>
      </c>
      <c r="AQ1464" s="21"/>
      <c r="AR1464" s="21">
        <v>9</v>
      </c>
      <c r="AS1464" s="21">
        <v>16</v>
      </c>
      <c r="AT1464" s="12" t="str">
        <f>HYPERLINK("http://www.openstreetmap.org/?mlat=36.2174&amp;mlon=44.0316&amp;zoom=12#map=12/36.2174/44.0316","Maplink1")</f>
        <v>Maplink1</v>
      </c>
      <c r="AU1464" s="12" t="str">
        <f>HYPERLINK("https://www.google.iq/maps/search/+36.2174,44.0316/@36.2174,44.0316,14z?hl=en","Maplink2")</f>
        <v>Maplink2</v>
      </c>
      <c r="AV1464" s="12" t="str">
        <f>HYPERLINK("http://www.bing.com/maps/?lvl=14&amp;sty=h&amp;cp=36.2174~44.0316&amp;sp=point.36.2174_44.0316","Maplink3")</f>
        <v>Maplink3</v>
      </c>
    </row>
    <row r="1465" spans="1:48" ht="15" customHeight="1" x14ac:dyDescent="0.25">
      <c r="A1465" s="19">
        <v>27213</v>
      </c>
      <c r="B1465" s="20" t="s">
        <v>15</v>
      </c>
      <c r="C1465" s="20" t="s">
        <v>15</v>
      </c>
      <c r="D1465" s="20" t="s">
        <v>2752</v>
      </c>
      <c r="E1465" s="20" t="s">
        <v>2753</v>
      </c>
      <c r="F1465" s="20">
        <v>36.2105396782</v>
      </c>
      <c r="G1465" s="20">
        <v>44.013702479300001</v>
      </c>
      <c r="H1465" s="22">
        <v>148</v>
      </c>
      <c r="I1465" s="22">
        <v>888</v>
      </c>
      <c r="J1465" s="21">
        <v>32</v>
      </c>
      <c r="K1465" s="21"/>
      <c r="L1465" s="21">
        <v>14</v>
      </c>
      <c r="M1465" s="21"/>
      <c r="N1465" s="21"/>
      <c r="O1465" s="21">
        <v>2</v>
      </c>
      <c r="P1465" s="21"/>
      <c r="Q1465" s="21"/>
      <c r="R1465" s="21">
        <v>5</v>
      </c>
      <c r="S1465" s="21"/>
      <c r="T1465" s="21"/>
      <c r="U1465" s="21"/>
      <c r="V1465" s="21">
        <v>87</v>
      </c>
      <c r="W1465" s="21"/>
      <c r="X1465" s="21">
        <v>8</v>
      </c>
      <c r="Y1465" s="21"/>
      <c r="Z1465" s="21"/>
      <c r="AA1465" s="21"/>
      <c r="AB1465" s="21"/>
      <c r="AC1465" s="21"/>
      <c r="AD1465" s="21"/>
      <c r="AE1465" s="21"/>
      <c r="AF1465" s="21"/>
      <c r="AG1465" s="21"/>
      <c r="AH1465" s="21">
        <v>148</v>
      </c>
      <c r="AI1465" s="21"/>
      <c r="AJ1465" s="21"/>
      <c r="AK1465" s="21"/>
      <c r="AL1465" s="21">
        <v>3</v>
      </c>
      <c r="AM1465" s="21">
        <v>82</v>
      </c>
      <c r="AN1465" s="21">
        <v>2</v>
      </c>
      <c r="AO1465" s="21">
        <v>14</v>
      </c>
      <c r="AP1465" s="21">
        <v>27</v>
      </c>
      <c r="AQ1465" s="21"/>
      <c r="AR1465" s="21">
        <v>10</v>
      </c>
      <c r="AS1465" s="21">
        <v>10</v>
      </c>
      <c r="AT1465" s="12" t="str">
        <f>HYPERLINK("http://www.openstreetmap.org/?mlat=36.2105&amp;mlon=44.0137&amp;zoom=12#map=12/36.2105/44.0137","Maplink1")</f>
        <v>Maplink1</v>
      </c>
      <c r="AU1465" s="12" t="str">
        <f>HYPERLINK("https://www.google.iq/maps/search/+36.2105,44.0137/@36.2105,44.0137,14z?hl=en","Maplink2")</f>
        <v>Maplink2</v>
      </c>
      <c r="AV1465" s="12" t="str">
        <f>HYPERLINK("http://www.bing.com/maps/?lvl=14&amp;sty=h&amp;cp=36.2105~44.0137&amp;sp=point.36.2105_44.0137","Maplink3")</f>
        <v>Maplink3</v>
      </c>
    </row>
    <row r="1466" spans="1:48" ht="15" customHeight="1" x14ac:dyDescent="0.25">
      <c r="A1466" s="19">
        <v>27149</v>
      </c>
      <c r="B1466" s="20" t="s">
        <v>15</v>
      </c>
      <c r="C1466" s="20" t="s">
        <v>15</v>
      </c>
      <c r="D1466" s="20" t="s">
        <v>2754</v>
      </c>
      <c r="E1466" s="20" t="s">
        <v>2755</v>
      </c>
      <c r="F1466" s="20">
        <v>36.225873159999999</v>
      </c>
      <c r="G1466" s="20">
        <v>44.001875929999997</v>
      </c>
      <c r="H1466" s="22">
        <v>80</v>
      </c>
      <c r="I1466" s="22">
        <v>480</v>
      </c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>
        <v>73</v>
      </c>
      <c r="W1466" s="21"/>
      <c r="X1466" s="21">
        <v>7</v>
      </c>
      <c r="Y1466" s="21"/>
      <c r="Z1466" s="21"/>
      <c r="AA1466" s="21"/>
      <c r="AB1466" s="21"/>
      <c r="AC1466" s="21"/>
      <c r="AD1466" s="21"/>
      <c r="AE1466" s="21"/>
      <c r="AF1466" s="21"/>
      <c r="AG1466" s="21"/>
      <c r="AH1466" s="21">
        <v>80</v>
      </c>
      <c r="AI1466" s="21"/>
      <c r="AJ1466" s="21"/>
      <c r="AK1466" s="21"/>
      <c r="AL1466" s="21"/>
      <c r="AM1466" s="21">
        <v>46</v>
      </c>
      <c r="AN1466" s="21">
        <v>34</v>
      </c>
      <c r="AO1466" s="21"/>
      <c r="AP1466" s="21"/>
      <c r="AQ1466" s="21"/>
      <c r="AR1466" s="21"/>
      <c r="AS1466" s="21"/>
      <c r="AT1466" s="12" t="str">
        <f>HYPERLINK("http://www.openstreetmap.org/?mlat=36.2259&amp;mlon=44.0019&amp;zoom=12#map=12/36.2259/44.0019","Maplink1")</f>
        <v>Maplink1</v>
      </c>
      <c r="AU1466" s="12" t="str">
        <f>HYPERLINK("https://www.google.iq/maps/search/+36.2259,44.0019/@36.2259,44.0019,14z?hl=en","Maplink2")</f>
        <v>Maplink2</v>
      </c>
      <c r="AV1466" s="12" t="str">
        <f>HYPERLINK("http://www.bing.com/maps/?lvl=14&amp;sty=h&amp;cp=36.2259~44.0019&amp;sp=point.36.2259_44.0019","Maplink3")</f>
        <v>Maplink3</v>
      </c>
    </row>
    <row r="1467" spans="1:48" ht="15" customHeight="1" x14ac:dyDescent="0.25">
      <c r="A1467" s="19">
        <v>22027</v>
      </c>
      <c r="B1467" s="20" t="s">
        <v>15</v>
      </c>
      <c r="C1467" s="20" t="s">
        <v>15</v>
      </c>
      <c r="D1467" s="20" t="s">
        <v>2756</v>
      </c>
      <c r="E1467" s="20" t="s">
        <v>2757</v>
      </c>
      <c r="F1467" s="20">
        <v>36.196697159999999</v>
      </c>
      <c r="G1467" s="20">
        <v>43.592672360000002</v>
      </c>
      <c r="H1467" s="22">
        <v>40</v>
      </c>
      <c r="I1467" s="22">
        <v>240</v>
      </c>
      <c r="J1467" s="21"/>
      <c r="K1467" s="21"/>
      <c r="L1467" s="21"/>
      <c r="M1467" s="21"/>
      <c r="N1467" s="21"/>
      <c r="O1467" s="21"/>
      <c r="P1467" s="21"/>
      <c r="Q1467" s="21"/>
      <c r="R1467" s="21">
        <v>30</v>
      </c>
      <c r="S1467" s="21"/>
      <c r="T1467" s="21"/>
      <c r="U1467" s="21"/>
      <c r="V1467" s="21">
        <v>10</v>
      </c>
      <c r="W1467" s="21"/>
      <c r="X1467" s="21"/>
      <c r="Y1467" s="21"/>
      <c r="Z1467" s="21"/>
      <c r="AA1467" s="21"/>
      <c r="AB1467" s="21"/>
      <c r="AC1467" s="21">
        <v>10</v>
      </c>
      <c r="AD1467" s="21"/>
      <c r="AE1467" s="21"/>
      <c r="AF1467" s="21"/>
      <c r="AG1467" s="21"/>
      <c r="AH1467" s="21">
        <v>30</v>
      </c>
      <c r="AI1467" s="21"/>
      <c r="AJ1467" s="21"/>
      <c r="AK1467" s="21"/>
      <c r="AL1467" s="21"/>
      <c r="AM1467" s="21">
        <v>8</v>
      </c>
      <c r="AN1467" s="21"/>
      <c r="AO1467" s="21"/>
      <c r="AP1467" s="21"/>
      <c r="AQ1467" s="21"/>
      <c r="AR1467" s="21">
        <v>2</v>
      </c>
      <c r="AS1467" s="21">
        <v>30</v>
      </c>
      <c r="AT1467" s="12" t="str">
        <f>HYPERLINK("http://www.openstreetmap.org/?mlat=36.1967&amp;mlon=43.5927&amp;zoom=12#map=12/36.1967/43.5927","Maplink1")</f>
        <v>Maplink1</v>
      </c>
      <c r="AU1467" s="12" t="str">
        <f>HYPERLINK("https://www.google.iq/maps/search/+36.1967,43.5927/@36.1967,43.5927,14z?hl=en","Maplink2")</f>
        <v>Maplink2</v>
      </c>
      <c r="AV1467" s="12" t="str">
        <f>HYPERLINK("http://www.bing.com/maps/?lvl=14&amp;sty=h&amp;cp=36.1967~43.5927&amp;sp=point.36.1967_43.5927","Maplink3")</f>
        <v>Maplink3</v>
      </c>
    </row>
    <row r="1468" spans="1:48" ht="15" customHeight="1" x14ac:dyDescent="0.25">
      <c r="A1468" s="19">
        <v>24159</v>
      </c>
      <c r="B1468" s="20" t="s">
        <v>15</v>
      </c>
      <c r="C1468" s="20" t="s">
        <v>15</v>
      </c>
      <c r="D1468" s="20" t="s">
        <v>2758</v>
      </c>
      <c r="E1468" s="20" t="s">
        <v>6048</v>
      </c>
      <c r="F1468" s="20">
        <v>36.197136989999997</v>
      </c>
      <c r="G1468" s="20">
        <v>44.006792910000001</v>
      </c>
      <c r="H1468" s="22">
        <v>155</v>
      </c>
      <c r="I1468" s="22">
        <v>930</v>
      </c>
      <c r="J1468" s="21">
        <v>95</v>
      </c>
      <c r="K1468" s="21"/>
      <c r="L1468" s="21">
        <v>5</v>
      </c>
      <c r="M1468" s="21"/>
      <c r="N1468" s="21"/>
      <c r="O1468" s="21"/>
      <c r="P1468" s="21"/>
      <c r="Q1468" s="21"/>
      <c r="R1468" s="21"/>
      <c r="S1468" s="21"/>
      <c r="T1468" s="21"/>
      <c r="U1468" s="21"/>
      <c r="V1468" s="21">
        <v>35</v>
      </c>
      <c r="W1468" s="21"/>
      <c r="X1468" s="21">
        <v>20</v>
      </c>
      <c r="Y1468" s="21"/>
      <c r="Z1468" s="21"/>
      <c r="AA1468" s="21"/>
      <c r="AB1468" s="21"/>
      <c r="AC1468" s="21"/>
      <c r="AD1468" s="21"/>
      <c r="AE1468" s="21"/>
      <c r="AF1468" s="21"/>
      <c r="AG1468" s="21"/>
      <c r="AH1468" s="21">
        <v>155</v>
      </c>
      <c r="AI1468" s="21"/>
      <c r="AJ1468" s="21"/>
      <c r="AK1468" s="21"/>
      <c r="AL1468" s="21">
        <v>30</v>
      </c>
      <c r="AM1468" s="21">
        <v>40</v>
      </c>
      <c r="AN1468" s="21"/>
      <c r="AO1468" s="21">
        <v>5</v>
      </c>
      <c r="AP1468" s="21">
        <v>65</v>
      </c>
      <c r="AQ1468" s="21"/>
      <c r="AR1468" s="21">
        <v>15</v>
      </c>
      <c r="AS1468" s="21"/>
      <c r="AT1468" s="12" t="str">
        <f>HYPERLINK("http://www.openstreetmap.org/?mlat=36.1971&amp;mlon=44.0068&amp;zoom=12#map=12/36.1971/44.0068","Maplink1")</f>
        <v>Maplink1</v>
      </c>
      <c r="AU1468" s="12" t="str">
        <f>HYPERLINK("https://www.google.iq/maps/search/+36.1971,44.0068/@36.1971,44.0068,14z?hl=en","Maplink2")</f>
        <v>Maplink2</v>
      </c>
      <c r="AV1468" s="12" t="str">
        <f>HYPERLINK("http://www.bing.com/maps/?lvl=14&amp;sty=h&amp;cp=36.1971~44.0068&amp;sp=point.36.1971_44.0068","Maplink3")</f>
        <v>Maplink3</v>
      </c>
    </row>
    <row r="1469" spans="1:48" ht="15" customHeight="1" x14ac:dyDescent="0.25">
      <c r="A1469" s="19">
        <v>11706</v>
      </c>
      <c r="B1469" s="20" t="s">
        <v>15</v>
      </c>
      <c r="C1469" s="20" t="s">
        <v>15</v>
      </c>
      <c r="D1469" s="20" t="s">
        <v>2759</v>
      </c>
      <c r="E1469" s="20" t="s">
        <v>2760</v>
      </c>
      <c r="F1469" s="20">
        <v>36.170493899999997</v>
      </c>
      <c r="G1469" s="20">
        <v>43.936508709999998</v>
      </c>
      <c r="H1469" s="22">
        <v>632</v>
      </c>
      <c r="I1469" s="22">
        <v>3792</v>
      </c>
      <c r="J1469" s="21">
        <v>164</v>
      </c>
      <c r="K1469" s="21"/>
      <c r="L1469" s="21">
        <v>10</v>
      </c>
      <c r="M1469" s="21"/>
      <c r="N1469" s="21"/>
      <c r="O1469" s="21"/>
      <c r="P1469" s="21"/>
      <c r="Q1469" s="21"/>
      <c r="R1469" s="21">
        <v>10</v>
      </c>
      <c r="S1469" s="21"/>
      <c r="T1469" s="21"/>
      <c r="U1469" s="21"/>
      <c r="V1469" s="21">
        <v>428</v>
      </c>
      <c r="W1469" s="21"/>
      <c r="X1469" s="21">
        <v>20</v>
      </c>
      <c r="Y1469" s="21"/>
      <c r="Z1469" s="21"/>
      <c r="AA1469" s="21"/>
      <c r="AB1469" s="21"/>
      <c r="AC1469" s="21"/>
      <c r="AD1469" s="21"/>
      <c r="AE1469" s="21"/>
      <c r="AF1469" s="21"/>
      <c r="AG1469" s="21"/>
      <c r="AH1469" s="21">
        <v>632</v>
      </c>
      <c r="AI1469" s="21"/>
      <c r="AJ1469" s="21"/>
      <c r="AK1469" s="21"/>
      <c r="AL1469" s="21">
        <v>85</v>
      </c>
      <c r="AM1469" s="21">
        <v>357</v>
      </c>
      <c r="AN1469" s="21">
        <v>30</v>
      </c>
      <c r="AO1469" s="21">
        <v>10</v>
      </c>
      <c r="AP1469" s="21">
        <v>47</v>
      </c>
      <c r="AQ1469" s="21">
        <v>15</v>
      </c>
      <c r="AR1469" s="21">
        <v>68</v>
      </c>
      <c r="AS1469" s="21">
        <v>20</v>
      </c>
      <c r="AT1469" s="12" t="str">
        <f>HYPERLINK("http://www.openstreetmap.org/?mlat=36.1705&amp;mlon=43.9365&amp;zoom=12#map=12/36.1705/43.9365","Maplink1")</f>
        <v>Maplink1</v>
      </c>
      <c r="AU1469" s="12" t="str">
        <f>HYPERLINK("https://www.google.iq/maps/search/+36.1705,43.9365/@36.1705,43.9365,14z?hl=en","Maplink2")</f>
        <v>Maplink2</v>
      </c>
      <c r="AV1469" s="12" t="str">
        <f>HYPERLINK("http://www.bing.com/maps/?lvl=14&amp;sty=h&amp;cp=36.1705~43.9365&amp;sp=point.36.1705_43.9365","Maplink3")</f>
        <v>Maplink3</v>
      </c>
    </row>
    <row r="1470" spans="1:48" ht="15" customHeight="1" x14ac:dyDescent="0.25">
      <c r="A1470" s="19">
        <v>24308</v>
      </c>
      <c r="B1470" s="20" t="s">
        <v>15</v>
      </c>
      <c r="C1470" s="20" t="s">
        <v>15</v>
      </c>
      <c r="D1470" s="20" t="s">
        <v>2761</v>
      </c>
      <c r="E1470" s="20" t="s">
        <v>2762</v>
      </c>
      <c r="F1470" s="20">
        <v>36.140486899999999</v>
      </c>
      <c r="G1470" s="20">
        <v>44.065312640000002</v>
      </c>
      <c r="H1470" s="22">
        <v>1425</v>
      </c>
      <c r="I1470" s="22">
        <v>8550</v>
      </c>
      <c r="J1470" s="21">
        <v>470</v>
      </c>
      <c r="K1470" s="21"/>
      <c r="L1470" s="21">
        <v>85</v>
      </c>
      <c r="M1470" s="21"/>
      <c r="N1470" s="21"/>
      <c r="O1470" s="21"/>
      <c r="P1470" s="21"/>
      <c r="Q1470" s="21"/>
      <c r="R1470" s="21">
        <v>10</v>
      </c>
      <c r="S1470" s="21"/>
      <c r="T1470" s="21"/>
      <c r="U1470" s="21"/>
      <c r="V1470" s="21">
        <v>388</v>
      </c>
      <c r="W1470" s="21"/>
      <c r="X1470" s="21">
        <v>472</v>
      </c>
      <c r="Y1470" s="21"/>
      <c r="Z1470" s="21"/>
      <c r="AA1470" s="21"/>
      <c r="AB1470" s="21"/>
      <c r="AC1470" s="21"/>
      <c r="AD1470" s="21"/>
      <c r="AE1470" s="21"/>
      <c r="AF1470" s="21"/>
      <c r="AG1470" s="21"/>
      <c r="AH1470" s="21">
        <v>1425</v>
      </c>
      <c r="AI1470" s="21"/>
      <c r="AJ1470" s="21"/>
      <c r="AK1470" s="21"/>
      <c r="AL1470" s="21">
        <v>180</v>
      </c>
      <c r="AM1470" s="21">
        <v>437</v>
      </c>
      <c r="AN1470" s="21">
        <v>15</v>
      </c>
      <c r="AO1470" s="21">
        <v>85</v>
      </c>
      <c r="AP1470" s="21">
        <v>280</v>
      </c>
      <c r="AQ1470" s="21">
        <v>32</v>
      </c>
      <c r="AR1470" s="21">
        <v>376</v>
      </c>
      <c r="AS1470" s="21">
        <v>20</v>
      </c>
      <c r="AT1470" s="12" t="str">
        <f>HYPERLINK("http://www.openstreetmap.org/?mlat=36.1405&amp;mlon=44.0653&amp;zoom=12#map=12/36.1405/44.0653","Maplink1")</f>
        <v>Maplink1</v>
      </c>
      <c r="AU1470" s="12" t="str">
        <f>HYPERLINK("https://www.google.iq/maps/search/+36.1405,44.0653/@36.1405,44.0653,14z?hl=en","Maplink2")</f>
        <v>Maplink2</v>
      </c>
      <c r="AV1470" s="12" t="str">
        <f>HYPERLINK("http://www.bing.com/maps/?lvl=14&amp;sty=h&amp;cp=36.1405~44.0653&amp;sp=point.36.1405_44.0653","Maplink3")</f>
        <v>Maplink3</v>
      </c>
    </row>
    <row r="1471" spans="1:48" ht="15" customHeight="1" x14ac:dyDescent="0.25">
      <c r="A1471" s="19">
        <v>21253</v>
      </c>
      <c r="B1471" s="20" t="s">
        <v>15</v>
      </c>
      <c r="C1471" s="20" t="s">
        <v>15</v>
      </c>
      <c r="D1471" s="20" t="s">
        <v>2763</v>
      </c>
      <c r="E1471" s="20" t="s">
        <v>2764</v>
      </c>
      <c r="F1471" s="20">
        <v>36.153191309999997</v>
      </c>
      <c r="G1471" s="20">
        <v>44.031523849999999</v>
      </c>
      <c r="H1471" s="22">
        <v>860</v>
      </c>
      <c r="I1471" s="22">
        <v>5160</v>
      </c>
      <c r="J1471" s="21">
        <v>200</v>
      </c>
      <c r="K1471" s="21"/>
      <c r="L1471" s="21"/>
      <c r="M1471" s="21"/>
      <c r="N1471" s="21"/>
      <c r="O1471" s="21"/>
      <c r="P1471" s="21"/>
      <c r="Q1471" s="21"/>
      <c r="R1471" s="21">
        <v>200</v>
      </c>
      <c r="S1471" s="21"/>
      <c r="T1471" s="21"/>
      <c r="U1471" s="21"/>
      <c r="V1471" s="21">
        <v>300</v>
      </c>
      <c r="W1471" s="21"/>
      <c r="X1471" s="21">
        <v>160</v>
      </c>
      <c r="Y1471" s="21"/>
      <c r="Z1471" s="21"/>
      <c r="AA1471" s="21"/>
      <c r="AB1471" s="21"/>
      <c r="AC1471" s="21">
        <v>40</v>
      </c>
      <c r="AD1471" s="21"/>
      <c r="AE1471" s="21"/>
      <c r="AF1471" s="21"/>
      <c r="AG1471" s="21"/>
      <c r="AH1471" s="21">
        <v>820</v>
      </c>
      <c r="AI1471" s="21"/>
      <c r="AJ1471" s="21"/>
      <c r="AK1471" s="21"/>
      <c r="AL1471" s="21">
        <v>50</v>
      </c>
      <c r="AM1471" s="21">
        <v>410</v>
      </c>
      <c r="AN1471" s="21"/>
      <c r="AO1471" s="21"/>
      <c r="AP1471" s="21">
        <v>80</v>
      </c>
      <c r="AQ1471" s="21"/>
      <c r="AR1471" s="21">
        <v>50</v>
      </c>
      <c r="AS1471" s="21">
        <v>270</v>
      </c>
      <c r="AT1471" s="12" t="str">
        <f>HYPERLINK("http://www.openstreetmap.org/?mlat=36.1532&amp;mlon=44.0315&amp;zoom=12#map=12/36.1532/44.0315","Maplink1")</f>
        <v>Maplink1</v>
      </c>
      <c r="AU1471" s="12" t="str">
        <f>HYPERLINK("https://www.google.iq/maps/search/+36.1532,44.0315/@36.1532,44.0315,14z?hl=en","Maplink2")</f>
        <v>Maplink2</v>
      </c>
      <c r="AV1471" s="12" t="str">
        <f>HYPERLINK("http://www.bing.com/maps/?lvl=14&amp;sty=h&amp;cp=36.1532~44.0315&amp;sp=point.36.1532_44.0315","Maplink3")</f>
        <v>Maplink3</v>
      </c>
    </row>
    <row r="1472" spans="1:48" ht="15" customHeight="1" x14ac:dyDescent="0.25">
      <c r="A1472" s="19">
        <v>27139</v>
      </c>
      <c r="B1472" s="20" t="s">
        <v>15</v>
      </c>
      <c r="C1472" s="20" t="s">
        <v>15</v>
      </c>
      <c r="D1472" s="20" t="s">
        <v>2765</v>
      </c>
      <c r="E1472" s="20" t="s">
        <v>2766</v>
      </c>
      <c r="F1472" s="20">
        <v>36.250979600000001</v>
      </c>
      <c r="G1472" s="20">
        <v>44.0606899</v>
      </c>
      <c r="H1472" s="22">
        <v>245</v>
      </c>
      <c r="I1472" s="22">
        <v>1470</v>
      </c>
      <c r="J1472" s="21">
        <v>50</v>
      </c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>
        <v>120</v>
      </c>
      <c r="W1472" s="21"/>
      <c r="X1472" s="21">
        <v>75</v>
      </c>
      <c r="Y1472" s="21"/>
      <c r="Z1472" s="21"/>
      <c r="AA1472" s="21"/>
      <c r="AB1472" s="21"/>
      <c r="AC1472" s="21"/>
      <c r="AD1472" s="21"/>
      <c r="AE1472" s="21"/>
      <c r="AF1472" s="21"/>
      <c r="AG1472" s="21"/>
      <c r="AH1472" s="21">
        <v>245</v>
      </c>
      <c r="AI1472" s="21"/>
      <c r="AJ1472" s="21"/>
      <c r="AK1472" s="21"/>
      <c r="AL1472" s="21">
        <v>10</v>
      </c>
      <c r="AM1472" s="21">
        <v>123</v>
      </c>
      <c r="AN1472" s="21">
        <v>43</v>
      </c>
      <c r="AO1472" s="21"/>
      <c r="AP1472" s="21">
        <v>35</v>
      </c>
      <c r="AQ1472" s="21">
        <v>20</v>
      </c>
      <c r="AR1472" s="21">
        <v>14</v>
      </c>
      <c r="AS1472" s="21"/>
      <c r="AT1472" s="12" t="str">
        <f>HYPERLINK("http://www.openstreetmap.org/?mlat=36.251&amp;mlon=44.0607&amp;zoom=12#map=12/36.251/44.0607","Maplink1")</f>
        <v>Maplink1</v>
      </c>
      <c r="AU1472" s="12" t="str">
        <f>HYPERLINK("https://www.google.iq/maps/search/+36.251,44.0607/@36.251,44.0607,14z?hl=en","Maplink2")</f>
        <v>Maplink2</v>
      </c>
      <c r="AV1472" s="12" t="str">
        <f>HYPERLINK("http://www.bing.com/maps/?lvl=14&amp;sty=h&amp;cp=36.251~44.0607&amp;sp=point.36.251_44.0607","Maplink3")</f>
        <v>Maplink3</v>
      </c>
    </row>
    <row r="1473" spans="1:48" ht="15" customHeight="1" x14ac:dyDescent="0.25">
      <c r="A1473" s="19">
        <v>24421</v>
      </c>
      <c r="B1473" s="20" t="s">
        <v>15</v>
      </c>
      <c r="C1473" s="20" t="s">
        <v>15</v>
      </c>
      <c r="D1473" s="20" t="s">
        <v>2767</v>
      </c>
      <c r="E1473" s="20" t="s">
        <v>2768</v>
      </c>
      <c r="F1473" s="20">
        <v>36.284495</v>
      </c>
      <c r="G1473" s="20">
        <v>44.092610999999998</v>
      </c>
      <c r="H1473" s="22">
        <v>435</v>
      </c>
      <c r="I1473" s="22">
        <v>2610</v>
      </c>
      <c r="J1473" s="21">
        <v>25</v>
      </c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>
        <v>348</v>
      </c>
      <c r="W1473" s="21"/>
      <c r="X1473" s="21">
        <v>62</v>
      </c>
      <c r="Y1473" s="21"/>
      <c r="Z1473" s="21"/>
      <c r="AA1473" s="21"/>
      <c r="AB1473" s="21"/>
      <c r="AC1473" s="21"/>
      <c r="AD1473" s="21"/>
      <c r="AE1473" s="21"/>
      <c r="AF1473" s="21"/>
      <c r="AG1473" s="21"/>
      <c r="AH1473" s="21">
        <v>435</v>
      </c>
      <c r="AI1473" s="21"/>
      <c r="AJ1473" s="21"/>
      <c r="AK1473" s="21"/>
      <c r="AL1473" s="21">
        <v>10</v>
      </c>
      <c r="AM1473" s="21">
        <v>310</v>
      </c>
      <c r="AN1473" s="21">
        <v>57</v>
      </c>
      <c r="AO1473" s="21">
        <v>5</v>
      </c>
      <c r="AP1473" s="21">
        <v>16</v>
      </c>
      <c r="AQ1473" s="21">
        <v>4</v>
      </c>
      <c r="AR1473" s="21">
        <v>33</v>
      </c>
      <c r="AS1473" s="21"/>
      <c r="AT1473" s="12" t="str">
        <f>HYPERLINK("http://www.openstreetmap.org/?mlat=36.2845&amp;mlon=44.0926&amp;zoom=12#map=12/36.2845/44.0926","Maplink1")</f>
        <v>Maplink1</v>
      </c>
      <c r="AU1473" s="12" t="str">
        <f>HYPERLINK("https://www.google.iq/maps/search/+36.2845,44.0926/@36.2845,44.0926,14z?hl=en","Maplink2")</f>
        <v>Maplink2</v>
      </c>
      <c r="AV1473" s="12" t="str">
        <f>HYPERLINK("http://www.bing.com/maps/?lvl=14&amp;sty=h&amp;cp=36.2845~44.0926&amp;sp=point.36.2845_44.0926","Maplink3")</f>
        <v>Maplink3</v>
      </c>
    </row>
    <row r="1474" spans="1:48" ht="15" customHeight="1" x14ac:dyDescent="0.25">
      <c r="A1474" s="19">
        <v>25972</v>
      </c>
      <c r="B1474" s="20" t="s">
        <v>15</v>
      </c>
      <c r="C1474" s="20" t="s">
        <v>15</v>
      </c>
      <c r="D1474" s="20" t="s">
        <v>2769</v>
      </c>
      <c r="E1474" s="20" t="s">
        <v>2770</v>
      </c>
      <c r="F1474" s="20">
        <v>36.119873179999999</v>
      </c>
      <c r="G1474" s="20">
        <v>44.04482393</v>
      </c>
      <c r="H1474" s="22">
        <v>65</v>
      </c>
      <c r="I1474" s="22">
        <v>390</v>
      </c>
      <c r="J1474" s="21">
        <v>14</v>
      </c>
      <c r="K1474" s="21"/>
      <c r="L1474" s="21"/>
      <c r="M1474" s="21"/>
      <c r="N1474" s="21"/>
      <c r="O1474" s="21"/>
      <c r="P1474" s="21"/>
      <c r="Q1474" s="21"/>
      <c r="R1474" s="21">
        <v>38</v>
      </c>
      <c r="S1474" s="21"/>
      <c r="T1474" s="21"/>
      <c r="U1474" s="21"/>
      <c r="V1474" s="21">
        <v>7</v>
      </c>
      <c r="W1474" s="21"/>
      <c r="X1474" s="21">
        <v>6</v>
      </c>
      <c r="Y1474" s="21"/>
      <c r="Z1474" s="21"/>
      <c r="AA1474" s="21"/>
      <c r="AB1474" s="21"/>
      <c r="AC1474" s="21">
        <v>15</v>
      </c>
      <c r="AD1474" s="21"/>
      <c r="AE1474" s="21"/>
      <c r="AF1474" s="21"/>
      <c r="AG1474" s="21"/>
      <c r="AH1474" s="21">
        <v>50</v>
      </c>
      <c r="AI1474" s="21"/>
      <c r="AJ1474" s="21"/>
      <c r="AK1474" s="21"/>
      <c r="AL1474" s="21"/>
      <c r="AM1474" s="21">
        <v>13</v>
      </c>
      <c r="AN1474" s="21"/>
      <c r="AO1474" s="21"/>
      <c r="AP1474" s="21">
        <v>14</v>
      </c>
      <c r="AQ1474" s="21"/>
      <c r="AR1474" s="21"/>
      <c r="AS1474" s="21">
        <v>38</v>
      </c>
      <c r="AT1474" s="12" t="str">
        <f>HYPERLINK("http://www.openstreetmap.org/?mlat=36.1199&amp;mlon=44.0448&amp;zoom=12#map=12/36.1199/44.0448","Maplink1")</f>
        <v>Maplink1</v>
      </c>
      <c r="AU1474" s="12" t="str">
        <f>HYPERLINK("https://www.google.iq/maps/search/+36.1199,44.0448/@36.1199,44.0448,14z?hl=en","Maplink2")</f>
        <v>Maplink2</v>
      </c>
      <c r="AV1474" s="12" t="str">
        <f>HYPERLINK("http://www.bing.com/maps/?lvl=14&amp;sty=h&amp;cp=36.1199~44.0448&amp;sp=point.36.1199_44.0448","Maplink3")</f>
        <v>Maplink3</v>
      </c>
    </row>
    <row r="1475" spans="1:48" ht="15" customHeight="1" x14ac:dyDescent="0.25">
      <c r="A1475" s="19">
        <v>25629</v>
      </c>
      <c r="B1475" s="20" t="s">
        <v>15</v>
      </c>
      <c r="C1475" s="20" t="s">
        <v>15</v>
      </c>
      <c r="D1475" s="20" t="s">
        <v>2771</v>
      </c>
      <c r="E1475" s="20" t="s">
        <v>2772</v>
      </c>
      <c r="F1475" s="20">
        <v>36.12435602</v>
      </c>
      <c r="G1475" s="20">
        <v>44.021093620000002</v>
      </c>
      <c r="H1475" s="22">
        <v>440</v>
      </c>
      <c r="I1475" s="22">
        <v>2640</v>
      </c>
      <c r="J1475" s="21">
        <v>250</v>
      </c>
      <c r="K1475" s="21"/>
      <c r="L1475" s="21"/>
      <c r="M1475" s="21"/>
      <c r="N1475" s="21"/>
      <c r="O1475" s="21"/>
      <c r="P1475" s="21"/>
      <c r="Q1475" s="21"/>
      <c r="R1475" s="21">
        <v>50</v>
      </c>
      <c r="S1475" s="21"/>
      <c r="T1475" s="21"/>
      <c r="U1475" s="21"/>
      <c r="V1475" s="21">
        <v>97</v>
      </c>
      <c r="W1475" s="21"/>
      <c r="X1475" s="21">
        <v>43</v>
      </c>
      <c r="Y1475" s="21"/>
      <c r="Z1475" s="21"/>
      <c r="AA1475" s="21"/>
      <c r="AB1475" s="21"/>
      <c r="AC1475" s="21">
        <v>30</v>
      </c>
      <c r="AD1475" s="21"/>
      <c r="AE1475" s="21"/>
      <c r="AF1475" s="21"/>
      <c r="AG1475" s="21"/>
      <c r="AH1475" s="21">
        <v>410</v>
      </c>
      <c r="AI1475" s="21"/>
      <c r="AJ1475" s="21"/>
      <c r="AK1475" s="21"/>
      <c r="AL1475" s="21">
        <v>110</v>
      </c>
      <c r="AM1475" s="21">
        <v>100</v>
      </c>
      <c r="AN1475" s="21"/>
      <c r="AO1475" s="21"/>
      <c r="AP1475" s="21">
        <v>140</v>
      </c>
      <c r="AQ1475" s="21"/>
      <c r="AR1475" s="21">
        <v>40</v>
      </c>
      <c r="AS1475" s="21">
        <v>50</v>
      </c>
      <c r="AT1475" s="12" t="str">
        <f>HYPERLINK("http://www.openstreetmap.org/?mlat=36.1244&amp;mlon=44.0211&amp;zoom=12#map=12/36.1244/44.0211","Maplink1")</f>
        <v>Maplink1</v>
      </c>
      <c r="AU1475" s="12" t="str">
        <f>HYPERLINK("https://www.google.iq/maps/search/+36.1244,44.0211/@36.1244,44.0211,14z?hl=en","Maplink2")</f>
        <v>Maplink2</v>
      </c>
      <c r="AV1475" s="12" t="str">
        <f>HYPERLINK("http://www.bing.com/maps/?lvl=14&amp;sty=h&amp;cp=36.1244~44.0211&amp;sp=point.36.1244_44.0211","Maplink3")</f>
        <v>Maplink3</v>
      </c>
    </row>
    <row r="1476" spans="1:48" ht="15" customHeight="1" x14ac:dyDescent="0.25">
      <c r="A1476" s="19">
        <v>24484</v>
      </c>
      <c r="B1476" s="20" t="s">
        <v>15</v>
      </c>
      <c r="C1476" s="20" t="s">
        <v>2773</v>
      </c>
      <c r="D1476" s="20" t="s">
        <v>2774</v>
      </c>
      <c r="E1476" s="20" t="s">
        <v>2775</v>
      </c>
      <c r="F1476" s="20">
        <v>36.068547930000001</v>
      </c>
      <c r="G1476" s="20">
        <v>44.608549269999997</v>
      </c>
      <c r="H1476" s="22">
        <v>17</v>
      </c>
      <c r="I1476" s="22">
        <v>102</v>
      </c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>
        <v>17</v>
      </c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21"/>
      <c r="AH1476" s="21">
        <v>17</v>
      </c>
      <c r="AI1476" s="21"/>
      <c r="AJ1476" s="21"/>
      <c r="AK1476" s="21"/>
      <c r="AL1476" s="21"/>
      <c r="AM1476" s="21">
        <v>17</v>
      </c>
      <c r="AN1476" s="21"/>
      <c r="AO1476" s="21"/>
      <c r="AP1476" s="21"/>
      <c r="AQ1476" s="21"/>
      <c r="AR1476" s="21"/>
      <c r="AS1476" s="21"/>
      <c r="AT1476" s="12" t="str">
        <f>HYPERLINK("http://www.openstreetmap.org/?mlat=36.0685&amp;mlon=44.6085&amp;zoom=12#map=12/36.0685/44.6085","Maplink1")</f>
        <v>Maplink1</v>
      </c>
      <c r="AU1476" s="12" t="str">
        <f>HYPERLINK("https://www.google.iq/maps/search/+36.0685,44.6085/@36.0685,44.6085,14z?hl=en","Maplink2")</f>
        <v>Maplink2</v>
      </c>
      <c r="AV1476" s="12" t="str">
        <f>HYPERLINK("http://www.bing.com/maps/?lvl=14&amp;sty=h&amp;cp=36.0685~44.6085&amp;sp=point.36.0685_44.6085","Maplink3")</f>
        <v>Maplink3</v>
      </c>
    </row>
    <row r="1477" spans="1:48" ht="15" customHeight="1" x14ac:dyDescent="0.25">
      <c r="A1477" s="19">
        <v>27221</v>
      </c>
      <c r="B1477" s="20" t="s">
        <v>15</v>
      </c>
      <c r="C1477" s="20" t="s">
        <v>2773</v>
      </c>
      <c r="D1477" s="20" t="s">
        <v>1983</v>
      </c>
      <c r="E1477" s="20" t="s">
        <v>2591</v>
      </c>
      <c r="F1477" s="20">
        <v>35.922878320000002</v>
      </c>
      <c r="G1477" s="20">
        <v>44.785994559999999</v>
      </c>
      <c r="H1477" s="22">
        <v>20</v>
      </c>
      <c r="I1477" s="22">
        <v>120</v>
      </c>
      <c r="J1477" s="21">
        <v>7</v>
      </c>
      <c r="K1477" s="21"/>
      <c r="L1477" s="21"/>
      <c r="M1477" s="21"/>
      <c r="N1477" s="21"/>
      <c r="O1477" s="21"/>
      <c r="P1477" s="21"/>
      <c r="Q1477" s="21"/>
      <c r="R1477" s="21">
        <v>6</v>
      </c>
      <c r="S1477" s="21"/>
      <c r="T1477" s="21"/>
      <c r="U1477" s="21"/>
      <c r="V1477" s="21">
        <v>7</v>
      </c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21"/>
      <c r="AH1477" s="21">
        <v>20</v>
      </c>
      <c r="AI1477" s="21"/>
      <c r="AJ1477" s="21"/>
      <c r="AK1477" s="21"/>
      <c r="AL1477" s="21"/>
      <c r="AM1477" s="21">
        <v>6</v>
      </c>
      <c r="AN1477" s="21"/>
      <c r="AO1477" s="21"/>
      <c r="AP1477" s="21">
        <v>7</v>
      </c>
      <c r="AQ1477" s="21">
        <v>1</v>
      </c>
      <c r="AR1477" s="21"/>
      <c r="AS1477" s="21">
        <v>6</v>
      </c>
      <c r="AT1477" s="12" t="str">
        <f>HYPERLINK("http://www.openstreetmap.org/?mlat=35.9229&amp;mlon=44.786&amp;zoom=12#map=12/35.9229/44.786","Maplink1")</f>
        <v>Maplink1</v>
      </c>
      <c r="AU1477" s="12" t="str">
        <f>HYPERLINK("https://www.google.iq/maps/search/+35.9229,44.786/@35.9229,44.786,14z?hl=en","Maplink2")</f>
        <v>Maplink2</v>
      </c>
      <c r="AV1477" s="12" t="str">
        <f>HYPERLINK("http://www.bing.com/maps/?lvl=14&amp;sty=h&amp;cp=35.9229~44.786&amp;sp=point.35.9229_44.786","Maplink3")</f>
        <v>Maplink3</v>
      </c>
    </row>
    <row r="1478" spans="1:48" ht="15" customHeight="1" x14ac:dyDescent="0.25">
      <c r="A1478" s="19">
        <v>24598</v>
      </c>
      <c r="B1478" s="20" t="s">
        <v>15</v>
      </c>
      <c r="C1478" s="20" t="s">
        <v>2773</v>
      </c>
      <c r="D1478" s="20" t="s">
        <v>2776</v>
      </c>
      <c r="E1478" s="20" t="s">
        <v>2777</v>
      </c>
      <c r="F1478" s="20">
        <v>36.087550159999999</v>
      </c>
      <c r="G1478" s="20">
        <v>44.64304009</v>
      </c>
      <c r="H1478" s="22">
        <v>88</v>
      </c>
      <c r="I1478" s="22">
        <v>528</v>
      </c>
      <c r="J1478" s="21">
        <v>68</v>
      </c>
      <c r="K1478" s="21"/>
      <c r="L1478" s="21"/>
      <c r="M1478" s="21"/>
      <c r="N1478" s="21"/>
      <c r="O1478" s="21"/>
      <c r="P1478" s="21"/>
      <c r="Q1478" s="21"/>
      <c r="R1478" s="21">
        <v>5</v>
      </c>
      <c r="S1478" s="21"/>
      <c r="T1478" s="21"/>
      <c r="U1478" s="21"/>
      <c r="V1478" s="21">
        <v>10</v>
      </c>
      <c r="W1478" s="21"/>
      <c r="X1478" s="21">
        <v>5</v>
      </c>
      <c r="Y1478" s="21"/>
      <c r="Z1478" s="21"/>
      <c r="AA1478" s="21"/>
      <c r="AB1478" s="21"/>
      <c r="AC1478" s="21"/>
      <c r="AD1478" s="21"/>
      <c r="AE1478" s="21"/>
      <c r="AF1478" s="21"/>
      <c r="AG1478" s="21"/>
      <c r="AH1478" s="21">
        <v>88</v>
      </c>
      <c r="AI1478" s="21"/>
      <c r="AJ1478" s="21"/>
      <c r="AK1478" s="21"/>
      <c r="AL1478" s="21">
        <v>68</v>
      </c>
      <c r="AM1478" s="21">
        <v>10</v>
      </c>
      <c r="AN1478" s="21">
        <v>5</v>
      </c>
      <c r="AO1478" s="21"/>
      <c r="AP1478" s="21"/>
      <c r="AQ1478" s="21"/>
      <c r="AR1478" s="21"/>
      <c r="AS1478" s="21">
        <v>5</v>
      </c>
      <c r="AT1478" s="12" t="str">
        <f>HYPERLINK("http://www.openstreetmap.org/?mlat=36.0876&amp;mlon=44.643&amp;zoom=12#map=12/36.0876/44.643","Maplink1")</f>
        <v>Maplink1</v>
      </c>
      <c r="AU1478" s="12" t="str">
        <f>HYPERLINK("https://www.google.iq/maps/search/+36.0876,44.643/@36.0876,44.643,14z?hl=en","Maplink2")</f>
        <v>Maplink2</v>
      </c>
      <c r="AV1478" s="12" t="str">
        <f>HYPERLINK("http://www.bing.com/maps/?lvl=14&amp;sty=h&amp;cp=36.0876~44.643&amp;sp=point.36.0876_44.643","Maplink3")</f>
        <v>Maplink3</v>
      </c>
    </row>
    <row r="1479" spans="1:48" ht="15" customHeight="1" x14ac:dyDescent="0.25">
      <c r="A1479" s="19">
        <v>12371</v>
      </c>
      <c r="B1479" s="20" t="s">
        <v>15</v>
      </c>
      <c r="C1479" s="20" t="s">
        <v>2773</v>
      </c>
      <c r="D1479" s="20" t="s">
        <v>2778</v>
      </c>
      <c r="E1479" s="20" t="s">
        <v>2779</v>
      </c>
      <c r="F1479" s="20">
        <v>36.086983859999997</v>
      </c>
      <c r="G1479" s="20">
        <v>44.628861020000002</v>
      </c>
      <c r="H1479" s="22">
        <v>100</v>
      </c>
      <c r="I1479" s="22">
        <v>600</v>
      </c>
      <c r="J1479" s="21">
        <v>85</v>
      </c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>
        <v>15</v>
      </c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21"/>
      <c r="AH1479" s="21">
        <v>100</v>
      </c>
      <c r="AI1479" s="21"/>
      <c r="AJ1479" s="21"/>
      <c r="AK1479" s="21"/>
      <c r="AL1479" s="21">
        <v>75</v>
      </c>
      <c r="AM1479" s="21"/>
      <c r="AN1479" s="21"/>
      <c r="AO1479" s="21"/>
      <c r="AP1479" s="21"/>
      <c r="AQ1479" s="21"/>
      <c r="AR1479" s="21">
        <v>15</v>
      </c>
      <c r="AS1479" s="21">
        <v>10</v>
      </c>
      <c r="AT1479" s="12" t="str">
        <f>HYPERLINK("http://www.openstreetmap.org/?mlat=36.087&amp;mlon=44.6289&amp;zoom=12#map=12/36.087/44.6289","Maplink1")</f>
        <v>Maplink1</v>
      </c>
      <c r="AU1479" s="12" t="str">
        <f>HYPERLINK("https://www.google.iq/maps/search/+36.087,44.6289/@36.087,44.6289,14z?hl=en","Maplink2")</f>
        <v>Maplink2</v>
      </c>
      <c r="AV1479" s="12" t="str">
        <f>HYPERLINK("http://www.bing.com/maps/?lvl=14&amp;sty=h&amp;cp=36.087~44.6289&amp;sp=point.36.087_44.6289","Maplink3")</f>
        <v>Maplink3</v>
      </c>
    </row>
    <row r="1480" spans="1:48" ht="15" customHeight="1" x14ac:dyDescent="0.25">
      <c r="A1480" s="19">
        <v>24597</v>
      </c>
      <c r="B1480" s="20" t="s">
        <v>15</v>
      </c>
      <c r="C1480" s="20" t="s">
        <v>2773</v>
      </c>
      <c r="D1480" s="20" t="s">
        <v>2780</v>
      </c>
      <c r="E1480" s="20" t="s">
        <v>2781</v>
      </c>
      <c r="F1480" s="20">
        <v>36.084292660000003</v>
      </c>
      <c r="G1480" s="20">
        <v>44.628168000000002</v>
      </c>
      <c r="H1480" s="22">
        <v>100</v>
      </c>
      <c r="I1480" s="22">
        <v>600</v>
      </c>
      <c r="J1480" s="21">
        <v>18</v>
      </c>
      <c r="K1480" s="21"/>
      <c r="L1480" s="21">
        <v>6</v>
      </c>
      <c r="M1480" s="21"/>
      <c r="N1480" s="21"/>
      <c r="O1480" s="21"/>
      <c r="P1480" s="21"/>
      <c r="Q1480" s="21"/>
      <c r="R1480" s="21">
        <v>3</v>
      </c>
      <c r="S1480" s="21"/>
      <c r="T1480" s="21"/>
      <c r="U1480" s="21"/>
      <c r="V1480" s="21">
        <v>40</v>
      </c>
      <c r="W1480" s="21"/>
      <c r="X1480" s="21">
        <v>33</v>
      </c>
      <c r="Y1480" s="21"/>
      <c r="Z1480" s="21"/>
      <c r="AA1480" s="21"/>
      <c r="AB1480" s="21"/>
      <c r="AC1480" s="21"/>
      <c r="AD1480" s="21"/>
      <c r="AE1480" s="21"/>
      <c r="AF1480" s="21"/>
      <c r="AG1480" s="21"/>
      <c r="AH1480" s="21">
        <v>100</v>
      </c>
      <c r="AI1480" s="21"/>
      <c r="AJ1480" s="21"/>
      <c r="AK1480" s="21"/>
      <c r="AL1480" s="21">
        <v>5</v>
      </c>
      <c r="AM1480" s="21">
        <v>69</v>
      </c>
      <c r="AN1480" s="21"/>
      <c r="AO1480" s="21">
        <v>6</v>
      </c>
      <c r="AP1480" s="21">
        <v>13</v>
      </c>
      <c r="AQ1480" s="21"/>
      <c r="AR1480" s="21">
        <v>4</v>
      </c>
      <c r="AS1480" s="21">
        <v>3</v>
      </c>
      <c r="AT1480" s="12" t="str">
        <f>HYPERLINK("http://www.openstreetmap.org/?mlat=36.0843&amp;mlon=44.6282&amp;zoom=12#map=12/36.0843/44.6282","Maplink1")</f>
        <v>Maplink1</v>
      </c>
      <c r="AU1480" s="12" t="str">
        <f>HYPERLINK("https://www.google.iq/maps/search/+36.0843,44.6282/@36.0843,44.6282,14z?hl=en","Maplink2")</f>
        <v>Maplink2</v>
      </c>
      <c r="AV1480" s="12" t="str">
        <f>HYPERLINK("http://www.bing.com/maps/?lvl=14&amp;sty=h&amp;cp=36.0843~44.6282&amp;sp=point.36.0843_44.6282","Maplink3")</f>
        <v>Maplink3</v>
      </c>
    </row>
    <row r="1481" spans="1:48" ht="15" customHeight="1" x14ac:dyDescent="0.25">
      <c r="A1481" s="19">
        <v>27223</v>
      </c>
      <c r="B1481" s="20" t="s">
        <v>15</v>
      </c>
      <c r="C1481" s="20" t="s">
        <v>2773</v>
      </c>
      <c r="D1481" s="20" t="s">
        <v>2782</v>
      </c>
      <c r="E1481" s="20" t="s">
        <v>2783</v>
      </c>
      <c r="F1481" s="20">
        <v>36.091917160000001</v>
      </c>
      <c r="G1481" s="20">
        <v>44.66330954</v>
      </c>
      <c r="H1481" s="22">
        <v>18</v>
      </c>
      <c r="I1481" s="22">
        <v>108</v>
      </c>
      <c r="J1481" s="21">
        <v>8</v>
      </c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>
        <v>5</v>
      </c>
      <c r="W1481" s="21"/>
      <c r="X1481" s="21">
        <v>5</v>
      </c>
      <c r="Y1481" s="21"/>
      <c r="Z1481" s="21"/>
      <c r="AA1481" s="21"/>
      <c r="AB1481" s="21"/>
      <c r="AC1481" s="21"/>
      <c r="AD1481" s="21"/>
      <c r="AE1481" s="21"/>
      <c r="AF1481" s="21"/>
      <c r="AG1481" s="21"/>
      <c r="AH1481" s="21">
        <v>18</v>
      </c>
      <c r="AI1481" s="21"/>
      <c r="AJ1481" s="21"/>
      <c r="AK1481" s="21"/>
      <c r="AL1481" s="21">
        <v>5</v>
      </c>
      <c r="AM1481" s="21">
        <v>8</v>
      </c>
      <c r="AN1481" s="21"/>
      <c r="AO1481" s="21"/>
      <c r="AP1481" s="21">
        <v>3</v>
      </c>
      <c r="AQ1481" s="21"/>
      <c r="AR1481" s="21">
        <v>2</v>
      </c>
      <c r="AS1481" s="21"/>
      <c r="AT1481" s="12" t="str">
        <f>HYPERLINK("http://www.openstreetmap.org/?mlat=36.0919&amp;mlon=44.6633&amp;zoom=12#map=12/36.0919/44.6633","Maplink1")</f>
        <v>Maplink1</v>
      </c>
      <c r="AU1481" s="12" t="str">
        <f>HYPERLINK("https://www.google.iq/maps/search/+36.0919,44.6633/@36.0919,44.6633,14z?hl=en","Maplink2")</f>
        <v>Maplink2</v>
      </c>
      <c r="AV1481" s="12" t="str">
        <f>HYPERLINK("http://www.bing.com/maps/?lvl=14&amp;sty=h&amp;cp=36.0919~44.6633&amp;sp=point.36.0919_44.6633","Maplink3")</f>
        <v>Maplink3</v>
      </c>
    </row>
    <row r="1482" spans="1:48" ht="15" customHeight="1" x14ac:dyDescent="0.25">
      <c r="A1482" s="19">
        <v>23657</v>
      </c>
      <c r="B1482" s="20" t="s">
        <v>15</v>
      </c>
      <c r="C1482" s="20" t="s">
        <v>2773</v>
      </c>
      <c r="D1482" s="20" t="s">
        <v>2784</v>
      </c>
      <c r="E1482" s="20" t="s">
        <v>2785</v>
      </c>
      <c r="F1482" s="20">
        <v>36.09202647</v>
      </c>
      <c r="G1482" s="20">
        <v>44.614537130000002</v>
      </c>
      <c r="H1482" s="22">
        <v>60</v>
      </c>
      <c r="I1482" s="22">
        <v>360</v>
      </c>
      <c r="J1482" s="21">
        <v>40</v>
      </c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>
        <v>20</v>
      </c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21"/>
      <c r="AH1482" s="21">
        <v>60</v>
      </c>
      <c r="AI1482" s="21"/>
      <c r="AJ1482" s="21"/>
      <c r="AK1482" s="21"/>
      <c r="AL1482" s="21">
        <v>40</v>
      </c>
      <c r="AM1482" s="21">
        <v>20</v>
      </c>
      <c r="AN1482" s="21"/>
      <c r="AO1482" s="21"/>
      <c r="AP1482" s="21"/>
      <c r="AQ1482" s="21"/>
      <c r="AR1482" s="21"/>
      <c r="AS1482" s="21"/>
      <c r="AT1482" s="12" t="str">
        <f>HYPERLINK("http://www.openstreetmap.org/?mlat=36.092&amp;mlon=44.6145&amp;zoom=12#map=12/36.092/44.6145","Maplink1")</f>
        <v>Maplink1</v>
      </c>
      <c r="AU1482" s="12" t="str">
        <f>HYPERLINK("https://www.google.iq/maps/search/+36.092,44.6145/@36.092,44.6145,14z?hl=en","Maplink2")</f>
        <v>Maplink2</v>
      </c>
      <c r="AV1482" s="12" t="str">
        <f>HYPERLINK("http://www.bing.com/maps/?lvl=14&amp;sty=h&amp;cp=36.092~44.6145&amp;sp=point.36.092_44.6145","Maplink3")</f>
        <v>Maplink3</v>
      </c>
    </row>
    <row r="1483" spans="1:48" ht="15" customHeight="1" x14ac:dyDescent="0.25">
      <c r="A1483" s="19">
        <v>23279</v>
      </c>
      <c r="B1483" s="20" t="s">
        <v>15</v>
      </c>
      <c r="C1483" s="20" t="s">
        <v>2773</v>
      </c>
      <c r="D1483" s="20" t="s">
        <v>2786</v>
      </c>
      <c r="E1483" s="20" t="s">
        <v>2787</v>
      </c>
      <c r="F1483" s="20">
        <v>36.074844450000001</v>
      </c>
      <c r="G1483" s="20">
        <v>44.633743330000001</v>
      </c>
      <c r="H1483" s="22">
        <v>17</v>
      </c>
      <c r="I1483" s="22">
        <v>102</v>
      </c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>
        <v>17</v>
      </c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21"/>
      <c r="AH1483" s="21">
        <v>17</v>
      </c>
      <c r="AI1483" s="21"/>
      <c r="AJ1483" s="21"/>
      <c r="AK1483" s="21"/>
      <c r="AL1483" s="21"/>
      <c r="AM1483" s="21">
        <v>2</v>
      </c>
      <c r="AN1483" s="21">
        <v>15</v>
      </c>
      <c r="AO1483" s="21"/>
      <c r="AP1483" s="21"/>
      <c r="AQ1483" s="21"/>
      <c r="AR1483" s="21"/>
      <c r="AS1483" s="21"/>
      <c r="AT1483" s="12" t="str">
        <f>HYPERLINK("http://www.openstreetmap.org/?mlat=36.0748&amp;mlon=44.6337&amp;zoom=12#map=12/36.0748/44.6337","Maplink1")</f>
        <v>Maplink1</v>
      </c>
      <c r="AU1483" s="12" t="str">
        <f>HYPERLINK("https://www.google.iq/maps/search/+36.0748,44.6337/@36.0748,44.6337,14z?hl=en","Maplink2")</f>
        <v>Maplink2</v>
      </c>
      <c r="AV1483" s="12" t="str">
        <f>HYPERLINK("http://www.bing.com/maps/?lvl=14&amp;sty=h&amp;cp=36.0748~44.6337&amp;sp=point.36.0748_44.6337","Maplink3")</f>
        <v>Maplink3</v>
      </c>
    </row>
    <row r="1484" spans="1:48" ht="15" customHeight="1" x14ac:dyDescent="0.25">
      <c r="A1484" s="19">
        <v>24599</v>
      </c>
      <c r="B1484" s="20" t="s">
        <v>15</v>
      </c>
      <c r="C1484" s="20" t="s">
        <v>2773</v>
      </c>
      <c r="D1484" s="20" t="s">
        <v>2788</v>
      </c>
      <c r="E1484" s="20" t="s">
        <v>2789</v>
      </c>
      <c r="F1484" s="20">
        <v>36.076460480000001</v>
      </c>
      <c r="G1484" s="20">
        <v>44.63177906</v>
      </c>
      <c r="H1484" s="22">
        <v>18</v>
      </c>
      <c r="I1484" s="22">
        <v>108</v>
      </c>
      <c r="J1484" s="21">
        <v>18</v>
      </c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21"/>
      <c r="AH1484" s="21">
        <v>18</v>
      </c>
      <c r="AI1484" s="21"/>
      <c r="AJ1484" s="21"/>
      <c r="AK1484" s="21"/>
      <c r="AL1484" s="21">
        <v>18</v>
      </c>
      <c r="AM1484" s="21"/>
      <c r="AN1484" s="21"/>
      <c r="AO1484" s="21"/>
      <c r="AP1484" s="21"/>
      <c r="AQ1484" s="21"/>
      <c r="AR1484" s="21"/>
      <c r="AS1484" s="21"/>
      <c r="AT1484" s="12" t="str">
        <f>HYPERLINK("http://www.openstreetmap.org/?mlat=36.0765&amp;mlon=44.6318&amp;zoom=12#map=12/36.0765/44.6318","Maplink1")</f>
        <v>Maplink1</v>
      </c>
      <c r="AU1484" s="12" t="str">
        <f>HYPERLINK("https://www.google.iq/maps/search/+36.0765,44.6318/@36.0765,44.6318,14z?hl=en","Maplink2")</f>
        <v>Maplink2</v>
      </c>
      <c r="AV1484" s="12" t="str">
        <f>HYPERLINK("http://www.bing.com/maps/?lvl=14&amp;sty=h&amp;cp=36.0765~44.6318&amp;sp=point.36.0765_44.6318","Maplink3")</f>
        <v>Maplink3</v>
      </c>
    </row>
    <row r="1485" spans="1:48" ht="15" customHeight="1" x14ac:dyDescent="0.25">
      <c r="A1485" s="19">
        <v>27222</v>
      </c>
      <c r="B1485" s="20" t="s">
        <v>15</v>
      </c>
      <c r="C1485" s="20" t="s">
        <v>2773</v>
      </c>
      <c r="D1485" s="20" t="s">
        <v>2790</v>
      </c>
      <c r="E1485" s="20" t="s">
        <v>2791</v>
      </c>
      <c r="F1485" s="20">
        <v>36.057912639999998</v>
      </c>
      <c r="G1485" s="20">
        <v>44.636455580000003</v>
      </c>
      <c r="H1485" s="22">
        <v>10</v>
      </c>
      <c r="I1485" s="22">
        <v>60</v>
      </c>
      <c r="J1485" s="21">
        <v>7</v>
      </c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>
        <v>3</v>
      </c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21"/>
      <c r="AH1485" s="21">
        <v>10</v>
      </c>
      <c r="AI1485" s="21"/>
      <c r="AJ1485" s="21"/>
      <c r="AK1485" s="21"/>
      <c r="AL1485" s="21">
        <v>5</v>
      </c>
      <c r="AM1485" s="21">
        <v>3</v>
      </c>
      <c r="AN1485" s="21"/>
      <c r="AO1485" s="21"/>
      <c r="AP1485" s="21"/>
      <c r="AQ1485" s="21"/>
      <c r="AR1485" s="21"/>
      <c r="AS1485" s="21">
        <v>2</v>
      </c>
      <c r="AT1485" s="12" t="str">
        <f>HYPERLINK("http://www.openstreetmap.org/?mlat=36.0579&amp;mlon=44.6365&amp;zoom=12#map=12/36.0579/44.6365","Maplink1")</f>
        <v>Maplink1</v>
      </c>
      <c r="AU1485" s="12" t="str">
        <f>HYPERLINK("https://www.google.iq/maps/search/+36.0579,44.6365/@36.0579,44.6365,14z?hl=en","Maplink2")</f>
        <v>Maplink2</v>
      </c>
      <c r="AV1485" s="12" t="str">
        <f>HYPERLINK("http://www.bing.com/maps/?lvl=14&amp;sty=h&amp;cp=36.0579~44.6365&amp;sp=point.36.0579_44.6365","Maplink3")</f>
        <v>Maplink3</v>
      </c>
    </row>
    <row r="1486" spans="1:48" ht="15" customHeight="1" x14ac:dyDescent="0.25">
      <c r="A1486" s="19">
        <v>23280</v>
      </c>
      <c r="B1486" s="20" t="s">
        <v>15</v>
      </c>
      <c r="C1486" s="20" t="s">
        <v>2773</v>
      </c>
      <c r="D1486" s="20" t="s">
        <v>2792</v>
      </c>
      <c r="E1486" s="20" t="s">
        <v>2793</v>
      </c>
      <c r="F1486" s="20">
        <v>36.08712603</v>
      </c>
      <c r="G1486" s="20">
        <v>44.626122840000001</v>
      </c>
      <c r="H1486" s="22">
        <v>100</v>
      </c>
      <c r="I1486" s="22">
        <v>600</v>
      </c>
      <c r="J1486" s="21">
        <v>25</v>
      </c>
      <c r="K1486" s="21"/>
      <c r="L1486" s="21"/>
      <c r="M1486" s="21"/>
      <c r="N1486" s="21"/>
      <c r="O1486" s="21"/>
      <c r="P1486" s="21"/>
      <c r="Q1486" s="21"/>
      <c r="R1486" s="21">
        <v>8</v>
      </c>
      <c r="S1486" s="21"/>
      <c r="T1486" s="21"/>
      <c r="U1486" s="21"/>
      <c r="V1486" s="21">
        <v>67</v>
      </c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21"/>
      <c r="AH1486" s="21">
        <v>100</v>
      </c>
      <c r="AI1486" s="21"/>
      <c r="AJ1486" s="21"/>
      <c r="AK1486" s="21"/>
      <c r="AL1486" s="21">
        <v>10</v>
      </c>
      <c r="AM1486" s="21">
        <v>40</v>
      </c>
      <c r="AN1486" s="21">
        <v>10</v>
      </c>
      <c r="AO1486" s="21"/>
      <c r="AP1486" s="21">
        <v>15</v>
      </c>
      <c r="AQ1486" s="21"/>
      <c r="AR1486" s="21">
        <v>17</v>
      </c>
      <c r="AS1486" s="21">
        <v>8</v>
      </c>
      <c r="AT1486" s="12" t="str">
        <f>HYPERLINK("http://www.openstreetmap.org/?mlat=36.0871&amp;mlon=44.6261&amp;zoom=12#map=12/36.0871/44.6261","Maplink1")</f>
        <v>Maplink1</v>
      </c>
      <c r="AU1486" s="12" t="str">
        <f>HYPERLINK("https://www.google.iq/maps/search/+36.0871,44.6261/@36.0871,44.6261,14z?hl=en","Maplink2")</f>
        <v>Maplink2</v>
      </c>
      <c r="AV1486" s="12" t="str">
        <f>HYPERLINK("http://www.bing.com/maps/?lvl=14&amp;sty=h&amp;cp=36.0871~44.6261&amp;sp=point.36.0871_44.6261","Maplink3")</f>
        <v>Maplink3</v>
      </c>
    </row>
    <row r="1487" spans="1:48" ht="15" customHeight="1" x14ac:dyDescent="0.25">
      <c r="A1487" s="19">
        <v>11887</v>
      </c>
      <c r="B1487" s="20" t="s">
        <v>15</v>
      </c>
      <c r="C1487" s="20" t="s">
        <v>2773</v>
      </c>
      <c r="D1487" s="20" t="s">
        <v>2794</v>
      </c>
      <c r="E1487" s="20" t="s">
        <v>2795</v>
      </c>
      <c r="F1487" s="20">
        <v>35.886218509999999</v>
      </c>
      <c r="G1487" s="20">
        <v>44.584980209999998</v>
      </c>
      <c r="H1487" s="22">
        <v>229</v>
      </c>
      <c r="I1487" s="22">
        <v>1374</v>
      </c>
      <c r="J1487" s="21">
        <v>9</v>
      </c>
      <c r="K1487" s="21"/>
      <c r="L1487" s="21">
        <v>21</v>
      </c>
      <c r="M1487" s="21"/>
      <c r="N1487" s="21"/>
      <c r="O1487" s="21">
        <v>29</v>
      </c>
      <c r="P1487" s="21"/>
      <c r="Q1487" s="21"/>
      <c r="R1487" s="21">
        <v>46</v>
      </c>
      <c r="S1487" s="21"/>
      <c r="T1487" s="21"/>
      <c r="U1487" s="21"/>
      <c r="V1487" s="21">
        <v>97</v>
      </c>
      <c r="W1487" s="21"/>
      <c r="X1487" s="21">
        <v>27</v>
      </c>
      <c r="Y1487" s="21"/>
      <c r="Z1487" s="21"/>
      <c r="AA1487" s="21"/>
      <c r="AB1487" s="21"/>
      <c r="AC1487" s="21">
        <v>18</v>
      </c>
      <c r="AD1487" s="21"/>
      <c r="AE1487" s="21"/>
      <c r="AF1487" s="21"/>
      <c r="AG1487" s="21"/>
      <c r="AH1487" s="21">
        <v>211</v>
      </c>
      <c r="AI1487" s="21"/>
      <c r="AJ1487" s="21"/>
      <c r="AK1487" s="21"/>
      <c r="AL1487" s="21">
        <v>29</v>
      </c>
      <c r="AM1487" s="21">
        <v>67</v>
      </c>
      <c r="AN1487" s="21">
        <v>20</v>
      </c>
      <c r="AO1487" s="21">
        <v>21</v>
      </c>
      <c r="AP1487" s="21">
        <v>9</v>
      </c>
      <c r="AQ1487" s="21"/>
      <c r="AR1487" s="21">
        <v>37</v>
      </c>
      <c r="AS1487" s="21">
        <v>46</v>
      </c>
      <c r="AT1487" s="12" t="str">
        <f>HYPERLINK("http://www.openstreetmap.org/?mlat=35.8862&amp;mlon=44.585&amp;zoom=12#map=12/35.8862/44.585","Maplink1")</f>
        <v>Maplink1</v>
      </c>
      <c r="AU1487" s="12" t="str">
        <f>HYPERLINK("https://www.google.iq/maps/search/+35.8862,44.585/@35.8862,44.585,14z?hl=en","Maplink2")</f>
        <v>Maplink2</v>
      </c>
      <c r="AV1487" s="12" t="str">
        <f>HYPERLINK("http://www.bing.com/maps/?lvl=14&amp;sty=h&amp;cp=35.8862~44.585&amp;sp=point.35.8862_44.585","Maplink3")</f>
        <v>Maplink3</v>
      </c>
    </row>
    <row r="1488" spans="1:48" ht="15" customHeight="1" x14ac:dyDescent="0.25">
      <c r="A1488" s="19">
        <v>13569</v>
      </c>
      <c r="B1488" s="20" t="s">
        <v>15</v>
      </c>
      <c r="C1488" s="20" t="s">
        <v>2796</v>
      </c>
      <c r="D1488" s="20" t="s">
        <v>6140</v>
      </c>
      <c r="E1488" s="20" t="s">
        <v>6141</v>
      </c>
      <c r="F1488" s="20">
        <v>35.882770000000001</v>
      </c>
      <c r="G1488" s="20">
        <v>43.808610000000002</v>
      </c>
      <c r="H1488" s="22">
        <v>1748</v>
      </c>
      <c r="I1488" s="22">
        <v>10488</v>
      </c>
      <c r="J1488" s="21">
        <v>4</v>
      </c>
      <c r="K1488" s="21"/>
      <c r="L1488" s="21">
        <v>1</v>
      </c>
      <c r="M1488" s="21"/>
      <c r="N1488" s="21"/>
      <c r="O1488" s="21"/>
      <c r="P1488" s="21">
        <v>1398</v>
      </c>
      <c r="Q1488" s="21"/>
      <c r="R1488" s="21">
        <v>85</v>
      </c>
      <c r="S1488" s="21"/>
      <c r="T1488" s="21"/>
      <c r="U1488" s="21"/>
      <c r="V1488" s="21">
        <v>190</v>
      </c>
      <c r="W1488" s="21"/>
      <c r="X1488" s="21">
        <v>70</v>
      </c>
      <c r="Y1488" s="21"/>
      <c r="Z1488" s="21"/>
      <c r="AA1488" s="21"/>
      <c r="AB1488" s="21">
        <v>1748</v>
      </c>
      <c r="AC1488" s="21"/>
      <c r="AD1488" s="21"/>
      <c r="AE1488" s="21"/>
      <c r="AF1488" s="21"/>
      <c r="AG1488" s="21"/>
      <c r="AH1488" s="21"/>
      <c r="AI1488" s="21"/>
      <c r="AJ1488" s="21"/>
      <c r="AK1488" s="21"/>
      <c r="AL1488" s="21"/>
      <c r="AM1488" s="21">
        <v>160</v>
      </c>
      <c r="AN1488" s="21">
        <v>45</v>
      </c>
      <c r="AO1488" s="21">
        <v>321</v>
      </c>
      <c r="AP1488" s="21">
        <v>4</v>
      </c>
      <c r="AQ1488" s="21">
        <v>1124</v>
      </c>
      <c r="AR1488" s="21">
        <v>9</v>
      </c>
      <c r="AS1488" s="21">
        <v>85</v>
      </c>
      <c r="AT1488" s="12" t="str">
        <f>HYPERLINK("http://www.openstreetmap.org/?mlat=35.8828&amp;mlon=43.8086&amp;zoom=12#map=12/35.8828/43.8086","Maplink1")</f>
        <v>Maplink1</v>
      </c>
      <c r="AU1488" s="12" t="str">
        <f>HYPERLINK("https://www.google.iq/maps/search/+35.8828,43.8086/@35.8828,43.8086,14z?hl=en","Maplink2")</f>
        <v>Maplink2</v>
      </c>
      <c r="AV1488" s="12" t="str">
        <f>HYPERLINK("http://www.bing.com/maps/?lvl=14&amp;sty=h&amp;cp=35.8828~43.8086&amp;sp=point.35.8828_43.8086","Maplink3")</f>
        <v>Maplink3</v>
      </c>
    </row>
    <row r="1489" spans="1:48" ht="15" customHeight="1" x14ac:dyDescent="0.25">
      <c r="A1489" s="19">
        <v>29584</v>
      </c>
      <c r="B1489" s="20" t="s">
        <v>15</v>
      </c>
      <c r="C1489" s="20" t="s">
        <v>2796</v>
      </c>
      <c r="D1489" s="20" t="s">
        <v>6142</v>
      </c>
      <c r="E1489" s="20" t="s">
        <v>6143</v>
      </c>
      <c r="F1489" s="20">
        <v>35.878900000000002</v>
      </c>
      <c r="G1489" s="20">
        <v>43.802999999999997</v>
      </c>
      <c r="H1489" s="22">
        <v>131</v>
      </c>
      <c r="I1489" s="22">
        <v>786</v>
      </c>
      <c r="J1489" s="21"/>
      <c r="K1489" s="21"/>
      <c r="L1489" s="21"/>
      <c r="M1489" s="21"/>
      <c r="N1489" s="21"/>
      <c r="O1489" s="21"/>
      <c r="P1489" s="21">
        <v>81</v>
      </c>
      <c r="Q1489" s="21"/>
      <c r="R1489" s="21">
        <v>14</v>
      </c>
      <c r="S1489" s="21"/>
      <c r="T1489" s="21"/>
      <c r="U1489" s="21"/>
      <c r="V1489" s="21">
        <v>14</v>
      </c>
      <c r="W1489" s="21"/>
      <c r="X1489" s="21">
        <v>22</v>
      </c>
      <c r="Y1489" s="21"/>
      <c r="Z1489" s="21"/>
      <c r="AA1489" s="21"/>
      <c r="AB1489" s="21">
        <v>131</v>
      </c>
      <c r="AC1489" s="21"/>
      <c r="AD1489" s="21"/>
      <c r="AE1489" s="21"/>
      <c r="AF1489" s="21"/>
      <c r="AG1489" s="21"/>
      <c r="AH1489" s="21"/>
      <c r="AI1489" s="21"/>
      <c r="AJ1489" s="21"/>
      <c r="AK1489" s="21"/>
      <c r="AL1489" s="21"/>
      <c r="AM1489" s="21">
        <v>22</v>
      </c>
      <c r="AN1489" s="21"/>
      <c r="AO1489" s="21"/>
      <c r="AP1489" s="21"/>
      <c r="AQ1489" s="21">
        <v>6</v>
      </c>
      <c r="AR1489" s="21">
        <v>8</v>
      </c>
      <c r="AS1489" s="21">
        <v>95</v>
      </c>
      <c r="AT1489" s="12" t="str">
        <f>HYPERLINK("http://www.openstreetmap.org/?mlat=35.8789&amp;mlon=43.803&amp;zoom=12#map=12/35.8789/43.803","Maplink1")</f>
        <v>Maplink1</v>
      </c>
      <c r="AU1489" s="12" t="str">
        <f>HYPERLINK("https://www.google.iq/maps/search/+35.8789,43.803/@35.8789,43.803,14z?hl=en","Maplink2")</f>
        <v>Maplink2</v>
      </c>
      <c r="AV1489" s="12" t="str">
        <f>HYPERLINK("http://www.bing.com/maps/?lvl=14&amp;sty=h&amp;cp=35.8789~43.803&amp;sp=point.35.8789_43.803","Maplink3")</f>
        <v>Maplink3</v>
      </c>
    </row>
    <row r="1490" spans="1:48" ht="15" customHeight="1" x14ac:dyDescent="0.25">
      <c r="A1490" s="19">
        <v>27225</v>
      </c>
      <c r="B1490" s="20" t="s">
        <v>15</v>
      </c>
      <c r="C1490" s="20" t="s">
        <v>2797</v>
      </c>
      <c r="D1490" s="20" t="s">
        <v>2798</v>
      </c>
      <c r="E1490" s="20" t="s">
        <v>2799</v>
      </c>
      <c r="F1490" s="20">
        <v>36.835163399999999</v>
      </c>
      <c r="G1490" s="20">
        <v>44.313338659999999</v>
      </c>
      <c r="H1490" s="22">
        <v>26</v>
      </c>
      <c r="I1490" s="22">
        <v>156</v>
      </c>
      <c r="J1490" s="21"/>
      <c r="K1490" s="21"/>
      <c r="L1490" s="21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>
        <v>26</v>
      </c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21"/>
      <c r="AH1490" s="21">
        <v>26</v>
      </c>
      <c r="AI1490" s="21"/>
      <c r="AJ1490" s="21"/>
      <c r="AK1490" s="21"/>
      <c r="AL1490" s="21"/>
      <c r="AM1490" s="21">
        <v>26</v>
      </c>
      <c r="AN1490" s="21"/>
      <c r="AO1490" s="21"/>
      <c r="AP1490" s="21"/>
      <c r="AQ1490" s="21"/>
      <c r="AR1490" s="21"/>
      <c r="AS1490" s="21"/>
      <c r="AT1490" s="12" t="str">
        <f>HYPERLINK("http://www.openstreetmap.org/?mlat=36.8352&amp;mlon=44.3133&amp;zoom=12#map=12/36.8352/44.3133","Maplink1")</f>
        <v>Maplink1</v>
      </c>
      <c r="AU1490" s="12" t="str">
        <f>HYPERLINK("https://www.google.iq/maps/search/+36.8352,44.3133/@36.8352,44.3133,14z?hl=en","Maplink2")</f>
        <v>Maplink2</v>
      </c>
      <c r="AV1490" s="12" t="str">
        <f>HYPERLINK("http://www.bing.com/maps/?lvl=14&amp;sty=h&amp;cp=36.8352~44.3133&amp;sp=point.36.8352_44.3133","Maplink3")</f>
        <v>Maplink3</v>
      </c>
    </row>
    <row r="1491" spans="1:48" ht="15" customHeight="1" x14ac:dyDescent="0.25">
      <c r="A1491" s="19">
        <v>23907</v>
      </c>
      <c r="B1491" s="20" t="s">
        <v>15</v>
      </c>
      <c r="C1491" s="20" t="s">
        <v>2800</v>
      </c>
      <c r="D1491" s="20" t="s">
        <v>2801</v>
      </c>
      <c r="E1491" s="20" t="s">
        <v>2802</v>
      </c>
      <c r="F1491" s="20">
        <v>36.402443390000002</v>
      </c>
      <c r="G1491" s="20">
        <v>44.344361599999999</v>
      </c>
      <c r="H1491" s="22">
        <v>20</v>
      </c>
      <c r="I1491" s="22">
        <v>120</v>
      </c>
      <c r="J1491" s="21">
        <v>6</v>
      </c>
      <c r="K1491" s="21"/>
      <c r="L1491" s="21">
        <v>4</v>
      </c>
      <c r="M1491" s="21"/>
      <c r="N1491" s="21"/>
      <c r="O1491" s="21">
        <v>5</v>
      </c>
      <c r="P1491" s="21"/>
      <c r="Q1491" s="21"/>
      <c r="R1491" s="21"/>
      <c r="S1491" s="21"/>
      <c r="T1491" s="21"/>
      <c r="U1491" s="21"/>
      <c r="V1491" s="21">
        <v>2</v>
      </c>
      <c r="W1491" s="21"/>
      <c r="X1491" s="21">
        <v>3</v>
      </c>
      <c r="Y1491" s="21"/>
      <c r="Z1491" s="21"/>
      <c r="AA1491" s="21"/>
      <c r="AB1491" s="21"/>
      <c r="AC1491" s="21"/>
      <c r="AD1491" s="21">
        <v>5</v>
      </c>
      <c r="AE1491" s="21"/>
      <c r="AF1491" s="21"/>
      <c r="AG1491" s="21"/>
      <c r="AH1491" s="21">
        <v>15</v>
      </c>
      <c r="AI1491" s="21"/>
      <c r="AJ1491" s="21"/>
      <c r="AK1491" s="21"/>
      <c r="AL1491" s="21">
        <v>5</v>
      </c>
      <c r="AM1491" s="21">
        <v>3</v>
      </c>
      <c r="AN1491" s="21">
        <v>2</v>
      </c>
      <c r="AO1491" s="21">
        <v>4</v>
      </c>
      <c r="AP1491" s="21">
        <v>6</v>
      </c>
      <c r="AQ1491" s="21"/>
      <c r="AR1491" s="21"/>
      <c r="AS1491" s="21"/>
      <c r="AT1491" s="12" t="str">
        <f>HYPERLINK("http://www.openstreetmap.org/?mlat=36.4024&amp;mlon=44.3444&amp;zoom=12#map=12/36.4024/44.3444","Maplink1")</f>
        <v>Maplink1</v>
      </c>
      <c r="AU1491" s="12" t="str">
        <f>HYPERLINK("https://www.google.iq/maps/search/+36.4024,44.3444/@36.4024,44.3444,14z?hl=en","Maplink2")</f>
        <v>Maplink2</v>
      </c>
      <c r="AV1491" s="12" t="str">
        <f>HYPERLINK("http://www.bing.com/maps/?lvl=14&amp;sty=h&amp;cp=36.4024~44.3444&amp;sp=point.36.4024_44.3444","Maplink3")</f>
        <v>Maplink3</v>
      </c>
    </row>
    <row r="1492" spans="1:48" ht="15" customHeight="1" x14ac:dyDescent="0.25">
      <c r="A1492" s="19">
        <v>23713</v>
      </c>
      <c r="B1492" s="20" t="s">
        <v>15</v>
      </c>
      <c r="C1492" s="20" t="s">
        <v>2800</v>
      </c>
      <c r="D1492" s="20" t="s">
        <v>2803</v>
      </c>
      <c r="E1492" s="20" t="s">
        <v>2804</v>
      </c>
      <c r="F1492" s="20">
        <v>36.397222040000003</v>
      </c>
      <c r="G1492" s="20">
        <v>44.343286849999998</v>
      </c>
      <c r="H1492" s="22">
        <v>100</v>
      </c>
      <c r="I1492" s="22">
        <v>600</v>
      </c>
      <c r="J1492" s="21">
        <v>48</v>
      </c>
      <c r="K1492" s="21"/>
      <c r="L1492" s="21">
        <v>7</v>
      </c>
      <c r="M1492" s="21"/>
      <c r="N1492" s="21"/>
      <c r="O1492" s="21">
        <v>7</v>
      </c>
      <c r="P1492" s="21"/>
      <c r="Q1492" s="21"/>
      <c r="R1492" s="21"/>
      <c r="S1492" s="21"/>
      <c r="T1492" s="21"/>
      <c r="U1492" s="21"/>
      <c r="V1492" s="21">
        <v>13</v>
      </c>
      <c r="W1492" s="21"/>
      <c r="X1492" s="21">
        <v>25</v>
      </c>
      <c r="Y1492" s="21"/>
      <c r="Z1492" s="21"/>
      <c r="AA1492" s="21"/>
      <c r="AB1492" s="21"/>
      <c r="AC1492" s="21"/>
      <c r="AD1492" s="21"/>
      <c r="AE1492" s="21"/>
      <c r="AF1492" s="21"/>
      <c r="AG1492" s="21"/>
      <c r="AH1492" s="21">
        <v>100</v>
      </c>
      <c r="AI1492" s="21"/>
      <c r="AJ1492" s="21"/>
      <c r="AK1492" s="21"/>
      <c r="AL1492" s="21">
        <v>26</v>
      </c>
      <c r="AM1492" s="21">
        <v>19</v>
      </c>
      <c r="AN1492" s="21">
        <v>7</v>
      </c>
      <c r="AO1492" s="21">
        <v>7</v>
      </c>
      <c r="AP1492" s="21">
        <v>24</v>
      </c>
      <c r="AQ1492" s="21">
        <v>5</v>
      </c>
      <c r="AR1492" s="21">
        <v>12</v>
      </c>
      <c r="AS1492" s="21"/>
      <c r="AT1492" s="12" t="str">
        <f>HYPERLINK("http://www.openstreetmap.org/?mlat=36.3972&amp;mlon=44.3433&amp;zoom=12#map=12/36.3972/44.3433","Maplink1")</f>
        <v>Maplink1</v>
      </c>
      <c r="AU1492" s="12" t="str">
        <f>HYPERLINK("https://www.google.iq/maps/search/+36.3972,44.3433/@36.3972,44.3433,14z?hl=en","Maplink2")</f>
        <v>Maplink2</v>
      </c>
      <c r="AV1492" s="12" t="str">
        <f>HYPERLINK("http://www.bing.com/maps/?lvl=14&amp;sty=h&amp;cp=36.3972~44.3433&amp;sp=point.36.3972_44.3433","Maplink3")</f>
        <v>Maplink3</v>
      </c>
    </row>
    <row r="1493" spans="1:48" ht="15" customHeight="1" x14ac:dyDescent="0.25">
      <c r="A1493" s="19">
        <v>27141</v>
      </c>
      <c r="B1493" s="20" t="s">
        <v>15</v>
      </c>
      <c r="C1493" s="20" t="s">
        <v>2800</v>
      </c>
      <c r="D1493" s="20" t="s">
        <v>2805</v>
      </c>
      <c r="E1493" s="20" t="s">
        <v>2806</v>
      </c>
      <c r="F1493" s="20">
        <v>36.498654399999999</v>
      </c>
      <c r="G1493" s="20">
        <v>44.358864760000003</v>
      </c>
      <c r="H1493" s="22">
        <v>4</v>
      </c>
      <c r="I1493" s="22">
        <v>24</v>
      </c>
      <c r="J1493" s="21">
        <v>4</v>
      </c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21"/>
      <c r="AH1493" s="21">
        <v>4</v>
      </c>
      <c r="AI1493" s="21"/>
      <c r="AJ1493" s="21"/>
      <c r="AK1493" s="21"/>
      <c r="AL1493" s="21"/>
      <c r="AM1493" s="21"/>
      <c r="AN1493" s="21"/>
      <c r="AO1493" s="21"/>
      <c r="AP1493" s="21">
        <v>4</v>
      </c>
      <c r="AQ1493" s="21"/>
      <c r="AR1493" s="21"/>
      <c r="AS1493" s="21"/>
      <c r="AT1493" s="12" t="str">
        <f>HYPERLINK("http://www.openstreetmap.org/?mlat=36.4987&amp;mlon=44.3589&amp;zoom=12#map=12/36.4987/44.3589","Maplink1")</f>
        <v>Maplink1</v>
      </c>
      <c r="AU1493" s="12" t="str">
        <f>HYPERLINK("https://www.google.iq/maps/search/+36.4987,44.3589/@36.4987,44.3589,14z?hl=en","Maplink2")</f>
        <v>Maplink2</v>
      </c>
      <c r="AV1493" s="12" t="str">
        <f>HYPERLINK("http://www.bing.com/maps/?lvl=14&amp;sty=h&amp;cp=36.4987~44.3589&amp;sp=point.36.4987_44.3589","Maplink3")</f>
        <v>Maplink3</v>
      </c>
    </row>
    <row r="1494" spans="1:48" ht="15" customHeight="1" x14ac:dyDescent="0.25">
      <c r="A1494" s="19">
        <v>12172</v>
      </c>
      <c r="B1494" s="20" t="s">
        <v>15</v>
      </c>
      <c r="C1494" s="20" t="s">
        <v>2800</v>
      </c>
      <c r="D1494" s="20" t="s">
        <v>2807</v>
      </c>
      <c r="E1494" s="20" t="s">
        <v>2808</v>
      </c>
      <c r="F1494" s="20">
        <v>36.549825269999999</v>
      </c>
      <c r="G1494" s="20">
        <v>44.353298029999998</v>
      </c>
      <c r="H1494" s="22">
        <v>95</v>
      </c>
      <c r="I1494" s="22">
        <v>570</v>
      </c>
      <c r="J1494" s="21">
        <v>55</v>
      </c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>
        <v>30</v>
      </c>
      <c r="W1494" s="21"/>
      <c r="X1494" s="21">
        <v>10</v>
      </c>
      <c r="Y1494" s="21"/>
      <c r="Z1494" s="21"/>
      <c r="AA1494" s="21"/>
      <c r="AB1494" s="21"/>
      <c r="AC1494" s="21"/>
      <c r="AD1494" s="21"/>
      <c r="AE1494" s="21"/>
      <c r="AF1494" s="21"/>
      <c r="AG1494" s="21"/>
      <c r="AH1494" s="21">
        <v>95</v>
      </c>
      <c r="AI1494" s="21"/>
      <c r="AJ1494" s="21"/>
      <c r="AK1494" s="21"/>
      <c r="AL1494" s="21">
        <v>25</v>
      </c>
      <c r="AM1494" s="21">
        <v>28</v>
      </c>
      <c r="AN1494" s="21">
        <v>12</v>
      </c>
      <c r="AO1494" s="21"/>
      <c r="AP1494" s="21">
        <v>30</v>
      </c>
      <c r="AQ1494" s="21"/>
      <c r="AR1494" s="21"/>
      <c r="AS1494" s="21"/>
      <c r="AT1494" s="12" t="str">
        <f>HYPERLINK("http://www.openstreetmap.org/?mlat=36.5498&amp;mlon=44.3533&amp;zoom=12#map=12/36.5498/44.3533","Maplink1")</f>
        <v>Maplink1</v>
      </c>
      <c r="AU1494" s="12" t="str">
        <f>HYPERLINK("https://www.google.iq/maps/search/+36.5498,44.3533/@36.5498,44.3533,14z?hl=en","Maplink2")</f>
        <v>Maplink2</v>
      </c>
      <c r="AV1494" s="12" t="str">
        <f>HYPERLINK("http://www.bing.com/maps/?lvl=14&amp;sty=h&amp;cp=36.5498~44.3533&amp;sp=point.36.5498_44.3533","Maplink3")</f>
        <v>Maplink3</v>
      </c>
    </row>
    <row r="1495" spans="1:48" ht="15" customHeight="1" x14ac:dyDescent="0.25">
      <c r="A1495" s="19">
        <v>13372</v>
      </c>
      <c r="B1495" s="20" t="s">
        <v>15</v>
      </c>
      <c r="C1495" s="20" t="s">
        <v>2800</v>
      </c>
      <c r="D1495" s="20" t="s">
        <v>2809</v>
      </c>
      <c r="E1495" s="20" t="s">
        <v>2810</v>
      </c>
      <c r="F1495" s="20">
        <v>36.565908880000002</v>
      </c>
      <c r="G1495" s="20">
        <v>44.329141989999997</v>
      </c>
      <c r="H1495" s="22">
        <v>35</v>
      </c>
      <c r="I1495" s="22">
        <v>210</v>
      </c>
      <c r="J1495" s="21">
        <v>15</v>
      </c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>
        <v>5</v>
      </c>
      <c r="W1495" s="21"/>
      <c r="X1495" s="21">
        <v>15</v>
      </c>
      <c r="Y1495" s="21"/>
      <c r="Z1495" s="21"/>
      <c r="AA1495" s="21"/>
      <c r="AB1495" s="21"/>
      <c r="AC1495" s="21"/>
      <c r="AD1495" s="21"/>
      <c r="AE1495" s="21"/>
      <c r="AF1495" s="21"/>
      <c r="AG1495" s="21"/>
      <c r="AH1495" s="21">
        <v>35</v>
      </c>
      <c r="AI1495" s="21"/>
      <c r="AJ1495" s="21"/>
      <c r="AK1495" s="21"/>
      <c r="AL1495" s="21">
        <v>7</v>
      </c>
      <c r="AM1495" s="21">
        <v>15</v>
      </c>
      <c r="AN1495" s="21">
        <v>5</v>
      </c>
      <c r="AO1495" s="21"/>
      <c r="AP1495" s="21">
        <v>8</v>
      </c>
      <c r="AQ1495" s="21"/>
      <c r="AR1495" s="21"/>
      <c r="AS1495" s="21"/>
      <c r="AT1495" s="12" t="str">
        <f>HYPERLINK("http://www.openstreetmap.org/?mlat=36.5659&amp;mlon=44.3291&amp;zoom=12#map=12/36.5659/44.3291","Maplink1")</f>
        <v>Maplink1</v>
      </c>
      <c r="AU1495" s="12" t="str">
        <f>HYPERLINK("https://www.google.iq/maps/search/+36.5659,44.3291/@36.5659,44.3291,14z?hl=en","Maplink2")</f>
        <v>Maplink2</v>
      </c>
      <c r="AV1495" s="12" t="str">
        <f>HYPERLINK("http://www.bing.com/maps/?lvl=14&amp;sty=h&amp;cp=36.5659~44.3291&amp;sp=point.36.5659_44.3291","Maplink3")</f>
        <v>Maplink3</v>
      </c>
    </row>
    <row r="1496" spans="1:48" ht="15" customHeight="1" x14ac:dyDescent="0.25">
      <c r="A1496" s="19">
        <v>12079</v>
      </c>
      <c r="B1496" s="20" t="s">
        <v>15</v>
      </c>
      <c r="C1496" s="20" t="s">
        <v>2800</v>
      </c>
      <c r="D1496" s="20" t="s">
        <v>2811</v>
      </c>
      <c r="E1496" s="20" t="s">
        <v>2812</v>
      </c>
      <c r="F1496" s="20">
        <v>36.279479870000003</v>
      </c>
      <c r="G1496" s="20">
        <v>44.497319429999997</v>
      </c>
      <c r="H1496" s="22">
        <v>114</v>
      </c>
      <c r="I1496" s="22">
        <v>684</v>
      </c>
      <c r="J1496" s="21">
        <v>94</v>
      </c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>
        <v>20</v>
      </c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21"/>
      <c r="AH1496" s="21">
        <v>114</v>
      </c>
      <c r="AI1496" s="21"/>
      <c r="AJ1496" s="21"/>
      <c r="AK1496" s="21"/>
      <c r="AL1496" s="21">
        <v>63</v>
      </c>
      <c r="AM1496" s="21"/>
      <c r="AN1496" s="21"/>
      <c r="AO1496" s="21"/>
      <c r="AP1496" s="21">
        <v>31</v>
      </c>
      <c r="AQ1496" s="21"/>
      <c r="AR1496" s="21">
        <v>20</v>
      </c>
      <c r="AS1496" s="21"/>
      <c r="AT1496" s="12" t="str">
        <f>HYPERLINK("http://www.openstreetmap.org/?mlat=36.2795&amp;mlon=44.4973&amp;zoom=12#map=12/36.2795/44.4973","Maplink1")</f>
        <v>Maplink1</v>
      </c>
      <c r="AU1496" s="12" t="str">
        <f>HYPERLINK("https://www.google.iq/maps/search/+36.2795,44.4973/@36.2795,44.4973,14z?hl=en","Maplink2")</f>
        <v>Maplink2</v>
      </c>
      <c r="AV1496" s="12" t="str">
        <f>HYPERLINK("http://www.bing.com/maps/?lvl=14&amp;sty=h&amp;cp=36.2795~44.4973&amp;sp=point.36.2795_44.4973","Maplink3")</f>
        <v>Maplink3</v>
      </c>
    </row>
    <row r="1497" spans="1:48" ht="15" customHeight="1" x14ac:dyDescent="0.25">
      <c r="A1497" s="19">
        <v>27143</v>
      </c>
      <c r="B1497" s="20" t="s">
        <v>15</v>
      </c>
      <c r="C1497" s="20" t="s">
        <v>2800</v>
      </c>
      <c r="D1497" s="20" t="s">
        <v>2659</v>
      </c>
      <c r="E1497" s="20" t="s">
        <v>2813</v>
      </c>
      <c r="F1497" s="20">
        <v>36.504895869999999</v>
      </c>
      <c r="G1497" s="20">
        <v>44.34878672</v>
      </c>
      <c r="H1497" s="22">
        <v>6</v>
      </c>
      <c r="I1497" s="22">
        <v>36</v>
      </c>
      <c r="J1497" s="21">
        <v>4</v>
      </c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>
        <v>2</v>
      </c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21"/>
      <c r="AH1497" s="21">
        <v>6</v>
      </c>
      <c r="AI1497" s="21"/>
      <c r="AJ1497" s="21"/>
      <c r="AK1497" s="21"/>
      <c r="AL1497" s="21"/>
      <c r="AM1497" s="21"/>
      <c r="AN1497" s="21">
        <v>2</v>
      </c>
      <c r="AO1497" s="21"/>
      <c r="AP1497" s="21">
        <v>4</v>
      </c>
      <c r="AQ1497" s="21"/>
      <c r="AR1497" s="21"/>
      <c r="AS1497" s="21"/>
      <c r="AT1497" s="12" t="str">
        <f>HYPERLINK("http://www.openstreetmap.org/?mlat=36.5049&amp;mlon=44.3488&amp;zoom=12#map=12/36.5049/44.3488","Maplink1")</f>
        <v>Maplink1</v>
      </c>
      <c r="AU1497" s="12" t="str">
        <f>HYPERLINK("https://www.google.iq/maps/search/+36.5049,44.3488/@36.5049,44.3488,14z?hl=en","Maplink2")</f>
        <v>Maplink2</v>
      </c>
      <c r="AV1497" s="12" t="str">
        <f>HYPERLINK("http://www.bing.com/maps/?lvl=14&amp;sty=h&amp;cp=36.5049~44.3488&amp;sp=point.36.5049_44.3488","Maplink3")</f>
        <v>Maplink3</v>
      </c>
    </row>
    <row r="1498" spans="1:48" ht="15" customHeight="1" x14ac:dyDescent="0.25">
      <c r="A1498" s="19">
        <v>27142</v>
      </c>
      <c r="B1498" s="20" t="s">
        <v>15</v>
      </c>
      <c r="C1498" s="20" t="s">
        <v>2800</v>
      </c>
      <c r="D1498" s="20" t="s">
        <v>2814</v>
      </c>
      <c r="E1498" s="20" t="s">
        <v>2664</v>
      </c>
      <c r="F1498" s="20">
        <v>36.497277609999998</v>
      </c>
      <c r="G1498" s="20">
        <v>44.354628740000003</v>
      </c>
      <c r="H1498" s="22">
        <v>3</v>
      </c>
      <c r="I1498" s="22">
        <v>18</v>
      </c>
      <c r="J1498" s="21">
        <v>3</v>
      </c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21"/>
      <c r="AH1498" s="21">
        <v>3</v>
      </c>
      <c r="AI1498" s="21"/>
      <c r="AJ1498" s="21"/>
      <c r="AK1498" s="21"/>
      <c r="AL1498" s="21"/>
      <c r="AM1498" s="21"/>
      <c r="AN1498" s="21"/>
      <c r="AO1498" s="21"/>
      <c r="AP1498" s="21">
        <v>3</v>
      </c>
      <c r="AQ1498" s="21"/>
      <c r="AR1498" s="21"/>
      <c r="AS1498" s="21"/>
      <c r="AT1498" s="12" t="str">
        <f>HYPERLINK("http://www.openstreetmap.org/?mlat=36.4973&amp;mlon=44.3546&amp;zoom=12#map=12/36.4973/44.3546","Maplink1")</f>
        <v>Maplink1</v>
      </c>
      <c r="AU1498" s="12" t="str">
        <f>HYPERLINK("https://www.google.iq/maps/search/+36.4973,44.3546/@36.4973,44.3546,14z?hl=en","Maplink2")</f>
        <v>Maplink2</v>
      </c>
      <c r="AV1498" s="12" t="str">
        <f>HYPERLINK("http://www.bing.com/maps/?lvl=14&amp;sty=h&amp;cp=36.4973~44.3546&amp;sp=point.36.4973_44.3546","Maplink3")</f>
        <v>Maplink3</v>
      </c>
    </row>
    <row r="1499" spans="1:48" ht="15" customHeight="1" x14ac:dyDescent="0.25">
      <c r="A1499" s="19">
        <v>24910</v>
      </c>
      <c r="B1499" s="20" t="s">
        <v>15</v>
      </c>
      <c r="C1499" s="20" t="s">
        <v>2800</v>
      </c>
      <c r="D1499" s="20" t="s">
        <v>2214</v>
      </c>
      <c r="E1499" s="20" t="s">
        <v>2215</v>
      </c>
      <c r="F1499" s="20">
        <v>36.5084649</v>
      </c>
      <c r="G1499" s="20">
        <v>44.344393109999999</v>
      </c>
      <c r="H1499" s="22">
        <v>7</v>
      </c>
      <c r="I1499" s="22">
        <v>42</v>
      </c>
      <c r="J1499" s="21">
        <v>5</v>
      </c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>
        <v>2</v>
      </c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21"/>
      <c r="AH1499" s="21">
        <v>7</v>
      </c>
      <c r="AI1499" s="21"/>
      <c r="AJ1499" s="21"/>
      <c r="AK1499" s="21"/>
      <c r="AL1499" s="21">
        <v>5</v>
      </c>
      <c r="AM1499" s="21"/>
      <c r="AN1499" s="21">
        <v>2</v>
      </c>
      <c r="AO1499" s="21"/>
      <c r="AP1499" s="21"/>
      <c r="AQ1499" s="21"/>
      <c r="AR1499" s="21"/>
      <c r="AS1499" s="21"/>
      <c r="AT1499" s="12" t="str">
        <f>HYPERLINK("http://www.openstreetmap.org/?mlat=36.5085&amp;mlon=44.3444&amp;zoom=12#map=12/36.5085/44.3444","Maplink1")</f>
        <v>Maplink1</v>
      </c>
      <c r="AU1499" s="12" t="str">
        <f>HYPERLINK("https://www.google.iq/maps/search/+36.5085,44.3444/@36.5085,44.3444,14z?hl=en","Maplink2")</f>
        <v>Maplink2</v>
      </c>
      <c r="AV1499" s="12" t="str">
        <f>HYPERLINK("http://www.bing.com/maps/?lvl=14&amp;sty=h&amp;cp=36.5085~44.3444&amp;sp=point.36.5085_44.3444","Maplink3")</f>
        <v>Maplink3</v>
      </c>
    </row>
    <row r="1500" spans="1:48" ht="15" customHeight="1" x14ac:dyDescent="0.25">
      <c r="A1500" s="19">
        <v>23698</v>
      </c>
      <c r="B1500" s="20" t="s">
        <v>15</v>
      </c>
      <c r="C1500" s="20" t="s">
        <v>2800</v>
      </c>
      <c r="D1500" s="20" t="s">
        <v>2815</v>
      </c>
      <c r="E1500" s="20" t="s">
        <v>2816</v>
      </c>
      <c r="F1500" s="20">
        <v>36.403022309999997</v>
      </c>
      <c r="G1500" s="20">
        <v>44.34575383</v>
      </c>
      <c r="H1500" s="22">
        <v>73</v>
      </c>
      <c r="I1500" s="22">
        <v>438</v>
      </c>
      <c r="J1500" s="21">
        <v>35</v>
      </c>
      <c r="K1500" s="21"/>
      <c r="L1500" s="21"/>
      <c r="M1500" s="21"/>
      <c r="N1500" s="21"/>
      <c r="O1500" s="21">
        <v>2</v>
      </c>
      <c r="P1500" s="21"/>
      <c r="Q1500" s="21"/>
      <c r="R1500" s="21"/>
      <c r="S1500" s="21"/>
      <c r="T1500" s="21"/>
      <c r="U1500" s="21"/>
      <c r="V1500" s="21">
        <v>23</v>
      </c>
      <c r="W1500" s="21"/>
      <c r="X1500" s="21">
        <v>13</v>
      </c>
      <c r="Y1500" s="21"/>
      <c r="Z1500" s="21"/>
      <c r="AA1500" s="21"/>
      <c r="AB1500" s="21"/>
      <c r="AC1500" s="21"/>
      <c r="AD1500" s="21"/>
      <c r="AE1500" s="21"/>
      <c r="AF1500" s="21"/>
      <c r="AG1500" s="21"/>
      <c r="AH1500" s="21">
        <v>73</v>
      </c>
      <c r="AI1500" s="21"/>
      <c r="AJ1500" s="21"/>
      <c r="AK1500" s="21"/>
      <c r="AL1500" s="21">
        <v>12</v>
      </c>
      <c r="AM1500" s="21">
        <v>26</v>
      </c>
      <c r="AN1500" s="21"/>
      <c r="AO1500" s="21"/>
      <c r="AP1500" s="21">
        <v>20</v>
      </c>
      <c r="AQ1500" s="21">
        <v>5</v>
      </c>
      <c r="AR1500" s="21">
        <v>10</v>
      </c>
      <c r="AS1500" s="21"/>
      <c r="AT1500" s="12" t="str">
        <f>HYPERLINK("http://www.openstreetmap.org/?mlat=36.403&amp;mlon=44.3458&amp;zoom=12#map=12/36.403/44.3458","Maplink1")</f>
        <v>Maplink1</v>
      </c>
      <c r="AU1500" s="12" t="str">
        <f>HYPERLINK("https://www.google.iq/maps/search/+36.403,44.3458/@36.403,44.3458,14z?hl=en","Maplink2")</f>
        <v>Maplink2</v>
      </c>
      <c r="AV1500" s="12" t="str">
        <f>HYPERLINK("http://www.bing.com/maps/?lvl=14&amp;sty=h&amp;cp=36.403~44.3458&amp;sp=point.36.403_44.3458","Maplink3")</f>
        <v>Maplink3</v>
      </c>
    </row>
    <row r="1501" spans="1:48" ht="15" customHeight="1" x14ac:dyDescent="0.25">
      <c r="A1501" s="19">
        <v>23741</v>
      </c>
      <c r="B1501" s="20" t="s">
        <v>15</v>
      </c>
      <c r="C1501" s="20" t="s">
        <v>2800</v>
      </c>
      <c r="D1501" s="20" t="s">
        <v>2817</v>
      </c>
      <c r="E1501" s="20" t="s">
        <v>2818</v>
      </c>
      <c r="F1501" s="20">
        <v>36.403657080000002</v>
      </c>
      <c r="G1501" s="20">
        <v>44.318396649999997</v>
      </c>
      <c r="H1501" s="22">
        <v>75</v>
      </c>
      <c r="I1501" s="22">
        <v>450</v>
      </c>
      <c r="J1501" s="21">
        <v>51</v>
      </c>
      <c r="K1501" s="21"/>
      <c r="L1501" s="21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>
        <v>15</v>
      </c>
      <c r="W1501" s="21"/>
      <c r="X1501" s="21">
        <v>9</v>
      </c>
      <c r="Y1501" s="21"/>
      <c r="Z1501" s="21"/>
      <c r="AA1501" s="21"/>
      <c r="AB1501" s="21"/>
      <c r="AC1501" s="21"/>
      <c r="AD1501" s="21">
        <v>5</v>
      </c>
      <c r="AE1501" s="21"/>
      <c r="AF1501" s="21"/>
      <c r="AG1501" s="21"/>
      <c r="AH1501" s="21">
        <v>70</v>
      </c>
      <c r="AI1501" s="21"/>
      <c r="AJ1501" s="21"/>
      <c r="AK1501" s="21"/>
      <c r="AL1501" s="21">
        <v>35</v>
      </c>
      <c r="AM1501" s="21">
        <v>9</v>
      </c>
      <c r="AN1501" s="21">
        <v>15</v>
      </c>
      <c r="AO1501" s="21"/>
      <c r="AP1501" s="21">
        <v>6</v>
      </c>
      <c r="AQ1501" s="21">
        <v>5</v>
      </c>
      <c r="AR1501" s="21"/>
      <c r="AS1501" s="21">
        <v>5</v>
      </c>
      <c r="AT1501" s="12" t="str">
        <f>HYPERLINK("http://www.openstreetmap.org/?mlat=36.4037&amp;mlon=44.3184&amp;zoom=12#map=12/36.4037/44.3184","Maplink1")</f>
        <v>Maplink1</v>
      </c>
      <c r="AU1501" s="12" t="str">
        <f>HYPERLINK("https://www.google.iq/maps/search/+36.4037,44.3184/@36.4037,44.3184,14z?hl=en","Maplink2")</f>
        <v>Maplink2</v>
      </c>
      <c r="AV1501" s="12" t="str">
        <f>HYPERLINK("http://www.bing.com/maps/?lvl=14&amp;sty=h&amp;cp=36.4037~44.3184&amp;sp=point.36.4037_44.3184","Maplink3")</f>
        <v>Maplink3</v>
      </c>
    </row>
    <row r="1502" spans="1:48" ht="15" customHeight="1" x14ac:dyDescent="0.25">
      <c r="A1502" s="19">
        <v>12948</v>
      </c>
      <c r="B1502" s="20" t="s">
        <v>15</v>
      </c>
      <c r="C1502" s="20" t="s">
        <v>2800</v>
      </c>
      <c r="D1502" s="20" t="s">
        <v>2819</v>
      </c>
      <c r="E1502" s="20" t="s">
        <v>2820</v>
      </c>
      <c r="F1502" s="20">
        <v>36.412005229999998</v>
      </c>
      <c r="G1502" s="20">
        <v>44.303305770000001</v>
      </c>
      <c r="H1502" s="22">
        <v>80</v>
      </c>
      <c r="I1502" s="22">
        <v>480</v>
      </c>
      <c r="J1502" s="21">
        <v>50</v>
      </c>
      <c r="K1502" s="21"/>
      <c r="L1502" s="21"/>
      <c r="M1502" s="21"/>
      <c r="N1502" s="21"/>
      <c r="O1502" s="21">
        <v>5</v>
      </c>
      <c r="P1502" s="21"/>
      <c r="Q1502" s="21"/>
      <c r="R1502" s="21"/>
      <c r="S1502" s="21"/>
      <c r="T1502" s="21"/>
      <c r="U1502" s="21"/>
      <c r="V1502" s="21">
        <v>15</v>
      </c>
      <c r="W1502" s="21"/>
      <c r="X1502" s="21">
        <v>10</v>
      </c>
      <c r="Y1502" s="21"/>
      <c r="Z1502" s="21"/>
      <c r="AA1502" s="21"/>
      <c r="AB1502" s="21"/>
      <c r="AC1502" s="21"/>
      <c r="AD1502" s="21"/>
      <c r="AE1502" s="21"/>
      <c r="AF1502" s="21"/>
      <c r="AG1502" s="21"/>
      <c r="AH1502" s="21">
        <v>80</v>
      </c>
      <c r="AI1502" s="21"/>
      <c r="AJ1502" s="21"/>
      <c r="AK1502" s="21"/>
      <c r="AL1502" s="21">
        <v>25</v>
      </c>
      <c r="AM1502" s="21"/>
      <c r="AN1502" s="21">
        <v>10</v>
      </c>
      <c r="AO1502" s="21">
        <v>12</v>
      </c>
      <c r="AP1502" s="21">
        <v>10</v>
      </c>
      <c r="AQ1502" s="21">
        <v>5</v>
      </c>
      <c r="AR1502" s="21">
        <v>13</v>
      </c>
      <c r="AS1502" s="21">
        <v>5</v>
      </c>
      <c r="AT1502" s="12" t="str">
        <f>HYPERLINK("http://www.openstreetmap.org/?mlat=36.412&amp;mlon=44.3033&amp;zoom=12#map=12/36.412/44.3033","Maplink1")</f>
        <v>Maplink1</v>
      </c>
      <c r="AU1502" s="12" t="str">
        <f>HYPERLINK("https://www.google.iq/maps/search/+36.412,44.3033/@36.412,44.3033,14z?hl=en","Maplink2")</f>
        <v>Maplink2</v>
      </c>
      <c r="AV1502" s="12" t="str">
        <f>HYPERLINK("http://www.bing.com/maps/?lvl=14&amp;sty=h&amp;cp=36.412~44.3033&amp;sp=point.36.412_44.3033","Maplink3")</f>
        <v>Maplink3</v>
      </c>
    </row>
    <row r="1503" spans="1:48" ht="15" customHeight="1" x14ac:dyDescent="0.25">
      <c r="A1503" s="19">
        <v>23783</v>
      </c>
      <c r="B1503" s="20" t="s">
        <v>15</v>
      </c>
      <c r="C1503" s="20" t="s">
        <v>2800</v>
      </c>
      <c r="D1503" s="20" t="s">
        <v>2821</v>
      </c>
      <c r="E1503" s="20" t="s">
        <v>2822</v>
      </c>
      <c r="F1503" s="20">
        <v>36.409118220000003</v>
      </c>
      <c r="G1503" s="20">
        <v>44.312421110000002</v>
      </c>
      <c r="H1503" s="22">
        <v>50</v>
      </c>
      <c r="I1503" s="22">
        <v>300</v>
      </c>
      <c r="J1503" s="21">
        <v>18</v>
      </c>
      <c r="K1503" s="21"/>
      <c r="L1503" s="21">
        <v>10</v>
      </c>
      <c r="M1503" s="21"/>
      <c r="N1503" s="21"/>
      <c r="O1503" s="21"/>
      <c r="P1503" s="21"/>
      <c r="Q1503" s="21"/>
      <c r="R1503" s="21"/>
      <c r="S1503" s="21"/>
      <c r="T1503" s="21"/>
      <c r="U1503" s="21"/>
      <c r="V1503" s="21">
        <v>15</v>
      </c>
      <c r="W1503" s="21"/>
      <c r="X1503" s="21">
        <v>7</v>
      </c>
      <c r="Y1503" s="21"/>
      <c r="Z1503" s="21"/>
      <c r="AA1503" s="21"/>
      <c r="AB1503" s="21"/>
      <c r="AC1503" s="21"/>
      <c r="AD1503" s="21"/>
      <c r="AE1503" s="21"/>
      <c r="AF1503" s="21"/>
      <c r="AG1503" s="21"/>
      <c r="AH1503" s="21">
        <v>50</v>
      </c>
      <c r="AI1503" s="21"/>
      <c r="AJ1503" s="21"/>
      <c r="AK1503" s="21"/>
      <c r="AL1503" s="21"/>
      <c r="AM1503" s="21">
        <v>10</v>
      </c>
      <c r="AN1503" s="21">
        <v>4</v>
      </c>
      <c r="AO1503" s="21">
        <v>10</v>
      </c>
      <c r="AP1503" s="21">
        <v>12</v>
      </c>
      <c r="AQ1503" s="21">
        <v>10</v>
      </c>
      <c r="AR1503" s="21">
        <v>4</v>
      </c>
      <c r="AS1503" s="21"/>
      <c r="AT1503" s="12" t="str">
        <f>HYPERLINK("http://www.openstreetmap.org/?mlat=36.4091&amp;mlon=44.3124&amp;zoom=12#map=12/36.4091/44.3124","Maplink1")</f>
        <v>Maplink1</v>
      </c>
      <c r="AU1503" s="12" t="str">
        <f>HYPERLINK("https://www.google.iq/maps/search/+36.4091,44.3124/@36.4091,44.3124,14z?hl=en","Maplink2")</f>
        <v>Maplink2</v>
      </c>
      <c r="AV1503" s="12" t="str">
        <f>HYPERLINK("http://www.bing.com/maps/?lvl=14&amp;sty=h&amp;cp=36.4091~44.3124&amp;sp=point.36.4091_44.3124","Maplink3")</f>
        <v>Maplink3</v>
      </c>
    </row>
    <row r="1504" spans="1:48" ht="15" customHeight="1" x14ac:dyDescent="0.25">
      <c r="A1504" s="19">
        <v>23784</v>
      </c>
      <c r="B1504" s="20" t="s">
        <v>15</v>
      </c>
      <c r="C1504" s="20" t="s">
        <v>2800</v>
      </c>
      <c r="D1504" s="20" t="s">
        <v>2823</v>
      </c>
      <c r="E1504" s="20" t="s">
        <v>2824</v>
      </c>
      <c r="F1504" s="20">
        <v>36.412352650000003</v>
      </c>
      <c r="G1504" s="20">
        <v>44.311046679999997</v>
      </c>
      <c r="H1504" s="22">
        <v>47</v>
      </c>
      <c r="I1504" s="22">
        <v>282</v>
      </c>
      <c r="J1504" s="21">
        <v>30</v>
      </c>
      <c r="K1504" s="21"/>
      <c r="L1504" s="21">
        <v>3</v>
      </c>
      <c r="M1504" s="21"/>
      <c r="N1504" s="21"/>
      <c r="O1504" s="21"/>
      <c r="P1504" s="21"/>
      <c r="Q1504" s="21"/>
      <c r="R1504" s="21"/>
      <c r="S1504" s="21"/>
      <c r="T1504" s="21"/>
      <c r="U1504" s="21"/>
      <c r="V1504" s="21">
        <v>5</v>
      </c>
      <c r="W1504" s="21"/>
      <c r="X1504" s="21">
        <v>9</v>
      </c>
      <c r="Y1504" s="21"/>
      <c r="Z1504" s="21"/>
      <c r="AA1504" s="21"/>
      <c r="AB1504" s="21"/>
      <c r="AC1504" s="21"/>
      <c r="AD1504" s="21"/>
      <c r="AE1504" s="21"/>
      <c r="AF1504" s="21"/>
      <c r="AG1504" s="21"/>
      <c r="AH1504" s="21">
        <v>47</v>
      </c>
      <c r="AI1504" s="21"/>
      <c r="AJ1504" s="21"/>
      <c r="AK1504" s="21"/>
      <c r="AL1504" s="21">
        <v>10</v>
      </c>
      <c r="AM1504" s="21">
        <v>4</v>
      </c>
      <c r="AN1504" s="21">
        <v>9</v>
      </c>
      <c r="AO1504" s="21">
        <v>3</v>
      </c>
      <c r="AP1504" s="21">
        <v>20</v>
      </c>
      <c r="AQ1504" s="21">
        <v>1</v>
      </c>
      <c r="AR1504" s="21"/>
      <c r="AS1504" s="21"/>
      <c r="AT1504" s="12" t="str">
        <f>HYPERLINK("http://www.openstreetmap.org/?mlat=36.4124&amp;mlon=44.311&amp;zoom=12#map=12/36.4124/44.311","Maplink1")</f>
        <v>Maplink1</v>
      </c>
      <c r="AU1504" s="12" t="str">
        <f>HYPERLINK("https://www.google.iq/maps/search/+36.4124,44.311/@36.4124,44.311,14z?hl=en","Maplink2")</f>
        <v>Maplink2</v>
      </c>
      <c r="AV1504" s="12" t="str">
        <f>HYPERLINK("http://www.bing.com/maps/?lvl=14&amp;sty=h&amp;cp=36.4124~44.311&amp;sp=point.36.4124_44.311","Maplink3")</f>
        <v>Maplink3</v>
      </c>
    </row>
    <row r="1505" spans="1:48" ht="15" customHeight="1" x14ac:dyDescent="0.25">
      <c r="A1505" s="19">
        <v>23742</v>
      </c>
      <c r="B1505" s="20" t="s">
        <v>15</v>
      </c>
      <c r="C1505" s="20" t="s">
        <v>2800</v>
      </c>
      <c r="D1505" s="20" t="s">
        <v>2825</v>
      </c>
      <c r="E1505" s="20" t="s">
        <v>2065</v>
      </c>
      <c r="F1505" s="20">
        <v>36.404915600000002</v>
      </c>
      <c r="G1505" s="20">
        <v>44.320857480000001</v>
      </c>
      <c r="H1505" s="22">
        <v>143</v>
      </c>
      <c r="I1505" s="22">
        <v>858</v>
      </c>
      <c r="J1505" s="21">
        <v>130</v>
      </c>
      <c r="K1505" s="21"/>
      <c r="L1505" s="21"/>
      <c r="M1505" s="21"/>
      <c r="N1505" s="21"/>
      <c r="O1505" s="21">
        <v>3</v>
      </c>
      <c r="P1505" s="21"/>
      <c r="Q1505" s="21"/>
      <c r="R1505" s="21"/>
      <c r="S1505" s="21"/>
      <c r="T1505" s="21"/>
      <c r="U1505" s="21"/>
      <c r="V1505" s="21">
        <v>5</v>
      </c>
      <c r="W1505" s="21"/>
      <c r="X1505" s="21">
        <v>5</v>
      </c>
      <c r="Y1505" s="21"/>
      <c r="Z1505" s="21"/>
      <c r="AA1505" s="21"/>
      <c r="AB1505" s="21"/>
      <c r="AC1505" s="21"/>
      <c r="AD1505" s="21"/>
      <c r="AE1505" s="21"/>
      <c r="AF1505" s="21"/>
      <c r="AG1505" s="21"/>
      <c r="AH1505" s="21">
        <v>143</v>
      </c>
      <c r="AI1505" s="21"/>
      <c r="AJ1505" s="21"/>
      <c r="AK1505" s="21"/>
      <c r="AL1505" s="21">
        <v>70</v>
      </c>
      <c r="AM1505" s="21">
        <v>22</v>
      </c>
      <c r="AN1505" s="21">
        <v>6</v>
      </c>
      <c r="AO1505" s="21"/>
      <c r="AP1505" s="21">
        <v>23</v>
      </c>
      <c r="AQ1505" s="21">
        <v>17</v>
      </c>
      <c r="AR1505" s="21"/>
      <c r="AS1505" s="21">
        <v>5</v>
      </c>
      <c r="AT1505" s="12" t="str">
        <f>HYPERLINK("http://www.openstreetmap.org/?mlat=36.4049&amp;mlon=44.3209&amp;zoom=12#map=12/36.4049/44.3209","Maplink1")</f>
        <v>Maplink1</v>
      </c>
      <c r="AU1505" s="12" t="str">
        <f>HYPERLINK("https://www.google.iq/maps/search/+36.4049,44.3209/@36.4049,44.3209,14z?hl=en","Maplink2")</f>
        <v>Maplink2</v>
      </c>
      <c r="AV1505" s="12" t="str">
        <f>HYPERLINK("http://www.bing.com/maps/?lvl=14&amp;sty=h&amp;cp=36.4049~44.3209&amp;sp=point.36.4049_44.3209","Maplink3")</f>
        <v>Maplink3</v>
      </c>
    </row>
    <row r="1506" spans="1:48" ht="15" customHeight="1" x14ac:dyDescent="0.25">
      <c r="A1506" s="19">
        <v>27144</v>
      </c>
      <c r="B1506" s="20" t="s">
        <v>15</v>
      </c>
      <c r="C1506" s="20" t="s">
        <v>2800</v>
      </c>
      <c r="D1506" s="20" t="s">
        <v>2745</v>
      </c>
      <c r="E1506" s="20" t="s">
        <v>2161</v>
      </c>
      <c r="F1506" s="20">
        <v>36.506886569999999</v>
      </c>
      <c r="G1506" s="20">
        <v>44.343192620000004</v>
      </c>
      <c r="H1506" s="22">
        <v>10</v>
      </c>
      <c r="I1506" s="22">
        <v>60</v>
      </c>
      <c r="J1506" s="21">
        <v>10</v>
      </c>
      <c r="K1506" s="21"/>
      <c r="L1506" s="21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21"/>
      <c r="AH1506" s="21">
        <v>10</v>
      </c>
      <c r="AI1506" s="21"/>
      <c r="AJ1506" s="21"/>
      <c r="AK1506" s="21"/>
      <c r="AL1506" s="21"/>
      <c r="AM1506" s="21"/>
      <c r="AN1506" s="21"/>
      <c r="AO1506" s="21"/>
      <c r="AP1506" s="21">
        <v>10</v>
      </c>
      <c r="AQ1506" s="21"/>
      <c r="AR1506" s="21"/>
      <c r="AS1506" s="21"/>
      <c r="AT1506" s="12" t="str">
        <f>HYPERLINK("http://www.openstreetmap.org/?mlat=36.5069&amp;mlon=44.3432&amp;zoom=12#map=12/36.5069/44.3432","Maplink1")</f>
        <v>Maplink1</v>
      </c>
      <c r="AU1506" s="12" t="str">
        <f>HYPERLINK("https://www.google.iq/maps/search/+36.5069,44.3432/@36.5069,44.3432,14z?hl=en","Maplink2")</f>
        <v>Maplink2</v>
      </c>
      <c r="AV1506" s="12" t="str">
        <f>HYPERLINK("http://www.bing.com/maps/?lvl=14&amp;sty=h&amp;cp=36.5069~44.3432&amp;sp=point.36.5069_44.3432","Maplink3")</f>
        <v>Maplink3</v>
      </c>
    </row>
    <row r="1507" spans="1:48" ht="15" customHeight="1" x14ac:dyDescent="0.25">
      <c r="A1507" s="19">
        <v>12957</v>
      </c>
      <c r="B1507" s="20" t="s">
        <v>15</v>
      </c>
      <c r="C1507" s="20" t="s">
        <v>2800</v>
      </c>
      <c r="D1507" s="20" t="s">
        <v>2826</v>
      </c>
      <c r="E1507" s="20" t="s">
        <v>2827</v>
      </c>
      <c r="F1507" s="20">
        <v>36.379452000000001</v>
      </c>
      <c r="G1507" s="20">
        <v>44.376734999999996</v>
      </c>
      <c r="H1507" s="22">
        <v>94</v>
      </c>
      <c r="I1507" s="22">
        <v>564</v>
      </c>
      <c r="J1507" s="21">
        <v>88</v>
      </c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>
        <v>6</v>
      </c>
      <c r="Y1507" s="21"/>
      <c r="Z1507" s="21"/>
      <c r="AA1507" s="21"/>
      <c r="AB1507" s="21"/>
      <c r="AC1507" s="21"/>
      <c r="AD1507" s="21"/>
      <c r="AE1507" s="21"/>
      <c r="AF1507" s="21"/>
      <c r="AG1507" s="21"/>
      <c r="AH1507" s="21">
        <v>94</v>
      </c>
      <c r="AI1507" s="21"/>
      <c r="AJ1507" s="21"/>
      <c r="AK1507" s="21"/>
      <c r="AL1507" s="21">
        <v>30</v>
      </c>
      <c r="AM1507" s="21">
        <v>6</v>
      </c>
      <c r="AN1507" s="21"/>
      <c r="AO1507" s="21"/>
      <c r="AP1507" s="21">
        <v>58</v>
      </c>
      <c r="AQ1507" s="21"/>
      <c r="AR1507" s="21"/>
      <c r="AS1507" s="21"/>
      <c r="AT1507" s="12" t="str">
        <f>HYPERLINK("http://www.openstreetmap.org/?mlat=36.3795&amp;mlon=44.3767&amp;zoom=12#map=12/36.3795/44.3767","Maplink1")</f>
        <v>Maplink1</v>
      </c>
      <c r="AU1507" s="12" t="str">
        <f>HYPERLINK("https://www.google.iq/maps/search/+36.3795,44.3767/@36.3795,44.3767,14z?hl=en","Maplink2")</f>
        <v>Maplink2</v>
      </c>
      <c r="AV1507" s="12" t="str">
        <f>HYPERLINK("http://www.bing.com/maps/?lvl=14&amp;sty=h&amp;cp=36.3795~44.3767&amp;sp=point.36.3795_44.3767","Maplink3")</f>
        <v>Maplink3</v>
      </c>
    </row>
    <row r="1508" spans="1:48" ht="15" customHeight="1" x14ac:dyDescent="0.25">
      <c r="A1508" s="19">
        <v>31780</v>
      </c>
      <c r="B1508" s="20" t="s">
        <v>15</v>
      </c>
      <c r="C1508" s="20" t="s">
        <v>2828</v>
      </c>
      <c r="D1508" s="20" t="s">
        <v>6022</v>
      </c>
      <c r="E1508" s="20" t="s">
        <v>6023</v>
      </c>
      <c r="F1508" s="20">
        <v>36.667879999999997</v>
      </c>
      <c r="G1508" s="20">
        <v>44.526739999999997</v>
      </c>
      <c r="H1508" s="22">
        <v>20</v>
      </c>
      <c r="I1508" s="22">
        <v>120</v>
      </c>
      <c r="J1508" s="21"/>
      <c r="K1508" s="21"/>
      <c r="L1508" s="21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>
        <v>20</v>
      </c>
      <c r="W1508" s="21"/>
      <c r="X1508" s="21"/>
      <c r="Y1508" s="21"/>
      <c r="Z1508" s="21"/>
      <c r="AA1508" s="21"/>
      <c r="AB1508" s="21"/>
      <c r="AC1508" s="21"/>
      <c r="AD1508" s="21"/>
      <c r="AE1508" s="21">
        <v>20</v>
      </c>
      <c r="AF1508" s="21"/>
      <c r="AG1508" s="21"/>
      <c r="AH1508" s="21"/>
      <c r="AI1508" s="21"/>
      <c r="AJ1508" s="21"/>
      <c r="AK1508" s="21"/>
      <c r="AL1508" s="21"/>
      <c r="AM1508" s="21"/>
      <c r="AN1508" s="21">
        <v>20</v>
      </c>
      <c r="AO1508" s="21"/>
      <c r="AP1508" s="21"/>
      <c r="AQ1508" s="21"/>
      <c r="AR1508" s="21"/>
      <c r="AS1508" s="21"/>
      <c r="AT1508" s="12" t="str">
        <f>HYPERLINK("http://www.openstreetmap.org/?mlat=36.6679&amp;mlon=44.5267&amp;zoom=12#map=12/36.6679/44.5267","Maplink1")</f>
        <v>Maplink1</v>
      </c>
      <c r="AU1508" s="12" t="str">
        <f>HYPERLINK("https://www.google.iq/maps/search/+36.6679,44.5267/@36.6679,44.5267,14z?hl=en","Maplink2")</f>
        <v>Maplink2</v>
      </c>
      <c r="AV1508" s="12" t="str">
        <f>HYPERLINK("http://www.bing.com/maps/?lvl=14&amp;sty=h&amp;cp=36.6679~44.5267&amp;sp=point.36.6679_44.5267","Maplink3")</f>
        <v>Maplink3</v>
      </c>
    </row>
    <row r="1509" spans="1:48" ht="15" customHeight="1" x14ac:dyDescent="0.25">
      <c r="A1509" s="19">
        <v>27218</v>
      </c>
      <c r="B1509" s="20" t="s">
        <v>15</v>
      </c>
      <c r="C1509" s="20" t="s">
        <v>2828</v>
      </c>
      <c r="D1509" s="20" t="s">
        <v>2829</v>
      </c>
      <c r="E1509" s="20" t="s">
        <v>2830</v>
      </c>
      <c r="F1509" s="20">
        <v>36.667749270000002</v>
      </c>
      <c r="G1509" s="20">
        <v>44.53763738</v>
      </c>
      <c r="H1509" s="22">
        <v>16</v>
      </c>
      <c r="I1509" s="22">
        <v>96</v>
      </c>
      <c r="J1509" s="21">
        <v>6</v>
      </c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>
        <v>10</v>
      </c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21"/>
      <c r="AH1509" s="21">
        <v>16</v>
      </c>
      <c r="AI1509" s="21"/>
      <c r="AJ1509" s="21"/>
      <c r="AK1509" s="21"/>
      <c r="AL1509" s="21">
        <v>7</v>
      </c>
      <c r="AM1509" s="21">
        <v>7</v>
      </c>
      <c r="AN1509" s="21"/>
      <c r="AO1509" s="21"/>
      <c r="AP1509" s="21">
        <v>2</v>
      </c>
      <c r="AQ1509" s="21"/>
      <c r="AR1509" s="21"/>
      <c r="AS1509" s="21"/>
      <c r="AT1509" s="12" t="str">
        <f>HYPERLINK("http://www.openstreetmap.org/?mlat=36.6677&amp;mlon=44.5376&amp;zoom=12#map=12/36.6677/44.5376","Maplink1")</f>
        <v>Maplink1</v>
      </c>
      <c r="AU1509" s="12" t="str">
        <f>HYPERLINK("https://www.google.iq/maps/search/+36.6677,44.5376/@36.6677,44.5376,14z?hl=en","Maplink2")</f>
        <v>Maplink2</v>
      </c>
      <c r="AV1509" s="12" t="str">
        <f>HYPERLINK("http://www.bing.com/maps/?lvl=14&amp;sty=h&amp;cp=36.6677~44.5376&amp;sp=point.36.6677_44.5376","Maplink3")</f>
        <v>Maplink3</v>
      </c>
    </row>
    <row r="1510" spans="1:48" ht="15" customHeight="1" x14ac:dyDescent="0.25">
      <c r="A1510" s="19">
        <v>27200</v>
      </c>
      <c r="B1510" s="20" t="s">
        <v>15</v>
      </c>
      <c r="C1510" s="20" t="s">
        <v>2828</v>
      </c>
      <c r="D1510" s="20" t="s">
        <v>6024</v>
      </c>
      <c r="E1510" s="20" t="s">
        <v>6025</v>
      </c>
      <c r="F1510" s="20">
        <v>36.622433800000003</v>
      </c>
      <c r="G1510" s="20">
        <v>44.545419199999998</v>
      </c>
      <c r="H1510" s="22">
        <v>12</v>
      </c>
      <c r="I1510" s="22">
        <v>72</v>
      </c>
      <c r="J1510" s="21"/>
      <c r="K1510" s="21"/>
      <c r="L1510" s="21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>
        <v>12</v>
      </c>
      <c r="W1510" s="21"/>
      <c r="X1510" s="21"/>
      <c r="Y1510" s="21"/>
      <c r="Z1510" s="21"/>
      <c r="AA1510" s="21"/>
      <c r="AB1510" s="21"/>
      <c r="AC1510" s="21"/>
      <c r="AD1510" s="21"/>
      <c r="AE1510" s="21">
        <v>12</v>
      </c>
      <c r="AF1510" s="21"/>
      <c r="AG1510" s="21"/>
      <c r="AH1510" s="21"/>
      <c r="AI1510" s="21"/>
      <c r="AJ1510" s="21"/>
      <c r="AK1510" s="21"/>
      <c r="AL1510" s="21"/>
      <c r="AM1510" s="21"/>
      <c r="AN1510" s="21">
        <v>9</v>
      </c>
      <c r="AO1510" s="21"/>
      <c r="AP1510" s="21"/>
      <c r="AQ1510" s="21"/>
      <c r="AR1510" s="21">
        <v>3</v>
      </c>
      <c r="AS1510" s="21"/>
      <c r="AT1510" s="12" t="str">
        <f>HYPERLINK("http://www.openstreetmap.org/?mlat=36.6224&amp;mlon=44.5454&amp;zoom=12#map=12/36.6224/44.5454","Maplink1")</f>
        <v>Maplink1</v>
      </c>
      <c r="AU1510" s="12" t="str">
        <f>HYPERLINK("https://www.google.iq/maps/search/+36.6224,44.5454/@36.6224,44.5454,14z?hl=en","Maplink2")</f>
        <v>Maplink2</v>
      </c>
      <c r="AV1510" s="12" t="str">
        <f>HYPERLINK("http://www.bing.com/maps/?lvl=14&amp;sty=h&amp;cp=36.6224~44.5454&amp;sp=point.36.6224_44.5454","Maplink3")</f>
        <v>Maplink3</v>
      </c>
    </row>
    <row r="1511" spans="1:48" ht="15" customHeight="1" x14ac:dyDescent="0.25">
      <c r="A1511" s="19">
        <v>27198</v>
      </c>
      <c r="B1511" s="20" t="s">
        <v>15</v>
      </c>
      <c r="C1511" s="20" t="s">
        <v>2828</v>
      </c>
      <c r="D1511" s="20" t="s">
        <v>2831</v>
      </c>
      <c r="E1511" s="20" t="s">
        <v>2832</v>
      </c>
      <c r="F1511" s="20">
        <v>36.595255979999997</v>
      </c>
      <c r="G1511" s="20">
        <v>44.395296010000003</v>
      </c>
      <c r="H1511" s="22">
        <v>13</v>
      </c>
      <c r="I1511" s="22">
        <v>78</v>
      </c>
      <c r="J1511" s="21">
        <v>3</v>
      </c>
      <c r="K1511" s="21"/>
      <c r="L1511" s="21">
        <v>2</v>
      </c>
      <c r="M1511" s="21"/>
      <c r="N1511" s="21"/>
      <c r="O1511" s="21"/>
      <c r="P1511" s="21"/>
      <c r="Q1511" s="21"/>
      <c r="R1511" s="21"/>
      <c r="S1511" s="21"/>
      <c r="T1511" s="21"/>
      <c r="U1511" s="21"/>
      <c r="V1511" s="21">
        <v>8</v>
      </c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21"/>
      <c r="AH1511" s="21">
        <v>13</v>
      </c>
      <c r="AI1511" s="21"/>
      <c r="AJ1511" s="21"/>
      <c r="AK1511" s="21"/>
      <c r="AL1511" s="21">
        <v>3</v>
      </c>
      <c r="AM1511" s="21">
        <v>3</v>
      </c>
      <c r="AN1511" s="21"/>
      <c r="AO1511" s="21">
        <v>2</v>
      </c>
      <c r="AP1511" s="21"/>
      <c r="AQ1511" s="21">
        <v>1</v>
      </c>
      <c r="AR1511" s="21">
        <v>4</v>
      </c>
      <c r="AS1511" s="21"/>
      <c r="AT1511" s="12" t="str">
        <f>HYPERLINK("http://www.openstreetmap.org/?mlat=36.5953&amp;mlon=44.3953&amp;zoom=12#map=12/36.5953/44.3953","Maplink1")</f>
        <v>Maplink1</v>
      </c>
      <c r="AU1511" s="12" t="str">
        <f>HYPERLINK("https://www.google.iq/maps/search/+36.5953,44.3953/@36.5953,44.3953,14z?hl=en","Maplink2")</f>
        <v>Maplink2</v>
      </c>
      <c r="AV1511" s="12" t="str">
        <f>HYPERLINK("http://www.bing.com/maps/?lvl=14&amp;sty=h&amp;cp=36.5953~44.3953&amp;sp=point.36.5953_44.3953","Maplink3")</f>
        <v>Maplink3</v>
      </c>
    </row>
    <row r="1512" spans="1:48" ht="15" customHeight="1" x14ac:dyDescent="0.25">
      <c r="A1512" s="19">
        <v>27199</v>
      </c>
      <c r="B1512" s="20" t="s">
        <v>15</v>
      </c>
      <c r="C1512" s="20" t="s">
        <v>2828</v>
      </c>
      <c r="D1512" s="20" t="s">
        <v>2833</v>
      </c>
      <c r="E1512" s="20" t="s">
        <v>2834</v>
      </c>
      <c r="F1512" s="20">
        <v>36.60199188</v>
      </c>
      <c r="G1512" s="20">
        <v>44.406321609999999</v>
      </c>
      <c r="H1512" s="22">
        <v>13</v>
      </c>
      <c r="I1512" s="22">
        <v>78</v>
      </c>
      <c r="J1512" s="21">
        <v>2</v>
      </c>
      <c r="K1512" s="21"/>
      <c r="L1512" s="21">
        <v>3</v>
      </c>
      <c r="M1512" s="21"/>
      <c r="N1512" s="21"/>
      <c r="O1512" s="21"/>
      <c r="P1512" s="21"/>
      <c r="Q1512" s="21"/>
      <c r="R1512" s="21"/>
      <c r="S1512" s="21"/>
      <c r="T1512" s="21"/>
      <c r="U1512" s="21"/>
      <c r="V1512" s="21">
        <v>8</v>
      </c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21"/>
      <c r="AH1512" s="21">
        <v>13</v>
      </c>
      <c r="AI1512" s="21"/>
      <c r="AJ1512" s="21"/>
      <c r="AK1512" s="21"/>
      <c r="AL1512" s="21"/>
      <c r="AM1512" s="21">
        <v>4</v>
      </c>
      <c r="AN1512" s="21"/>
      <c r="AO1512" s="21">
        <v>3</v>
      </c>
      <c r="AP1512" s="21">
        <v>2</v>
      </c>
      <c r="AQ1512" s="21">
        <v>3</v>
      </c>
      <c r="AR1512" s="21">
        <v>1</v>
      </c>
      <c r="AS1512" s="21"/>
      <c r="AT1512" s="12" t="str">
        <f>HYPERLINK("http://www.openstreetmap.org/?mlat=36.602&amp;mlon=44.4063&amp;zoom=12#map=12/36.602/44.4063","Maplink1")</f>
        <v>Maplink1</v>
      </c>
      <c r="AU1512" s="12" t="str">
        <f>HYPERLINK("https://www.google.iq/maps/search/+36.602,44.4063/@36.602,44.4063,14z?hl=en","Maplink2")</f>
        <v>Maplink2</v>
      </c>
      <c r="AV1512" s="12" t="str">
        <f>HYPERLINK("http://www.bing.com/maps/?lvl=14&amp;sty=h&amp;cp=36.602~44.4063&amp;sp=point.36.602_44.4063","Maplink3")</f>
        <v>Maplink3</v>
      </c>
    </row>
    <row r="1513" spans="1:48" ht="15" customHeight="1" x14ac:dyDescent="0.25">
      <c r="A1513" s="19">
        <v>12277</v>
      </c>
      <c r="B1513" s="20" t="s">
        <v>15</v>
      </c>
      <c r="C1513" s="20" t="s">
        <v>2828</v>
      </c>
      <c r="D1513" s="20" t="s">
        <v>2835</v>
      </c>
      <c r="E1513" s="20" t="s">
        <v>2836</v>
      </c>
      <c r="F1513" s="20">
        <v>36.608761780000002</v>
      </c>
      <c r="G1513" s="20">
        <v>44.405084940000002</v>
      </c>
      <c r="H1513" s="22">
        <v>30</v>
      </c>
      <c r="I1513" s="22">
        <v>180</v>
      </c>
      <c r="J1513" s="21">
        <v>10</v>
      </c>
      <c r="K1513" s="21"/>
      <c r="L1513" s="21">
        <v>12</v>
      </c>
      <c r="M1513" s="21"/>
      <c r="N1513" s="21"/>
      <c r="O1513" s="21"/>
      <c r="P1513" s="21"/>
      <c r="Q1513" s="21"/>
      <c r="R1513" s="21"/>
      <c r="S1513" s="21"/>
      <c r="T1513" s="21"/>
      <c r="U1513" s="21"/>
      <c r="V1513" s="21">
        <v>8</v>
      </c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21"/>
      <c r="AH1513" s="21">
        <v>30</v>
      </c>
      <c r="AI1513" s="21"/>
      <c r="AJ1513" s="21"/>
      <c r="AK1513" s="21"/>
      <c r="AL1513" s="21"/>
      <c r="AM1513" s="21">
        <v>8</v>
      </c>
      <c r="AN1513" s="21">
        <v>7</v>
      </c>
      <c r="AO1513" s="21">
        <v>10</v>
      </c>
      <c r="AP1513" s="21">
        <v>5</v>
      </c>
      <c r="AQ1513" s="21"/>
      <c r="AR1513" s="21"/>
      <c r="AS1513" s="21"/>
      <c r="AT1513" s="12" t="str">
        <f>HYPERLINK("http://www.openstreetmap.org/?mlat=36.6088&amp;mlon=44.4051&amp;zoom=12#map=12/36.6088/44.4051","Maplink1")</f>
        <v>Maplink1</v>
      </c>
      <c r="AU1513" s="12" t="str">
        <f>HYPERLINK("https://www.google.iq/maps/search/+36.6088,44.4051/@36.6088,44.4051,14z?hl=en","Maplink2")</f>
        <v>Maplink2</v>
      </c>
      <c r="AV1513" s="12" t="str">
        <f>HYPERLINK("http://www.bing.com/maps/?lvl=14&amp;sty=h&amp;cp=36.6088~44.4051&amp;sp=point.36.6088_44.4051","Maplink3")</f>
        <v>Maplink3</v>
      </c>
    </row>
    <row r="1514" spans="1:48" ht="15" customHeight="1" x14ac:dyDescent="0.25">
      <c r="A1514" s="19">
        <v>12597</v>
      </c>
      <c r="B1514" s="20" t="s">
        <v>15</v>
      </c>
      <c r="C1514" s="20" t="s">
        <v>2828</v>
      </c>
      <c r="D1514" s="20" t="s">
        <v>2837</v>
      </c>
      <c r="E1514" s="20" t="s">
        <v>2838</v>
      </c>
      <c r="F1514" s="20">
        <v>36.614051340000003</v>
      </c>
      <c r="G1514" s="20">
        <v>44.527553879999999</v>
      </c>
      <c r="H1514" s="22">
        <v>50</v>
      </c>
      <c r="I1514" s="22">
        <v>300</v>
      </c>
      <c r="J1514" s="21">
        <v>10</v>
      </c>
      <c r="K1514" s="21"/>
      <c r="L1514" s="21"/>
      <c r="M1514" s="21"/>
      <c r="N1514" s="21"/>
      <c r="O1514" s="21"/>
      <c r="P1514" s="21"/>
      <c r="Q1514" s="21"/>
      <c r="R1514" s="21">
        <v>5</v>
      </c>
      <c r="S1514" s="21"/>
      <c r="T1514" s="21"/>
      <c r="U1514" s="21"/>
      <c r="V1514" s="21">
        <v>35</v>
      </c>
      <c r="W1514" s="21"/>
      <c r="X1514" s="21"/>
      <c r="Y1514" s="21"/>
      <c r="Z1514" s="21"/>
      <c r="AA1514" s="21"/>
      <c r="AB1514" s="21"/>
      <c r="AC1514" s="21">
        <v>10</v>
      </c>
      <c r="AD1514" s="21"/>
      <c r="AE1514" s="21"/>
      <c r="AF1514" s="21"/>
      <c r="AG1514" s="21"/>
      <c r="AH1514" s="21">
        <v>40</v>
      </c>
      <c r="AI1514" s="21"/>
      <c r="AJ1514" s="21"/>
      <c r="AK1514" s="21"/>
      <c r="AL1514" s="21">
        <v>6</v>
      </c>
      <c r="AM1514" s="21">
        <v>29</v>
      </c>
      <c r="AN1514" s="21"/>
      <c r="AO1514" s="21"/>
      <c r="AP1514" s="21">
        <v>4</v>
      </c>
      <c r="AQ1514" s="21"/>
      <c r="AR1514" s="21">
        <v>7</v>
      </c>
      <c r="AS1514" s="21">
        <v>4</v>
      </c>
      <c r="AT1514" s="12" t="str">
        <f>HYPERLINK("http://www.openstreetmap.org/?mlat=36.6141&amp;mlon=44.5276&amp;zoom=12#map=12/36.6141/44.5276","Maplink1")</f>
        <v>Maplink1</v>
      </c>
      <c r="AU1514" s="12" t="str">
        <f>HYPERLINK("https://www.google.iq/maps/search/+36.6141,44.5276/@36.6141,44.5276,14z?hl=en","Maplink2")</f>
        <v>Maplink2</v>
      </c>
      <c r="AV1514" s="12" t="str">
        <f>HYPERLINK("http://www.bing.com/maps/?lvl=14&amp;sty=h&amp;cp=36.6141~44.5276&amp;sp=point.36.6141_44.5276","Maplink3")</f>
        <v>Maplink3</v>
      </c>
    </row>
    <row r="1515" spans="1:48" ht="15" customHeight="1" x14ac:dyDescent="0.25">
      <c r="A1515" s="19">
        <v>13141</v>
      </c>
      <c r="B1515" s="20" t="s">
        <v>15</v>
      </c>
      <c r="C1515" s="20" t="s">
        <v>2828</v>
      </c>
      <c r="D1515" s="20" t="s">
        <v>2839</v>
      </c>
      <c r="E1515" s="20" t="s">
        <v>2840</v>
      </c>
      <c r="F1515" s="20">
        <v>36.656023650000002</v>
      </c>
      <c r="G1515" s="20">
        <v>44.54197216</v>
      </c>
      <c r="H1515" s="22">
        <v>310</v>
      </c>
      <c r="I1515" s="22">
        <v>1860</v>
      </c>
      <c r="J1515" s="21">
        <v>279</v>
      </c>
      <c r="K1515" s="21"/>
      <c r="L1515" s="21"/>
      <c r="M1515" s="21"/>
      <c r="N1515" s="21"/>
      <c r="O1515" s="21"/>
      <c r="P1515" s="21"/>
      <c r="Q1515" s="21"/>
      <c r="R1515" s="21">
        <v>16</v>
      </c>
      <c r="S1515" s="21"/>
      <c r="T1515" s="21"/>
      <c r="U1515" s="21"/>
      <c r="V1515" s="21">
        <v>5</v>
      </c>
      <c r="W1515" s="21"/>
      <c r="X1515" s="21">
        <v>10</v>
      </c>
      <c r="Y1515" s="21"/>
      <c r="Z1515" s="21"/>
      <c r="AA1515" s="21"/>
      <c r="AB1515" s="21"/>
      <c r="AC1515" s="21">
        <v>10</v>
      </c>
      <c r="AD1515" s="21"/>
      <c r="AE1515" s="21"/>
      <c r="AF1515" s="21"/>
      <c r="AG1515" s="21"/>
      <c r="AH1515" s="21">
        <v>300</v>
      </c>
      <c r="AI1515" s="21"/>
      <c r="AJ1515" s="21"/>
      <c r="AK1515" s="21"/>
      <c r="AL1515" s="21">
        <v>205</v>
      </c>
      <c r="AM1515" s="21">
        <v>8</v>
      </c>
      <c r="AN1515" s="21">
        <v>21</v>
      </c>
      <c r="AO1515" s="21"/>
      <c r="AP1515" s="21">
        <v>60</v>
      </c>
      <c r="AQ1515" s="21"/>
      <c r="AR1515" s="21"/>
      <c r="AS1515" s="21">
        <v>16</v>
      </c>
      <c r="AT1515" s="12" t="str">
        <f>HYPERLINK("http://www.openstreetmap.org/?mlat=36.656&amp;mlon=44.542&amp;zoom=12#map=12/36.656/44.542","Maplink1")</f>
        <v>Maplink1</v>
      </c>
      <c r="AU1515" s="12" t="str">
        <f>HYPERLINK("https://www.google.iq/maps/search/+36.656,44.542/@36.656,44.542,14z?hl=en","Maplink2")</f>
        <v>Maplink2</v>
      </c>
      <c r="AV1515" s="12" t="str">
        <f>HYPERLINK("http://www.bing.com/maps/?lvl=14&amp;sty=h&amp;cp=36.656~44.542&amp;sp=point.36.656_44.542","Maplink3")</f>
        <v>Maplink3</v>
      </c>
    </row>
    <row r="1516" spans="1:48" ht="15" customHeight="1" x14ac:dyDescent="0.25">
      <c r="A1516" s="19">
        <v>27203</v>
      </c>
      <c r="B1516" s="20" t="s">
        <v>15</v>
      </c>
      <c r="C1516" s="20" t="s">
        <v>2828</v>
      </c>
      <c r="D1516" s="20" t="s">
        <v>2841</v>
      </c>
      <c r="E1516" s="20" t="s">
        <v>2842</v>
      </c>
      <c r="F1516" s="20">
        <v>36.657678330000003</v>
      </c>
      <c r="G1516" s="20">
        <v>44.543891250000001</v>
      </c>
      <c r="H1516" s="22">
        <v>8</v>
      </c>
      <c r="I1516" s="22">
        <v>48</v>
      </c>
      <c r="J1516" s="21">
        <v>4</v>
      </c>
      <c r="K1516" s="21"/>
      <c r="L1516" s="21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>
        <v>4</v>
      </c>
      <c r="Y1516" s="21"/>
      <c r="Z1516" s="21"/>
      <c r="AA1516" s="21"/>
      <c r="AB1516" s="21"/>
      <c r="AC1516" s="21"/>
      <c r="AD1516" s="21"/>
      <c r="AE1516" s="21"/>
      <c r="AF1516" s="21"/>
      <c r="AG1516" s="21"/>
      <c r="AH1516" s="21">
        <v>8</v>
      </c>
      <c r="AI1516" s="21"/>
      <c r="AJ1516" s="21"/>
      <c r="AK1516" s="21"/>
      <c r="AL1516" s="21">
        <v>4</v>
      </c>
      <c r="AM1516" s="21">
        <v>4</v>
      </c>
      <c r="AN1516" s="21"/>
      <c r="AO1516" s="21"/>
      <c r="AP1516" s="21"/>
      <c r="AQ1516" s="21"/>
      <c r="AR1516" s="21"/>
      <c r="AS1516" s="21"/>
      <c r="AT1516" s="12" t="str">
        <f>HYPERLINK("http://www.openstreetmap.org/?mlat=36.6577&amp;mlon=44.5439&amp;zoom=12#map=12/36.6577/44.5439","Maplink1")</f>
        <v>Maplink1</v>
      </c>
      <c r="AU1516" s="12" t="str">
        <f>HYPERLINK("https://www.google.iq/maps/search/+36.6577,44.5439/@36.6577,44.5439,14z?hl=en","Maplink2")</f>
        <v>Maplink2</v>
      </c>
      <c r="AV1516" s="12" t="str">
        <f>HYPERLINK("http://www.bing.com/maps/?lvl=14&amp;sty=h&amp;cp=36.6577~44.5439&amp;sp=point.36.6577_44.5439","Maplink3")</f>
        <v>Maplink3</v>
      </c>
    </row>
    <row r="1517" spans="1:48" ht="15" customHeight="1" x14ac:dyDescent="0.25">
      <c r="A1517" s="19">
        <v>27204</v>
      </c>
      <c r="B1517" s="20" t="s">
        <v>15</v>
      </c>
      <c r="C1517" s="20" t="s">
        <v>2828</v>
      </c>
      <c r="D1517" s="20" t="s">
        <v>2843</v>
      </c>
      <c r="E1517" s="20" t="s">
        <v>2844</v>
      </c>
      <c r="F1517" s="20">
        <v>36.6432063699</v>
      </c>
      <c r="G1517" s="20">
        <v>44.541880170799999</v>
      </c>
      <c r="H1517" s="22">
        <v>12</v>
      </c>
      <c r="I1517" s="22">
        <v>72</v>
      </c>
      <c r="J1517" s="21">
        <v>6</v>
      </c>
      <c r="K1517" s="21"/>
      <c r="L1517" s="21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>
        <v>6</v>
      </c>
      <c r="Y1517" s="21"/>
      <c r="Z1517" s="21"/>
      <c r="AA1517" s="21"/>
      <c r="AB1517" s="21"/>
      <c r="AC1517" s="21"/>
      <c r="AD1517" s="21"/>
      <c r="AE1517" s="21"/>
      <c r="AF1517" s="21"/>
      <c r="AG1517" s="21"/>
      <c r="AH1517" s="21">
        <v>12</v>
      </c>
      <c r="AI1517" s="21"/>
      <c r="AJ1517" s="21"/>
      <c r="AK1517" s="21"/>
      <c r="AL1517" s="21">
        <v>3</v>
      </c>
      <c r="AM1517" s="21">
        <v>6</v>
      </c>
      <c r="AN1517" s="21"/>
      <c r="AO1517" s="21"/>
      <c r="AP1517" s="21">
        <v>3</v>
      </c>
      <c r="AQ1517" s="21"/>
      <c r="AR1517" s="21"/>
      <c r="AS1517" s="21"/>
      <c r="AT1517" s="12" t="str">
        <f>HYPERLINK("http://www.openstreetmap.org/?mlat=36.6432&amp;mlon=44.5419&amp;zoom=12#map=12/36.6432/44.5419","Maplink1")</f>
        <v>Maplink1</v>
      </c>
      <c r="AU1517" s="12" t="str">
        <f>HYPERLINK("https://www.google.iq/maps/search/+36.6432,44.5419/@36.6432,44.5419,14z?hl=en","Maplink2")</f>
        <v>Maplink2</v>
      </c>
      <c r="AV1517" s="12" t="str">
        <f>HYPERLINK("http://www.bing.com/maps/?lvl=14&amp;sty=h&amp;cp=36.6432~44.5419&amp;sp=point.36.6432_44.5419","Maplink3")</f>
        <v>Maplink3</v>
      </c>
    </row>
    <row r="1518" spans="1:48" ht="15" customHeight="1" x14ac:dyDescent="0.25">
      <c r="A1518" s="19">
        <v>27202</v>
      </c>
      <c r="B1518" s="20" t="s">
        <v>15</v>
      </c>
      <c r="C1518" s="20" t="s">
        <v>2828</v>
      </c>
      <c r="D1518" s="20" t="s">
        <v>2845</v>
      </c>
      <c r="E1518" s="20" t="s">
        <v>2846</v>
      </c>
      <c r="F1518" s="20">
        <v>36.663145173399997</v>
      </c>
      <c r="G1518" s="20">
        <v>44.537162286600001</v>
      </c>
      <c r="H1518" s="22">
        <v>8</v>
      </c>
      <c r="I1518" s="22">
        <v>48</v>
      </c>
      <c r="J1518" s="21">
        <v>6</v>
      </c>
      <c r="K1518" s="21"/>
      <c r="L1518" s="21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>
        <v>2</v>
      </c>
      <c r="Y1518" s="21"/>
      <c r="Z1518" s="21"/>
      <c r="AA1518" s="21"/>
      <c r="AB1518" s="21"/>
      <c r="AC1518" s="21"/>
      <c r="AD1518" s="21"/>
      <c r="AE1518" s="21"/>
      <c r="AF1518" s="21"/>
      <c r="AG1518" s="21"/>
      <c r="AH1518" s="21">
        <v>8</v>
      </c>
      <c r="AI1518" s="21"/>
      <c r="AJ1518" s="21"/>
      <c r="AK1518" s="21"/>
      <c r="AL1518" s="21">
        <v>6</v>
      </c>
      <c r="AM1518" s="21">
        <v>2</v>
      </c>
      <c r="AN1518" s="21"/>
      <c r="AO1518" s="21"/>
      <c r="AP1518" s="21"/>
      <c r="AQ1518" s="21"/>
      <c r="AR1518" s="21"/>
      <c r="AS1518" s="21"/>
      <c r="AT1518" s="12" t="str">
        <f>HYPERLINK("http://www.openstreetmap.org/?mlat=36.6631&amp;mlon=44.5372&amp;zoom=12#map=12/36.6631/44.5372","Maplink1")</f>
        <v>Maplink1</v>
      </c>
      <c r="AU1518" s="12" t="str">
        <f>HYPERLINK("https://www.google.iq/maps/search/+36.6631,44.5372/@36.6631,44.5372,14z?hl=en","Maplink2")</f>
        <v>Maplink2</v>
      </c>
      <c r="AV1518" s="12" t="str">
        <f>HYPERLINK("http://www.bing.com/maps/?lvl=14&amp;sty=h&amp;cp=36.6631~44.5372&amp;sp=point.36.6631_44.5372","Maplink3")</f>
        <v>Maplink3</v>
      </c>
    </row>
    <row r="1519" spans="1:48" ht="15" customHeight="1" x14ac:dyDescent="0.25">
      <c r="A1519" s="19">
        <v>23744</v>
      </c>
      <c r="B1519" s="20" t="s">
        <v>16</v>
      </c>
      <c r="C1519" s="20" t="s">
        <v>2847</v>
      </c>
      <c r="D1519" s="20" t="s">
        <v>2848</v>
      </c>
      <c r="E1519" s="20" t="s">
        <v>2849</v>
      </c>
      <c r="F1519" s="20">
        <v>32.567441119999998</v>
      </c>
      <c r="G1519" s="20">
        <v>43.484855580000001</v>
      </c>
      <c r="H1519" s="22">
        <v>12</v>
      </c>
      <c r="I1519" s="22">
        <v>72</v>
      </c>
      <c r="J1519" s="21">
        <v>12</v>
      </c>
      <c r="K1519" s="21"/>
      <c r="L1519" s="21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21"/>
      <c r="AH1519" s="21">
        <v>12</v>
      </c>
      <c r="AI1519" s="21"/>
      <c r="AJ1519" s="21"/>
      <c r="AK1519" s="21"/>
      <c r="AL1519" s="21">
        <v>12</v>
      </c>
      <c r="AM1519" s="21"/>
      <c r="AN1519" s="21"/>
      <c r="AO1519" s="21"/>
      <c r="AP1519" s="21"/>
      <c r="AQ1519" s="21"/>
      <c r="AR1519" s="21"/>
      <c r="AS1519" s="21"/>
      <c r="AT1519" s="12" t="str">
        <f>HYPERLINK("http://www.openstreetmap.org/?mlat=32.5674&amp;mlon=43.4849&amp;zoom=12#map=12/32.5674/43.4849","Maplink1")</f>
        <v>Maplink1</v>
      </c>
      <c r="AU1519" s="12" t="str">
        <f>HYPERLINK("https://www.google.iq/maps/search/+32.5674,43.4849/@32.5674,43.4849,14z?hl=en","Maplink2")</f>
        <v>Maplink2</v>
      </c>
      <c r="AV1519" s="12" t="str">
        <f>HYPERLINK("http://www.bing.com/maps/?lvl=14&amp;sty=h&amp;cp=32.5674~43.4849&amp;sp=point.32.5674_43.4849","Maplink3")</f>
        <v>Maplink3</v>
      </c>
    </row>
    <row r="1520" spans="1:48" ht="15" customHeight="1" x14ac:dyDescent="0.25">
      <c r="A1520" s="19">
        <v>23706</v>
      </c>
      <c r="B1520" s="20" t="s">
        <v>16</v>
      </c>
      <c r="C1520" s="20" t="s">
        <v>2847</v>
      </c>
      <c r="D1520" s="20" t="s">
        <v>2850</v>
      </c>
      <c r="E1520" s="20" t="s">
        <v>2851</v>
      </c>
      <c r="F1520" s="20">
        <v>32.477177660000002</v>
      </c>
      <c r="G1520" s="20">
        <v>43.73106267</v>
      </c>
      <c r="H1520" s="22">
        <v>11</v>
      </c>
      <c r="I1520" s="22">
        <v>66</v>
      </c>
      <c r="J1520" s="21">
        <v>11</v>
      </c>
      <c r="K1520" s="21"/>
      <c r="L1520" s="21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>
        <v>10</v>
      </c>
      <c r="AD1520" s="21"/>
      <c r="AE1520" s="21"/>
      <c r="AF1520" s="21"/>
      <c r="AG1520" s="21"/>
      <c r="AH1520" s="21">
        <v>1</v>
      </c>
      <c r="AI1520" s="21"/>
      <c r="AJ1520" s="21"/>
      <c r="AK1520" s="21"/>
      <c r="AL1520" s="21">
        <v>11</v>
      </c>
      <c r="AM1520" s="21"/>
      <c r="AN1520" s="21"/>
      <c r="AO1520" s="21"/>
      <c r="AP1520" s="21"/>
      <c r="AQ1520" s="21"/>
      <c r="AR1520" s="21"/>
      <c r="AS1520" s="21"/>
      <c r="AT1520" s="12" t="str">
        <f>HYPERLINK("http://www.openstreetmap.org/?mlat=32.4772&amp;mlon=43.7311&amp;zoom=12#map=12/32.4772/43.7311","Maplink1")</f>
        <v>Maplink1</v>
      </c>
      <c r="AU1520" s="12" t="str">
        <f>HYPERLINK("https://www.google.iq/maps/search/+32.4772,43.7311/@32.4772,43.7311,14z?hl=en","Maplink2")</f>
        <v>Maplink2</v>
      </c>
      <c r="AV1520" s="12" t="str">
        <f>HYPERLINK("http://www.bing.com/maps/?lvl=14&amp;sty=h&amp;cp=32.4772~43.7311&amp;sp=point.32.4772_43.7311","Maplink3")</f>
        <v>Maplink3</v>
      </c>
    </row>
    <row r="1521" spans="1:48" ht="15" customHeight="1" x14ac:dyDescent="0.25">
      <c r="A1521" s="19">
        <v>13994</v>
      </c>
      <c r="B1521" s="20" t="s">
        <v>16</v>
      </c>
      <c r="C1521" s="20" t="s">
        <v>2847</v>
      </c>
      <c r="D1521" s="20" t="s">
        <v>2852</v>
      </c>
      <c r="E1521" s="20" t="s">
        <v>2853</v>
      </c>
      <c r="F1521" s="20">
        <v>32.567127890000002</v>
      </c>
      <c r="G1521" s="20">
        <v>43.495425670000003</v>
      </c>
      <c r="H1521" s="22">
        <v>9</v>
      </c>
      <c r="I1521" s="22">
        <v>54</v>
      </c>
      <c r="J1521" s="21">
        <v>5</v>
      </c>
      <c r="K1521" s="21">
        <v>2</v>
      </c>
      <c r="L1521" s="21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>
        <v>2</v>
      </c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21"/>
      <c r="AH1521" s="21">
        <v>9</v>
      </c>
      <c r="AI1521" s="21"/>
      <c r="AJ1521" s="21"/>
      <c r="AK1521" s="21"/>
      <c r="AL1521" s="21">
        <v>7</v>
      </c>
      <c r="AM1521" s="21">
        <v>2</v>
      </c>
      <c r="AN1521" s="21"/>
      <c r="AO1521" s="21"/>
      <c r="AP1521" s="21"/>
      <c r="AQ1521" s="21"/>
      <c r="AR1521" s="21"/>
      <c r="AS1521" s="21"/>
      <c r="AT1521" s="12" t="str">
        <f>HYPERLINK("http://www.openstreetmap.org/?mlat=32.5671&amp;mlon=43.4954&amp;zoom=12#map=12/32.5671/43.4954","Maplink1")</f>
        <v>Maplink1</v>
      </c>
      <c r="AU1521" s="12" t="str">
        <f>HYPERLINK("https://www.google.iq/maps/search/+32.5671,43.4954/@32.5671,43.4954,14z?hl=en","Maplink2")</f>
        <v>Maplink2</v>
      </c>
      <c r="AV1521" s="12" t="str">
        <f>HYPERLINK("http://www.bing.com/maps/?lvl=14&amp;sty=h&amp;cp=32.5671~43.4954&amp;sp=point.32.5671_43.4954","Maplink3")</f>
        <v>Maplink3</v>
      </c>
    </row>
    <row r="1522" spans="1:48" ht="15" customHeight="1" x14ac:dyDescent="0.25">
      <c r="A1522" s="19">
        <v>23938</v>
      </c>
      <c r="B1522" s="20" t="s">
        <v>16</v>
      </c>
      <c r="C1522" s="20" t="s">
        <v>2847</v>
      </c>
      <c r="D1522" s="20" t="s">
        <v>217</v>
      </c>
      <c r="E1522" s="20" t="s">
        <v>2854</v>
      </c>
      <c r="F1522" s="20">
        <v>32.570871250000003</v>
      </c>
      <c r="G1522" s="20">
        <v>43.485351540000003</v>
      </c>
      <c r="H1522" s="22">
        <v>5</v>
      </c>
      <c r="I1522" s="22">
        <v>30</v>
      </c>
      <c r="J1522" s="21">
        <v>5</v>
      </c>
      <c r="K1522" s="21"/>
      <c r="L1522" s="21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21"/>
      <c r="AH1522" s="21">
        <v>5</v>
      </c>
      <c r="AI1522" s="21"/>
      <c r="AJ1522" s="21"/>
      <c r="AK1522" s="21"/>
      <c r="AL1522" s="21">
        <v>5</v>
      </c>
      <c r="AM1522" s="21"/>
      <c r="AN1522" s="21"/>
      <c r="AO1522" s="21"/>
      <c r="AP1522" s="21"/>
      <c r="AQ1522" s="21"/>
      <c r="AR1522" s="21"/>
      <c r="AS1522" s="21"/>
      <c r="AT1522" s="12" t="str">
        <f>HYPERLINK("http://www.openstreetmap.org/?mlat=32.5709&amp;mlon=43.4854&amp;zoom=12#map=12/32.5709/43.4854","Maplink1")</f>
        <v>Maplink1</v>
      </c>
      <c r="AU1522" s="12" t="str">
        <f>HYPERLINK("https://www.google.iq/maps/search/+32.5709,43.4854/@32.5709,43.4854,14z?hl=en","Maplink2")</f>
        <v>Maplink2</v>
      </c>
      <c r="AV1522" s="12" t="str">
        <f>HYPERLINK("http://www.bing.com/maps/?lvl=14&amp;sty=h&amp;cp=32.5709~43.4854&amp;sp=point.32.5709_43.4854","Maplink3")</f>
        <v>Maplink3</v>
      </c>
    </row>
    <row r="1523" spans="1:48" ht="15" customHeight="1" x14ac:dyDescent="0.25">
      <c r="A1523" s="19">
        <v>32057</v>
      </c>
      <c r="B1523" s="20" t="s">
        <v>16</v>
      </c>
      <c r="C1523" s="20" t="s">
        <v>2855</v>
      </c>
      <c r="D1523" s="20" t="s">
        <v>2856</v>
      </c>
      <c r="E1523" s="20" t="s">
        <v>2857</v>
      </c>
      <c r="F1523" s="20">
        <v>32.324142000000002</v>
      </c>
      <c r="G1523" s="20">
        <v>44.053336999999999</v>
      </c>
      <c r="H1523" s="22">
        <v>76</v>
      </c>
      <c r="I1523" s="22">
        <v>456</v>
      </c>
      <c r="J1523" s="21"/>
      <c r="K1523" s="21"/>
      <c r="L1523" s="21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>
        <v>76</v>
      </c>
      <c r="W1523" s="21"/>
      <c r="X1523" s="21"/>
      <c r="Y1523" s="21"/>
      <c r="Z1523" s="21"/>
      <c r="AA1523" s="21"/>
      <c r="AB1523" s="21">
        <v>76</v>
      </c>
      <c r="AC1523" s="21"/>
      <c r="AD1523" s="21"/>
      <c r="AE1523" s="21"/>
      <c r="AF1523" s="21"/>
      <c r="AG1523" s="21"/>
      <c r="AH1523" s="21"/>
      <c r="AI1523" s="21"/>
      <c r="AJ1523" s="21"/>
      <c r="AK1523" s="21"/>
      <c r="AL1523" s="21"/>
      <c r="AM1523" s="21">
        <v>76</v>
      </c>
      <c r="AN1523" s="21"/>
      <c r="AO1523" s="21"/>
      <c r="AP1523" s="21"/>
      <c r="AQ1523" s="21"/>
      <c r="AR1523" s="21"/>
      <c r="AS1523" s="21"/>
      <c r="AT1523" s="12" t="str">
        <f>HYPERLINK("http://www.openstreetmap.org/?mlat=32.3241&amp;mlon=44.0533&amp;zoom=12#map=12/32.3241/44.0533","Maplink1")</f>
        <v>Maplink1</v>
      </c>
      <c r="AU1523" s="12" t="str">
        <f>HYPERLINK("https://www.google.iq/maps/search/+32.3241,44.0533/@32.3241,44.0533,14z?hl=en","Maplink2")</f>
        <v>Maplink2</v>
      </c>
      <c r="AV1523" s="12" t="str">
        <f>HYPERLINK("http://www.bing.com/maps/?lvl=14&amp;sty=h&amp;cp=32.3241~44.0533&amp;sp=point.32.3241_44.0533","Maplink3")</f>
        <v>Maplink3</v>
      </c>
    </row>
    <row r="1524" spans="1:48" ht="15" customHeight="1" x14ac:dyDescent="0.25">
      <c r="A1524" s="19">
        <v>27336</v>
      </c>
      <c r="B1524" s="20" t="s">
        <v>16</v>
      </c>
      <c r="C1524" s="20" t="s">
        <v>2855</v>
      </c>
      <c r="D1524" s="20" t="s">
        <v>2858</v>
      </c>
      <c r="E1524" s="20" t="s">
        <v>2859</v>
      </c>
      <c r="F1524" s="20">
        <v>32.494712436999997</v>
      </c>
      <c r="G1524" s="20">
        <v>44.142769399899997</v>
      </c>
      <c r="H1524" s="22">
        <v>69</v>
      </c>
      <c r="I1524" s="22">
        <v>414</v>
      </c>
      <c r="J1524" s="21"/>
      <c r="K1524" s="21"/>
      <c r="L1524" s="21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>
        <v>69</v>
      </c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>
        <v>5</v>
      </c>
      <c r="AG1524" s="21">
        <v>64</v>
      </c>
      <c r="AH1524" s="21"/>
      <c r="AI1524" s="21"/>
      <c r="AJ1524" s="21"/>
      <c r="AK1524" s="21"/>
      <c r="AL1524" s="21"/>
      <c r="AM1524" s="21">
        <v>69</v>
      </c>
      <c r="AN1524" s="21"/>
      <c r="AO1524" s="21"/>
      <c r="AP1524" s="21"/>
      <c r="AQ1524" s="21"/>
      <c r="AR1524" s="21"/>
      <c r="AS1524" s="21"/>
      <c r="AT1524" s="12" t="str">
        <f>HYPERLINK("http://www.openstreetmap.org/?mlat=32.4947&amp;mlon=44.1428&amp;zoom=12#map=12/32.4947/44.1428","Maplink1")</f>
        <v>Maplink1</v>
      </c>
      <c r="AU1524" s="12" t="str">
        <f>HYPERLINK("https://www.google.iq/maps/search/+32.4947,44.1428/@32.4947,44.1428,14z?hl=en","Maplink2")</f>
        <v>Maplink2</v>
      </c>
      <c r="AV1524" s="12" t="str">
        <f>HYPERLINK("http://www.bing.com/maps/?lvl=14&amp;sty=h&amp;cp=32.4947~44.1428&amp;sp=point.32.4947_44.1428","Maplink3")</f>
        <v>Maplink3</v>
      </c>
    </row>
    <row r="1525" spans="1:48" ht="15" customHeight="1" x14ac:dyDescent="0.25">
      <c r="A1525" s="19">
        <v>24198</v>
      </c>
      <c r="B1525" s="20" t="s">
        <v>16</v>
      </c>
      <c r="C1525" s="20" t="s">
        <v>2855</v>
      </c>
      <c r="D1525" s="20" t="s">
        <v>1980</v>
      </c>
      <c r="E1525" s="20" t="s">
        <v>2860</v>
      </c>
      <c r="F1525" s="20">
        <v>32.5552228966</v>
      </c>
      <c r="G1525" s="20">
        <v>44.222125731299997</v>
      </c>
      <c r="H1525" s="22">
        <v>20</v>
      </c>
      <c r="I1525" s="22">
        <v>120</v>
      </c>
      <c r="J1525" s="21"/>
      <c r="K1525" s="21"/>
      <c r="L1525" s="21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>
        <v>20</v>
      </c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21"/>
      <c r="AH1525" s="21">
        <v>20</v>
      </c>
      <c r="AI1525" s="21"/>
      <c r="AJ1525" s="21"/>
      <c r="AK1525" s="21"/>
      <c r="AL1525" s="21"/>
      <c r="AM1525" s="21">
        <v>20</v>
      </c>
      <c r="AN1525" s="21"/>
      <c r="AO1525" s="21"/>
      <c r="AP1525" s="21"/>
      <c r="AQ1525" s="21"/>
      <c r="AR1525" s="21"/>
      <c r="AS1525" s="21"/>
      <c r="AT1525" s="12" t="str">
        <f>HYPERLINK("http://www.openstreetmap.org/?mlat=32.5552&amp;mlon=44.2221&amp;zoom=12#map=12/32.5552/44.2221","Maplink1")</f>
        <v>Maplink1</v>
      </c>
      <c r="AU1525" s="12" t="str">
        <f>HYPERLINK("https://www.google.iq/maps/search/+32.5552,44.2221/@32.5552,44.2221,14z?hl=en","Maplink2")</f>
        <v>Maplink2</v>
      </c>
      <c r="AV1525" s="12" t="str">
        <f>HYPERLINK("http://www.bing.com/maps/?lvl=14&amp;sty=h&amp;cp=32.5552~44.2221&amp;sp=point.32.5552_44.2221","Maplink3")</f>
        <v>Maplink3</v>
      </c>
    </row>
    <row r="1526" spans="1:48" ht="15" customHeight="1" x14ac:dyDescent="0.25">
      <c r="A1526" s="19">
        <v>25995</v>
      </c>
      <c r="B1526" s="20" t="s">
        <v>16</v>
      </c>
      <c r="C1526" s="20" t="s">
        <v>2855</v>
      </c>
      <c r="D1526" s="20" t="s">
        <v>2861</v>
      </c>
      <c r="E1526" s="20" t="s">
        <v>2862</v>
      </c>
      <c r="F1526" s="20">
        <v>32.500355169999999</v>
      </c>
      <c r="G1526" s="20">
        <v>44.137783800000001</v>
      </c>
      <c r="H1526" s="22">
        <v>45</v>
      </c>
      <c r="I1526" s="22">
        <v>270</v>
      </c>
      <c r="J1526" s="21"/>
      <c r="K1526" s="21"/>
      <c r="L1526" s="21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>
        <v>45</v>
      </c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21">
        <v>45</v>
      </c>
      <c r="AH1526" s="21"/>
      <c r="AI1526" s="21"/>
      <c r="AJ1526" s="21"/>
      <c r="AK1526" s="21"/>
      <c r="AL1526" s="21"/>
      <c r="AM1526" s="21">
        <v>45</v>
      </c>
      <c r="AN1526" s="21"/>
      <c r="AO1526" s="21"/>
      <c r="AP1526" s="21"/>
      <c r="AQ1526" s="21"/>
      <c r="AR1526" s="21"/>
      <c r="AS1526" s="21"/>
      <c r="AT1526" s="12" t="str">
        <f>HYPERLINK("http://www.openstreetmap.org/?mlat=32.5004&amp;mlon=44.1378&amp;zoom=12#map=12/32.5004/44.1378","Maplink1")</f>
        <v>Maplink1</v>
      </c>
      <c r="AU1526" s="12" t="str">
        <f>HYPERLINK("https://www.google.iq/maps/search/+32.5004,44.1378/@32.5004,44.1378,14z?hl=en","Maplink2")</f>
        <v>Maplink2</v>
      </c>
      <c r="AV1526" s="12" t="str">
        <f>HYPERLINK("http://www.bing.com/maps/?lvl=14&amp;sty=h&amp;cp=32.5004~44.1378&amp;sp=point.32.5004_44.1378","Maplink3")</f>
        <v>Maplink3</v>
      </c>
    </row>
    <row r="1527" spans="1:48" ht="15" customHeight="1" x14ac:dyDescent="0.25">
      <c r="A1527" s="19">
        <v>25494</v>
      </c>
      <c r="B1527" s="20" t="s">
        <v>16</v>
      </c>
      <c r="C1527" s="20" t="s">
        <v>2855</v>
      </c>
      <c r="D1527" s="20" t="s">
        <v>2863</v>
      </c>
      <c r="E1527" s="20" t="s">
        <v>2864</v>
      </c>
      <c r="F1527" s="20">
        <v>32.473122050000001</v>
      </c>
      <c r="G1527" s="20">
        <v>44.17471716</v>
      </c>
      <c r="H1527" s="22">
        <v>13</v>
      </c>
      <c r="I1527" s="22">
        <v>78</v>
      </c>
      <c r="J1527" s="21"/>
      <c r="K1527" s="21"/>
      <c r="L1527" s="21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>
        <v>13</v>
      </c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21"/>
      <c r="AH1527" s="21">
        <v>13</v>
      </c>
      <c r="AI1527" s="21"/>
      <c r="AJ1527" s="21"/>
      <c r="AK1527" s="21"/>
      <c r="AL1527" s="21"/>
      <c r="AM1527" s="21">
        <v>13</v>
      </c>
      <c r="AN1527" s="21"/>
      <c r="AO1527" s="21"/>
      <c r="AP1527" s="21"/>
      <c r="AQ1527" s="21"/>
      <c r="AR1527" s="21"/>
      <c r="AS1527" s="21"/>
      <c r="AT1527" s="12" t="str">
        <f>HYPERLINK("http://www.openstreetmap.org/?mlat=32.4731&amp;mlon=44.1747&amp;zoom=12#map=12/32.4731/44.1747","Maplink1")</f>
        <v>Maplink1</v>
      </c>
      <c r="AU1527" s="12" t="str">
        <f>HYPERLINK("https://www.google.iq/maps/search/+32.4731,44.1747/@32.4731,44.1747,14z?hl=en","Maplink2")</f>
        <v>Maplink2</v>
      </c>
      <c r="AV1527" s="12" t="str">
        <f>HYPERLINK("http://www.bing.com/maps/?lvl=14&amp;sty=h&amp;cp=32.4731~44.1747&amp;sp=point.32.4731_44.1747","Maplink3")</f>
        <v>Maplink3</v>
      </c>
    </row>
    <row r="1528" spans="1:48" ht="15" customHeight="1" x14ac:dyDescent="0.25">
      <c r="A1528" s="19">
        <v>25845</v>
      </c>
      <c r="B1528" s="20" t="s">
        <v>16</v>
      </c>
      <c r="C1528" s="20" t="s">
        <v>2855</v>
      </c>
      <c r="D1528" s="20" t="s">
        <v>2865</v>
      </c>
      <c r="E1528" s="20" t="s">
        <v>1335</v>
      </c>
      <c r="F1528" s="20">
        <v>32.548651</v>
      </c>
      <c r="G1528" s="20">
        <v>44.225758999999996</v>
      </c>
      <c r="H1528" s="22">
        <v>10</v>
      </c>
      <c r="I1528" s="22">
        <v>60</v>
      </c>
      <c r="J1528" s="21"/>
      <c r="K1528" s="21"/>
      <c r="L1528" s="21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>
        <v>10</v>
      </c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21"/>
      <c r="AH1528" s="21">
        <v>10</v>
      </c>
      <c r="AI1528" s="21"/>
      <c r="AJ1528" s="21"/>
      <c r="AK1528" s="21"/>
      <c r="AL1528" s="21"/>
      <c r="AM1528" s="21">
        <v>10</v>
      </c>
      <c r="AN1528" s="21"/>
      <c r="AO1528" s="21"/>
      <c r="AP1528" s="21"/>
      <c r="AQ1528" s="21"/>
      <c r="AR1528" s="21"/>
      <c r="AS1528" s="21"/>
      <c r="AT1528" s="12" t="str">
        <f>HYPERLINK("http://www.openstreetmap.org/?mlat=32.5487&amp;mlon=44.2258&amp;zoom=12#map=12/32.5487/44.2258","Maplink1")</f>
        <v>Maplink1</v>
      </c>
      <c r="AU1528" s="12" t="str">
        <f>HYPERLINK("https://www.google.iq/maps/search/+32.5487,44.2258/@32.5487,44.2258,14z?hl=en","Maplink2")</f>
        <v>Maplink2</v>
      </c>
      <c r="AV1528" s="12" t="str">
        <f>HYPERLINK("http://www.bing.com/maps/?lvl=14&amp;sty=h&amp;cp=32.5487~44.2258&amp;sp=point.32.5487_44.2258","Maplink3")</f>
        <v>Maplink3</v>
      </c>
    </row>
    <row r="1529" spans="1:48" ht="15" customHeight="1" x14ac:dyDescent="0.25">
      <c r="A1529" s="19">
        <v>14323</v>
      </c>
      <c r="B1529" s="20" t="s">
        <v>16</v>
      </c>
      <c r="C1529" s="20" t="s">
        <v>2855</v>
      </c>
      <c r="D1529" s="20" t="s">
        <v>2866</v>
      </c>
      <c r="E1529" s="20" t="s">
        <v>2867</v>
      </c>
      <c r="F1529" s="20">
        <v>32.536457200000001</v>
      </c>
      <c r="G1529" s="20">
        <v>44.217713209999999</v>
      </c>
      <c r="H1529" s="22">
        <v>30</v>
      </c>
      <c r="I1529" s="22">
        <v>180</v>
      </c>
      <c r="J1529" s="21"/>
      <c r="K1529" s="21"/>
      <c r="L1529" s="21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>
        <v>30</v>
      </c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21"/>
      <c r="AH1529" s="21">
        <v>30</v>
      </c>
      <c r="AI1529" s="21"/>
      <c r="AJ1529" s="21"/>
      <c r="AK1529" s="21"/>
      <c r="AL1529" s="21"/>
      <c r="AM1529" s="21">
        <v>30</v>
      </c>
      <c r="AN1529" s="21"/>
      <c r="AO1529" s="21"/>
      <c r="AP1529" s="21"/>
      <c r="AQ1529" s="21"/>
      <c r="AR1529" s="21"/>
      <c r="AS1529" s="21"/>
      <c r="AT1529" s="12" t="str">
        <f>HYPERLINK("http://www.openstreetmap.org/?mlat=32.5365&amp;mlon=44.2177&amp;zoom=12#map=12/32.5365/44.2177","Maplink1")</f>
        <v>Maplink1</v>
      </c>
      <c r="AU1529" s="12" t="str">
        <f>HYPERLINK("https://www.google.iq/maps/search/+32.5365,44.2177/@32.5365,44.2177,14z?hl=en","Maplink2")</f>
        <v>Maplink2</v>
      </c>
      <c r="AV1529" s="12" t="str">
        <f>HYPERLINK("http://www.bing.com/maps/?lvl=14&amp;sty=h&amp;cp=32.5365~44.2177&amp;sp=point.32.5365_44.2177","Maplink3")</f>
        <v>Maplink3</v>
      </c>
    </row>
    <row r="1530" spans="1:48" ht="15" customHeight="1" x14ac:dyDescent="0.25">
      <c r="A1530" s="19">
        <v>14097</v>
      </c>
      <c r="B1530" s="20" t="s">
        <v>16</v>
      </c>
      <c r="C1530" s="20" t="s">
        <v>2855</v>
      </c>
      <c r="D1530" s="20" t="s">
        <v>2868</v>
      </c>
      <c r="E1530" s="20" t="s">
        <v>2869</v>
      </c>
      <c r="F1530" s="20">
        <v>32.489342940299998</v>
      </c>
      <c r="G1530" s="20">
        <v>44.1933126968</v>
      </c>
      <c r="H1530" s="22">
        <v>24</v>
      </c>
      <c r="I1530" s="22">
        <v>144</v>
      </c>
      <c r="J1530" s="21"/>
      <c r="K1530" s="21"/>
      <c r="L1530" s="21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>
        <v>24</v>
      </c>
      <c r="W1530" s="21"/>
      <c r="X1530" s="21"/>
      <c r="Y1530" s="21"/>
      <c r="Z1530" s="21"/>
      <c r="AA1530" s="21"/>
      <c r="AB1530" s="21"/>
      <c r="AC1530" s="21">
        <v>24</v>
      </c>
      <c r="AD1530" s="21"/>
      <c r="AE1530" s="21"/>
      <c r="AF1530" s="21"/>
      <c r="AG1530" s="21"/>
      <c r="AH1530" s="21"/>
      <c r="AI1530" s="21"/>
      <c r="AJ1530" s="21"/>
      <c r="AK1530" s="21"/>
      <c r="AL1530" s="21"/>
      <c r="AM1530" s="21">
        <v>24</v>
      </c>
      <c r="AN1530" s="21"/>
      <c r="AO1530" s="21"/>
      <c r="AP1530" s="21"/>
      <c r="AQ1530" s="21"/>
      <c r="AR1530" s="21"/>
      <c r="AS1530" s="21"/>
      <c r="AT1530" s="12" t="str">
        <f>HYPERLINK("http://www.openstreetmap.org/?mlat=32.4893&amp;mlon=44.1933&amp;zoom=12#map=12/32.4893/44.1933","Maplink1")</f>
        <v>Maplink1</v>
      </c>
      <c r="AU1530" s="12" t="str">
        <f>HYPERLINK("https://www.google.iq/maps/search/+32.4893,44.1933/@32.4893,44.1933,14z?hl=en","Maplink2")</f>
        <v>Maplink2</v>
      </c>
      <c r="AV1530" s="12" t="str">
        <f>HYPERLINK("http://www.bing.com/maps/?lvl=14&amp;sty=h&amp;cp=32.4893~44.1933&amp;sp=point.32.4893_44.1933","Maplink3")</f>
        <v>Maplink3</v>
      </c>
    </row>
    <row r="1531" spans="1:48" ht="15" customHeight="1" x14ac:dyDescent="0.25">
      <c r="A1531" s="19">
        <v>26009</v>
      </c>
      <c r="B1531" s="20" t="s">
        <v>16</v>
      </c>
      <c r="C1531" s="20" t="s">
        <v>2855</v>
      </c>
      <c r="D1531" s="20" t="s">
        <v>2870</v>
      </c>
      <c r="E1531" s="20" t="s">
        <v>2871</v>
      </c>
      <c r="F1531" s="20">
        <v>32.402965913700001</v>
      </c>
      <c r="G1531" s="20">
        <v>44.202696411200002</v>
      </c>
      <c r="H1531" s="22">
        <v>580</v>
      </c>
      <c r="I1531" s="22">
        <v>3480</v>
      </c>
      <c r="J1531" s="21"/>
      <c r="K1531" s="21"/>
      <c r="L1531" s="21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>
        <v>580</v>
      </c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21">
        <v>580</v>
      </c>
      <c r="AH1531" s="21"/>
      <c r="AI1531" s="21"/>
      <c r="AJ1531" s="21"/>
      <c r="AK1531" s="21"/>
      <c r="AL1531" s="21"/>
      <c r="AM1531" s="21">
        <v>580</v>
      </c>
      <c r="AN1531" s="21"/>
      <c r="AO1531" s="21"/>
      <c r="AP1531" s="21"/>
      <c r="AQ1531" s="21"/>
      <c r="AR1531" s="21"/>
      <c r="AS1531" s="21"/>
      <c r="AT1531" s="12" t="str">
        <f>HYPERLINK("http://www.openstreetmap.org/?mlat=32.403&amp;mlon=44.2027&amp;zoom=12#map=12/32.403/44.2027","Maplink1")</f>
        <v>Maplink1</v>
      </c>
      <c r="AU1531" s="12" t="str">
        <f>HYPERLINK("https://www.google.iq/maps/search/+32.403,44.2027/@32.403,44.2027,14z?hl=en","Maplink2")</f>
        <v>Maplink2</v>
      </c>
      <c r="AV1531" s="12" t="str">
        <f>HYPERLINK("http://www.bing.com/maps/?lvl=14&amp;sty=h&amp;cp=32.403~44.2027&amp;sp=point.32.403_44.2027","Maplink3")</f>
        <v>Maplink3</v>
      </c>
    </row>
    <row r="1532" spans="1:48" ht="15" customHeight="1" x14ac:dyDescent="0.25">
      <c r="A1532" s="19">
        <v>14298</v>
      </c>
      <c r="B1532" s="20" t="s">
        <v>16</v>
      </c>
      <c r="C1532" s="20" t="s">
        <v>2855</v>
      </c>
      <c r="D1532" s="20" t="s">
        <v>2872</v>
      </c>
      <c r="E1532" s="20" t="s">
        <v>2873</v>
      </c>
      <c r="F1532" s="20">
        <v>32.550960619800001</v>
      </c>
      <c r="G1532" s="20">
        <v>44.249082320200003</v>
      </c>
      <c r="H1532" s="22">
        <v>6</v>
      </c>
      <c r="I1532" s="22">
        <v>36</v>
      </c>
      <c r="J1532" s="21"/>
      <c r="K1532" s="21"/>
      <c r="L1532" s="21">
        <v>6</v>
      </c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21"/>
      <c r="AH1532" s="21">
        <v>6</v>
      </c>
      <c r="AI1532" s="21"/>
      <c r="AJ1532" s="21"/>
      <c r="AK1532" s="21"/>
      <c r="AL1532" s="21"/>
      <c r="AM1532" s="21"/>
      <c r="AN1532" s="21">
        <v>6</v>
      </c>
      <c r="AO1532" s="21"/>
      <c r="AP1532" s="21"/>
      <c r="AQ1532" s="21"/>
      <c r="AR1532" s="21"/>
      <c r="AS1532" s="21"/>
      <c r="AT1532" s="12" t="str">
        <f>HYPERLINK("http://www.openstreetmap.org/?mlat=32.551&amp;mlon=44.2491&amp;zoom=12#map=12/32.551/44.2491","Maplink1")</f>
        <v>Maplink1</v>
      </c>
      <c r="AU1532" s="12" t="str">
        <f>HYPERLINK("https://www.google.iq/maps/search/+32.551,44.2491/@32.551,44.2491,14z?hl=en","Maplink2")</f>
        <v>Maplink2</v>
      </c>
      <c r="AV1532" s="12" t="str">
        <f>HYPERLINK("http://www.bing.com/maps/?lvl=14&amp;sty=h&amp;cp=32.551~44.2491&amp;sp=point.32.551_44.2491","Maplink3")</f>
        <v>Maplink3</v>
      </c>
    </row>
    <row r="1533" spans="1:48" ht="15" customHeight="1" x14ac:dyDescent="0.25">
      <c r="A1533" s="19">
        <v>25996</v>
      </c>
      <c r="B1533" s="20" t="s">
        <v>16</v>
      </c>
      <c r="C1533" s="20" t="s">
        <v>2855</v>
      </c>
      <c r="D1533" s="20" t="s">
        <v>2874</v>
      </c>
      <c r="E1533" s="20" t="s">
        <v>2875</v>
      </c>
      <c r="F1533" s="20">
        <v>32.525255970000003</v>
      </c>
      <c r="G1533" s="20">
        <v>44.115444420000003</v>
      </c>
      <c r="H1533" s="22">
        <v>8</v>
      </c>
      <c r="I1533" s="22">
        <v>48</v>
      </c>
      <c r="J1533" s="21"/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>
        <v>8</v>
      </c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21">
        <v>8</v>
      </c>
      <c r="AH1533" s="21"/>
      <c r="AI1533" s="21"/>
      <c r="AJ1533" s="21"/>
      <c r="AK1533" s="21"/>
      <c r="AL1533" s="21"/>
      <c r="AM1533" s="21">
        <v>8</v>
      </c>
      <c r="AN1533" s="21"/>
      <c r="AO1533" s="21"/>
      <c r="AP1533" s="21"/>
      <c r="AQ1533" s="21"/>
      <c r="AR1533" s="21"/>
      <c r="AS1533" s="21"/>
      <c r="AT1533" s="12" t="str">
        <f>HYPERLINK("http://www.openstreetmap.org/?mlat=32.5253&amp;mlon=44.1154&amp;zoom=12#map=12/32.5253/44.1154","Maplink1")</f>
        <v>Maplink1</v>
      </c>
      <c r="AU1533" s="12" t="str">
        <f>HYPERLINK("https://www.google.iq/maps/search/+32.5253,44.1154/@32.5253,44.1154,14z?hl=en","Maplink2")</f>
        <v>Maplink2</v>
      </c>
      <c r="AV1533" s="12" t="str">
        <f>HYPERLINK("http://www.bing.com/maps/?lvl=14&amp;sty=h&amp;cp=32.5253~44.1154&amp;sp=point.32.5253_44.1154","Maplink3")</f>
        <v>Maplink3</v>
      </c>
    </row>
    <row r="1534" spans="1:48" ht="15" customHeight="1" x14ac:dyDescent="0.25">
      <c r="A1534" s="19">
        <v>22785</v>
      </c>
      <c r="B1534" s="20" t="s">
        <v>16</v>
      </c>
      <c r="C1534" s="20" t="s">
        <v>2855</v>
      </c>
      <c r="D1534" s="20" t="s">
        <v>2876</v>
      </c>
      <c r="E1534" s="20" t="s">
        <v>2877</v>
      </c>
      <c r="F1534" s="20">
        <v>32.5522921974</v>
      </c>
      <c r="G1534" s="20">
        <v>44.228391352999999</v>
      </c>
      <c r="H1534" s="22">
        <v>13</v>
      </c>
      <c r="I1534" s="22">
        <v>78</v>
      </c>
      <c r="J1534" s="21"/>
      <c r="K1534" s="21"/>
      <c r="L1534" s="21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>
        <v>13</v>
      </c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21"/>
      <c r="AH1534" s="21">
        <v>13</v>
      </c>
      <c r="AI1534" s="21"/>
      <c r="AJ1534" s="21"/>
      <c r="AK1534" s="21"/>
      <c r="AL1534" s="21"/>
      <c r="AM1534" s="21">
        <v>13</v>
      </c>
      <c r="AN1534" s="21"/>
      <c r="AO1534" s="21"/>
      <c r="AP1534" s="21"/>
      <c r="AQ1534" s="21"/>
      <c r="AR1534" s="21"/>
      <c r="AS1534" s="21"/>
      <c r="AT1534" s="12" t="str">
        <f>HYPERLINK("http://www.openstreetmap.org/?mlat=32.5523&amp;mlon=44.2284&amp;zoom=12#map=12/32.5523/44.2284","Maplink1")</f>
        <v>Maplink1</v>
      </c>
      <c r="AU1534" s="12" t="str">
        <f>HYPERLINK("https://www.google.iq/maps/search/+32.5523,44.2284/@32.5523,44.2284,14z?hl=en","Maplink2")</f>
        <v>Maplink2</v>
      </c>
      <c r="AV1534" s="12" t="str">
        <f>HYPERLINK("http://www.bing.com/maps/?lvl=14&amp;sty=h&amp;cp=32.5523~44.2284&amp;sp=point.32.5523_44.2284","Maplink3")</f>
        <v>Maplink3</v>
      </c>
    </row>
    <row r="1535" spans="1:48" ht="15" customHeight="1" x14ac:dyDescent="0.25">
      <c r="A1535" s="19">
        <v>25994</v>
      </c>
      <c r="B1535" s="20" t="s">
        <v>16</v>
      </c>
      <c r="C1535" s="20" t="s">
        <v>2855</v>
      </c>
      <c r="D1535" s="20" t="s">
        <v>2878</v>
      </c>
      <c r="E1535" s="20" t="s">
        <v>2879</v>
      </c>
      <c r="F1535" s="20">
        <v>32.481280849999997</v>
      </c>
      <c r="G1535" s="20">
        <v>44.151788699999997</v>
      </c>
      <c r="H1535" s="22">
        <v>33</v>
      </c>
      <c r="I1535" s="22">
        <v>198</v>
      </c>
      <c r="J1535" s="21"/>
      <c r="K1535" s="21"/>
      <c r="L1535" s="21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>
        <v>33</v>
      </c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21">
        <v>33</v>
      </c>
      <c r="AH1535" s="21"/>
      <c r="AI1535" s="21"/>
      <c r="AJ1535" s="21"/>
      <c r="AK1535" s="21"/>
      <c r="AL1535" s="21"/>
      <c r="AM1535" s="21">
        <v>33</v>
      </c>
      <c r="AN1535" s="21"/>
      <c r="AO1535" s="21"/>
      <c r="AP1535" s="21"/>
      <c r="AQ1535" s="21"/>
      <c r="AR1535" s="21"/>
      <c r="AS1535" s="21"/>
      <c r="AT1535" s="12" t="str">
        <f>HYPERLINK("http://www.openstreetmap.org/?mlat=32.4813&amp;mlon=44.1518&amp;zoom=12#map=12/32.4813/44.1518","Maplink1")</f>
        <v>Maplink1</v>
      </c>
      <c r="AU1535" s="12" t="str">
        <f>HYPERLINK("https://www.google.iq/maps/search/+32.4813,44.1518/@32.4813,44.1518,14z?hl=en","Maplink2")</f>
        <v>Maplink2</v>
      </c>
      <c r="AV1535" s="12" t="str">
        <f>HYPERLINK("http://www.bing.com/maps/?lvl=14&amp;sty=h&amp;cp=32.4813~44.1518&amp;sp=point.32.4813_44.1518","Maplink3")</f>
        <v>Maplink3</v>
      </c>
    </row>
    <row r="1536" spans="1:48" ht="15" customHeight="1" x14ac:dyDescent="0.25">
      <c r="A1536" s="19">
        <v>25486</v>
      </c>
      <c r="B1536" s="20" t="s">
        <v>16</v>
      </c>
      <c r="C1536" s="20" t="s">
        <v>2855</v>
      </c>
      <c r="D1536" s="20" t="s">
        <v>2880</v>
      </c>
      <c r="E1536" s="20" t="s">
        <v>2881</v>
      </c>
      <c r="F1536" s="20">
        <v>32.55407022</v>
      </c>
      <c r="G1536" s="20">
        <v>44.210777520000001</v>
      </c>
      <c r="H1536" s="22">
        <v>14</v>
      </c>
      <c r="I1536" s="22">
        <v>84</v>
      </c>
      <c r="J1536" s="21"/>
      <c r="K1536" s="21"/>
      <c r="L1536" s="21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>
        <v>14</v>
      </c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21"/>
      <c r="AH1536" s="21">
        <v>14</v>
      </c>
      <c r="AI1536" s="21"/>
      <c r="AJ1536" s="21"/>
      <c r="AK1536" s="21"/>
      <c r="AL1536" s="21"/>
      <c r="AM1536" s="21">
        <v>14</v>
      </c>
      <c r="AN1536" s="21"/>
      <c r="AO1536" s="21"/>
      <c r="AP1536" s="21"/>
      <c r="AQ1536" s="21"/>
      <c r="AR1536" s="21"/>
      <c r="AS1536" s="21"/>
      <c r="AT1536" s="12" t="str">
        <f>HYPERLINK("http://www.openstreetmap.org/?mlat=32.5541&amp;mlon=44.2108&amp;zoom=12#map=12/32.5541/44.2108","Maplink1")</f>
        <v>Maplink1</v>
      </c>
      <c r="AU1536" s="12" t="str">
        <f>HYPERLINK("https://www.google.iq/maps/search/+32.5541,44.2108/@32.5541,44.2108,14z?hl=en","Maplink2")</f>
        <v>Maplink2</v>
      </c>
      <c r="AV1536" s="12" t="str">
        <f>HYPERLINK("http://www.bing.com/maps/?lvl=14&amp;sty=h&amp;cp=32.5541~44.2108&amp;sp=point.32.5541_44.2108","Maplink3")</f>
        <v>Maplink3</v>
      </c>
    </row>
    <row r="1537" spans="1:48" ht="15" customHeight="1" x14ac:dyDescent="0.25">
      <c r="A1537" s="19">
        <v>27335</v>
      </c>
      <c r="B1537" s="20" t="s">
        <v>16</v>
      </c>
      <c r="C1537" s="20" t="s">
        <v>2855</v>
      </c>
      <c r="D1537" s="20" t="s">
        <v>2882</v>
      </c>
      <c r="E1537" s="20" t="s">
        <v>2883</v>
      </c>
      <c r="F1537" s="20">
        <v>32.468642197100003</v>
      </c>
      <c r="G1537" s="20">
        <v>44.159530518099999</v>
      </c>
      <c r="H1537" s="22">
        <v>40</v>
      </c>
      <c r="I1537" s="22">
        <v>240</v>
      </c>
      <c r="J1537" s="21"/>
      <c r="K1537" s="21"/>
      <c r="L1537" s="21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>
        <v>40</v>
      </c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21">
        <v>40</v>
      </c>
      <c r="AH1537" s="21"/>
      <c r="AI1537" s="21"/>
      <c r="AJ1537" s="21"/>
      <c r="AK1537" s="21"/>
      <c r="AL1537" s="21"/>
      <c r="AM1537" s="21">
        <v>40</v>
      </c>
      <c r="AN1537" s="21"/>
      <c r="AO1537" s="21"/>
      <c r="AP1537" s="21"/>
      <c r="AQ1537" s="21"/>
      <c r="AR1537" s="21"/>
      <c r="AS1537" s="21"/>
      <c r="AT1537" s="12" t="str">
        <f>HYPERLINK("http://www.openstreetmap.org/?mlat=32.4686&amp;mlon=44.1595&amp;zoom=12#map=12/32.4686/44.1595","Maplink1")</f>
        <v>Maplink1</v>
      </c>
      <c r="AU1537" s="12" t="str">
        <f>HYPERLINK("https://www.google.iq/maps/search/+32.4686,44.1595/@32.4686,44.1595,14z?hl=en","Maplink2")</f>
        <v>Maplink2</v>
      </c>
      <c r="AV1537" s="12" t="str">
        <f>HYPERLINK("http://www.bing.com/maps/?lvl=14&amp;sty=h&amp;cp=32.4686~44.1595&amp;sp=point.32.4686_44.1595","Maplink3")</f>
        <v>Maplink3</v>
      </c>
    </row>
    <row r="1538" spans="1:48" ht="15" customHeight="1" x14ac:dyDescent="0.25">
      <c r="A1538" s="19">
        <v>13985</v>
      </c>
      <c r="B1538" s="20" t="s">
        <v>16</v>
      </c>
      <c r="C1538" s="20" t="s">
        <v>2855</v>
      </c>
      <c r="D1538" s="20" t="s">
        <v>2884</v>
      </c>
      <c r="E1538" s="20" t="s">
        <v>2885</v>
      </c>
      <c r="F1538" s="20">
        <v>32.552933545400002</v>
      </c>
      <c r="G1538" s="20">
        <v>44.0794248168</v>
      </c>
      <c r="H1538" s="22">
        <v>58</v>
      </c>
      <c r="I1538" s="22">
        <v>348</v>
      </c>
      <c r="J1538" s="21"/>
      <c r="K1538" s="21"/>
      <c r="L1538" s="21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>
        <v>58</v>
      </c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21">
        <v>58</v>
      </c>
      <c r="AH1538" s="21"/>
      <c r="AI1538" s="21"/>
      <c r="AJ1538" s="21"/>
      <c r="AK1538" s="21"/>
      <c r="AL1538" s="21"/>
      <c r="AM1538" s="21">
        <v>58</v>
      </c>
      <c r="AN1538" s="21"/>
      <c r="AO1538" s="21"/>
      <c r="AP1538" s="21"/>
      <c r="AQ1538" s="21"/>
      <c r="AR1538" s="21"/>
      <c r="AS1538" s="21"/>
      <c r="AT1538" s="12" t="str">
        <f>HYPERLINK("http://www.openstreetmap.org/?mlat=32.5529&amp;mlon=44.0794&amp;zoom=12#map=12/32.5529/44.0794","Maplink1")</f>
        <v>Maplink1</v>
      </c>
      <c r="AU1538" s="12" t="str">
        <f>HYPERLINK("https://www.google.iq/maps/search/+32.5529,44.0794/@32.5529,44.0794,14z?hl=en","Maplink2")</f>
        <v>Maplink2</v>
      </c>
      <c r="AV1538" s="12" t="str">
        <f>HYPERLINK("http://www.bing.com/maps/?lvl=14&amp;sty=h&amp;cp=32.5529~44.0794&amp;sp=point.32.5529_44.0794","Maplink3")</f>
        <v>Maplink3</v>
      </c>
    </row>
    <row r="1539" spans="1:48" ht="15" customHeight="1" x14ac:dyDescent="0.25">
      <c r="A1539" s="19">
        <v>25975</v>
      </c>
      <c r="B1539" s="20" t="s">
        <v>16</v>
      </c>
      <c r="C1539" s="20" t="s">
        <v>2855</v>
      </c>
      <c r="D1539" s="20" t="s">
        <v>2886</v>
      </c>
      <c r="E1539" s="20" t="s">
        <v>2887</v>
      </c>
      <c r="F1539" s="20">
        <v>32.524595179999999</v>
      </c>
      <c r="G1539" s="20">
        <v>44.10406038</v>
      </c>
      <c r="H1539" s="22">
        <v>135</v>
      </c>
      <c r="I1539" s="22">
        <v>810</v>
      </c>
      <c r="J1539" s="21"/>
      <c r="K1539" s="21"/>
      <c r="L1539" s="21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>
        <v>135</v>
      </c>
      <c r="W1539" s="21"/>
      <c r="X1539" s="21"/>
      <c r="Y1539" s="21"/>
      <c r="Z1539" s="21"/>
      <c r="AA1539" s="21"/>
      <c r="AB1539" s="21">
        <v>135</v>
      </c>
      <c r="AC1539" s="21"/>
      <c r="AD1539" s="21"/>
      <c r="AE1539" s="21"/>
      <c r="AF1539" s="21"/>
      <c r="AG1539" s="21"/>
      <c r="AH1539" s="21"/>
      <c r="AI1539" s="21"/>
      <c r="AJ1539" s="21"/>
      <c r="AK1539" s="21"/>
      <c r="AL1539" s="21"/>
      <c r="AM1539" s="21">
        <v>135</v>
      </c>
      <c r="AN1539" s="21"/>
      <c r="AO1539" s="21"/>
      <c r="AP1539" s="21"/>
      <c r="AQ1539" s="21"/>
      <c r="AR1539" s="21"/>
      <c r="AS1539" s="21"/>
      <c r="AT1539" s="12" t="str">
        <f>HYPERLINK("http://www.openstreetmap.org/?mlat=32.5246&amp;mlon=44.1041&amp;zoom=12#map=12/32.5246/44.1041","Maplink1")</f>
        <v>Maplink1</v>
      </c>
      <c r="AU1539" s="12" t="str">
        <f>HYPERLINK("https://www.google.iq/maps/search/+32.5246,44.1041/@32.5246,44.1041,14z?hl=en","Maplink2")</f>
        <v>Maplink2</v>
      </c>
      <c r="AV1539" s="12" t="str">
        <f>HYPERLINK("http://www.bing.com/maps/?lvl=14&amp;sty=h&amp;cp=32.5246~44.1041&amp;sp=point.32.5246_44.1041","Maplink3")</f>
        <v>Maplink3</v>
      </c>
    </row>
    <row r="1540" spans="1:48" ht="15" customHeight="1" x14ac:dyDescent="0.25">
      <c r="A1540" s="19">
        <v>13802</v>
      </c>
      <c r="B1540" s="20" t="s">
        <v>16</v>
      </c>
      <c r="C1540" s="20" t="s">
        <v>2855</v>
      </c>
      <c r="D1540" s="20" t="s">
        <v>2888</v>
      </c>
      <c r="E1540" s="20" t="s">
        <v>2889</v>
      </c>
      <c r="F1540" s="20">
        <v>32.54478366</v>
      </c>
      <c r="G1540" s="20">
        <v>44.220748290000003</v>
      </c>
      <c r="H1540" s="22">
        <v>3</v>
      </c>
      <c r="I1540" s="22">
        <v>18</v>
      </c>
      <c r="J1540" s="21"/>
      <c r="K1540" s="21"/>
      <c r="L1540" s="21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>
        <v>3</v>
      </c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21"/>
      <c r="AH1540" s="21">
        <v>3</v>
      </c>
      <c r="AI1540" s="21"/>
      <c r="AJ1540" s="21"/>
      <c r="AK1540" s="21"/>
      <c r="AL1540" s="21"/>
      <c r="AM1540" s="21">
        <v>3</v>
      </c>
      <c r="AN1540" s="21"/>
      <c r="AO1540" s="21"/>
      <c r="AP1540" s="21"/>
      <c r="AQ1540" s="21"/>
      <c r="AR1540" s="21"/>
      <c r="AS1540" s="21"/>
      <c r="AT1540" s="12" t="str">
        <f>HYPERLINK("http://www.openstreetmap.org/?mlat=32.5448&amp;mlon=44.2207&amp;zoom=12#map=12/32.5448/44.2207","Maplink1")</f>
        <v>Maplink1</v>
      </c>
      <c r="AU1540" s="12" t="str">
        <f>HYPERLINK("https://www.google.iq/maps/search/+32.5448,44.2207/@32.5448,44.2207,14z?hl=en","Maplink2")</f>
        <v>Maplink2</v>
      </c>
      <c r="AV1540" s="12" t="str">
        <f>HYPERLINK("http://www.bing.com/maps/?lvl=14&amp;sty=h&amp;cp=32.5448~44.2207&amp;sp=point.32.5448_44.2207","Maplink3")</f>
        <v>Maplink3</v>
      </c>
    </row>
    <row r="1541" spans="1:48" ht="15" customHeight="1" x14ac:dyDescent="0.25">
      <c r="A1541" s="19">
        <v>25265</v>
      </c>
      <c r="B1541" s="20" t="s">
        <v>16</v>
      </c>
      <c r="C1541" s="20" t="s">
        <v>16</v>
      </c>
      <c r="D1541" s="20" t="s">
        <v>2890</v>
      </c>
      <c r="E1541" s="20" t="s">
        <v>2891</v>
      </c>
      <c r="F1541" s="20">
        <v>32.605538840000001</v>
      </c>
      <c r="G1541" s="20">
        <v>44.052206579999996</v>
      </c>
      <c r="H1541" s="22">
        <v>14</v>
      </c>
      <c r="I1541" s="22">
        <v>84</v>
      </c>
      <c r="J1541" s="21"/>
      <c r="K1541" s="21"/>
      <c r="L1541" s="21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>
        <v>14</v>
      </c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21"/>
      <c r="AH1541" s="21">
        <v>14</v>
      </c>
      <c r="AI1541" s="21"/>
      <c r="AJ1541" s="21"/>
      <c r="AK1541" s="21"/>
      <c r="AL1541" s="21"/>
      <c r="AM1541" s="21">
        <v>14</v>
      </c>
      <c r="AN1541" s="21"/>
      <c r="AO1541" s="21"/>
      <c r="AP1541" s="21"/>
      <c r="AQ1541" s="21"/>
      <c r="AR1541" s="21"/>
      <c r="AS1541" s="21"/>
      <c r="AT1541" s="12" t="str">
        <f>HYPERLINK("http://www.openstreetmap.org/?mlat=32.6055&amp;mlon=44.0522&amp;zoom=12#map=12/32.6055/44.0522","Maplink1")</f>
        <v>Maplink1</v>
      </c>
      <c r="AU1541" s="12" t="str">
        <f>HYPERLINK("https://www.google.iq/maps/search/+32.6055,44.0522/@32.6055,44.0522,14z?hl=en","Maplink2")</f>
        <v>Maplink2</v>
      </c>
      <c r="AV1541" s="12" t="str">
        <f>HYPERLINK("http://www.bing.com/maps/?lvl=14&amp;sty=h&amp;cp=32.6055~44.0522&amp;sp=point.32.6055_44.0522","Maplink3")</f>
        <v>Maplink3</v>
      </c>
    </row>
    <row r="1542" spans="1:48" ht="15" customHeight="1" x14ac:dyDescent="0.25">
      <c r="A1542" s="19">
        <v>25903</v>
      </c>
      <c r="B1542" s="20" t="s">
        <v>16</v>
      </c>
      <c r="C1542" s="20" t="s">
        <v>16</v>
      </c>
      <c r="D1542" s="20" t="s">
        <v>2892</v>
      </c>
      <c r="E1542" s="20" t="s">
        <v>2893</v>
      </c>
      <c r="F1542" s="20">
        <v>32.702600070000003</v>
      </c>
      <c r="G1542" s="20">
        <v>44.163318959999998</v>
      </c>
      <c r="H1542" s="22">
        <v>14</v>
      </c>
      <c r="I1542" s="22">
        <v>84</v>
      </c>
      <c r="J1542" s="21"/>
      <c r="K1542" s="21">
        <v>4</v>
      </c>
      <c r="L1542" s="21">
        <v>10</v>
      </c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21"/>
      <c r="AH1542" s="21">
        <v>14</v>
      </c>
      <c r="AI1542" s="21"/>
      <c r="AJ1542" s="21"/>
      <c r="AK1542" s="21"/>
      <c r="AL1542" s="21">
        <v>4</v>
      </c>
      <c r="AM1542" s="21">
        <v>10</v>
      </c>
      <c r="AN1542" s="21"/>
      <c r="AO1542" s="21"/>
      <c r="AP1542" s="21"/>
      <c r="AQ1542" s="21"/>
      <c r="AR1542" s="21"/>
      <c r="AS1542" s="21"/>
      <c r="AT1542" s="12" t="str">
        <f>HYPERLINK("http://www.openstreetmap.org/?mlat=32.7026&amp;mlon=44.1633&amp;zoom=12#map=12/32.7026/44.1633","Maplink1")</f>
        <v>Maplink1</v>
      </c>
      <c r="AU1542" s="12" t="str">
        <f>HYPERLINK("https://www.google.iq/maps/search/+32.7026,44.1633/@32.7026,44.1633,14z?hl=en","Maplink2")</f>
        <v>Maplink2</v>
      </c>
      <c r="AV1542" s="12" t="str">
        <f>HYPERLINK("http://www.bing.com/maps/?lvl=14&amp;sty=h&amp;cp=32.7026~44.1633&amp;sp=point.32.7026_44.1633","Maplink3")</f>
        <v>Maplink3</v>
      </c>
    </row>
    <row r="1543" spans="1:48" ht="15" customHeight="1" x14ac:dyDescent="0.25">
      <c r="A1543" s="19">
        <v>24743</v>
      </c>
      <c r="B1543" s="20" t="s">
        <v>16</v>
      </c>
      <c r="C1543" s="20" t="s">
        <v>16</v>
      </c>
      <c r="D1543" s="20" t="s">
        <v>2894</v>
      </c>
      <c r="E1543" s="20" t="s">
        <v>2895</v>
      </c>
      <c r="F1543" s="20">
        <v>32.624132586999998</v>
      </c>
      <c r="G1543" s="20">
        <v>44.032670318100003</v>
      </c>
      <c r="H1543" s="22">
        <v>30</v>
      </c>
      <c r="I1543" s="22">
        <v>180</v>
      </c>
      <c r="J1543" s="21"/>
      <c r="K1543" s="21"/>
      <c r="L1543" s="21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>
        <v>30</v>
      </c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21"/>
      <c r="AH1543" s="21">
        <v>30</v>
      </c>
      <c r="AI1543" s="21"/>
      <c r="AJ1543" s="21"/>
      <c r="AK1543" s="21"/>
      <c r="AL1543" s="21"/>
      <c r="AM1543" s="21">
        <v>30</v>
      </c>
      <c r="AN1543" s="21"/>
      <c r="AO1543" s="21"/>
      <c r="AP1543" s="21"/>
      <c r="AQ1543" s="21"/>
      <c r="AR1543" s="21"/>
      <c r="AS1543" s="21"/>
      <c r="AT1543" s="12" t="str">
        <f>HYPERLINK("http://www.openstreetmap.org/?mlat=32.6241&amp;mlon=44.0327&amp;zoom=12#map=12/32.6241/44.0327","Maplink1")</f>
        <v>Maplink1</v>
      </c>
      <c r="AU1543" s="12" t="str">
        <f>HYPERLINK("https://www.google.iq/maps/search/+32.6241,44.0327/@32.6241,44.0327,14z?hl=en","Maplink2")</f>
        <v>Maplink2</v>
      </c>
      <c r="AV1543" s="12" t="str">
        <f>HYPERLINK("http://www.bing.com/maps/?lvl=14&amp;sty=h&amp;cp=32.6241~44.0327&amp;sp=point.32.6241_44.0327","Maplink3")</f>
        <v>Maplink3</v>
      </c>
    </row>
    <row r="1544" spans="1:48" ht="15" customHeight="1" x14ac:dyDescent="0.25">
      <c r="A1544" s="19">
        <v>25955</v>
      </c>
      <c r="B1544" s="20" t="s">
        <v>16</v>
      </c>
      <c r="C1544" s="20" t="s">
        <v>16</v>
      </c>
      <c r="D1544" s="20" t="s">
        <v>2896</v>
      </c>
      <c r="E1544" s="20" t="s">
        <v>2897</v>
      </c>
      <c r="F1544" s="20">
        <v>32.647012809800003</v>
      </c>
      <c r="G1544" s="20">
        <v>44.143662047500001</v>
      </c>
      <c r="H1544" s="22">
        <v>7</v>
      </c>
      <c r="I1544" s="22">
        <v>42</v>
      </c>
      <c r="J1544" s="21"/>
      <c r="K1544" s="21">
        <v>1</v>
      </c>
      <c r="L1544" s="21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>
        <v>6</v>
      </c>
      <c r="W1544" s="21"/>
      <c r="X1544" s="21"/>
      <c r="Y1544" s="21"/>
      <c r="Z1544" s="21"/>
      <c r="AA1544" s="21"/>
      <c r="AB1544" s="21"/>
      <c r="AC1544" s="21">
        <v>3</v>
      </c>
      <c r="AD1544" s="21"/>
      <c r="AE1544" s="21"/>
      <c r="AF1544" s="21"/>
      <c r="AG1544" s="21"/>
      <c r="AH1544" s="21">
        <v>4</v>
      </c>
      <c r="AI1544" s="21"/>
      <c r="AJ1544" s="21"/>
      <c r="AK1544" s="21"/>
      <c r="AL1544" s="21">
        <v>1</v>
      </c>
      <c r="AM1544" s="21">
        <v>6</v>
      </c>
      <c r="AN1544" s="21"/>
      <c r="AO1544" s="21"/>
      <c r="AP1544" s="21"/>
      <c r="AQ1544" s="21"/>
      <c r="AR1544" s="21"/>
      <c r="AS1544" s="21"/>
      <c r="AT1544" s="12" t="str">
        <f>HYPERLINK("http://www.openstreetmap.org/?mlat=32.647&amp;mlon=44.1437&amp;zoom=12#map=12/32.647/44.1437","Maplink1")</f>
        <v>Maplink1</v>
      </c>
      <c r="AU1544" s="12" t="str">
        <f>HYPERLINK("https://www.google.iq/maps/search/+32.647,44.1437/@32.647,44.1437,14z?hl=en","Maplink2")</f>
        <v>Maplink2</v>
      </c>
      <c r="AV1544" s="12" t="str">
        <f>HYPERLINK("http://www.bing.com/maps/?lvl=14&amp;sty=h&amp;cp=32.647~44.1437&amp;sp=point.32.647_44.1437","Maplink3")</f>
        <v>Maplink3</v>
      </c>
    </row>
    <row r="1545" spans="1:48" ht="15" customHeight="1" x14ac:dyDescent="0.25">
      <c r="A1545" s="19">
        <v>25550</v>
      </c>
      <c r="B1545" s="20" t="s">
        <v>16</v>
      </c>
      <c r="C1545" s="20" t="s">
        <v>16</v>
      </c>
      <c r="D1545" s="20" t="s">
        <v>2898</v>
      </c>
      <c r="E1545" s="20" t="s">
        <v>2899</v>
      </c>
      <c r="F1545" s="20">
        <v>32.635147490000001</v>
      </c>
      <c r="G1545" s="20">
        <v>43.985295180000001</v>
      </c>
      <c r="H1545" s="22">
        <v>10</v>
      </c>
      <c r="I1545" s="22">
        <v>60</v>
      </c>
      <c r="J1545" s="21"/>
      <c r="K1545" s="21"/>
      <c r="L1545" s="21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>
        <v>10</v>
      </c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21"/>
      <c r="AH1545" s="21">
        <v>10</v>
      </c>
      <c r="AI1545" s="21"/>
      <c r="AJ1545" s="21"/>
      <c r="AK1545" s="21"/>
      <c r="AL1545" s="21"/>
      <c r="AM1545" s="21">
        <v>10</v>
      </c>
      <c r="AN1545" s="21"/>
      <c r="AO1545" s="21"/>
      <c r="AP1545" s="21"/>
      <c r="AQ1545" s="21"/>
      <c r="AR1545" s="21"/>
      <c r="AS1545" s="21"/>
      <c r="AT1545" s="12" t="str">
        <f>HYPERLINK("http://www.openstreetmap.org/?mlat=32.6351&amp;mlon=43.9853&amp;zoom=12#map=12/32.6351/43.9853","Maplink1")</f>
        <v>Maplink1</v>
      </c>
      <c r="AU1545" s="12" t="str">
        <f>HYPERLINK("https://www.google.iq/maps/search/+32.6351,43.9853/@32.6351,43.9853,14z?hl=en","Maplink2")</f>
        <v>Maplink2</v>
      </c>
      <c r="AV1545" s="12" t="str">
        <f>HYPERLINK("http://www.bing.com/maps/?lvl=14&amp;sty=h&amp;cp=32.6351~43.9853&amp;sp=point.32.6351_43.9853","Maplink3")</f>
        <v>Maplink3</v>
      </c>
    </row>
    <row r="1546" spans="1:48" ht="15" customHeight="1" x14ac:dyDescent="0.25">
      <c r="A1546" s="19">
        <v>25270</v>
      </c>
      <c r="B1546" s="20" t="s">
        <v>16</v>
      </c>
      <c r="C1546" s="20" t="s">
        <v>16</v>
      </c>
      <c r="D1546" s="20" t="s">
        <v>2900</v>
      </c>
      <c r="E1546" s="20" t="s">
        <v>2901</v>
      </c>
      <c r="F1546" s="20">
        <v>32.580798690000002</v>
      </c>
      <c r="G1546" s="20">
        <v>44.02606359</v>
      </c>
      <c r="H1546" s="22">
        <v>8</v>
      </c>
      <c r="I1546" s="22">
        <v>48</v>
      </c>
      <c r="J1546" s="21">
        <v>3</v>
      </c>
      <c r="K1546" s="21"/>
      <c r="L1546" s="21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>
        <v>5</v>
      </c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21"/>
      <c r="AH1546" s="21">
        <v>8</v>
      </c>
      <c r="AI1546" s="21"/>
      <c r="AJ1546" s="21"/>
      <c r="AK1546" s="21"/>
      <c r="AL1546" s="21">
        <v>3</v>
      </c>
      <c r="AM1546" s="21">
        <v>5</v>
      </c>
      <c r="AN1546" s="21"/>
      <c r="AO1546" s="21"/>
      <c r="AP1546" s="21"/>
      <c r="AQ1546" s="21"/>
      <c r="AR1546" s="21"/>
      <c r="AS1546" s="21"/>
      <c r="AT1546" s="12" t="str">
        <f>HYPERLINK("http://www.openstreetmap.org/?mlat=32.5808&amp;mlon=44.0261&amp;zoom=12#map=12/32.5808/44.0261","Maplink1")</f>
        <v>Maplink1</v>
      </c>
      <c r="AU1546" s="12" t="str">
        <f>HYPERLINK("https://www.google.iq/maps/search/+32.5808,44.0261/@32.5808,44.0261,14z?hl=en","Maplink2")</f>
        <v>Maplink2</v>
      </c>
      <c r="AV1546" s="12" t="str">
        <f>HYPERLINK("http://www.bing.com/maps/?lvl=14&amp;sty=h&amp;cp=32.5808~44.0261&amp;sp=point.32.5808_44.0261","Maplink3")</f>
        <v>Maplink3</v>
      </c>
    </row>
    <row r="1547" spans="1:48" ht="15" customHeight="1" x14ac:dyDescent="0.25">
      <c r="A1547" s="19">
        <v>13769</v>
      </c>
      <c r="B1547" s="20" t="s">
        <v>16</v>
      </c>
      <c r="C1547" s="20" t="s">
        <v>16</v>
      </c>
      <c r="D1547" s="20" t="s">
        <v>2902</v>
      </c>
      <c r="E1547" s="20" t="s">
        <v>2903</v>
      </c>
      <c r="F1547" s="20">
        <v>32.687086999999998</v>
      </c>
      <c r="G1547" s="20">
        <v>44.110726</v>
      </c>
      <c r="H1547" s="22">
        <v>15</v>
      </c>
      <c r="I1547" s="22">
        <v>90</v>
      </c>
      <c r="J1547" s="21"/>
      <c r="K1547" s="21"/>
      <c r="L1547" s="21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>
        <v>15</v>
      </c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21"/>
      <c r="AH1547" s="21">
        <v>15</v>
      </c>
      <c r="AI1547" s="21"/>
      <c r="AJ1547" s="21"/>
      <c r="AK1547" s="21"/>
      <c r="AL1547" s="21"/>
      <c r="AM1547" s="21">
        <v>15</v>
      </c>
      <c r="AN1547" s="21"/>
      <c r="AO1547" s="21"/>
      <c r="AP1547" s="21"/>
      <c r="AQ1547" s="21"/>
      <c r="AR1547" s="21"/>
      <c r="AS1547" s="21"/>
      <c r="AT1547" s="12" t="str">
        <f>HYPERLINK("http://www.openstreetmap.org/?mlat=32.6871&amp;mlon=44.1107&amp;zoom=12#map=12/32.6871/44.1107","Maplink1")</f>
        <v>Maplink1</v>
      </c>
      <c r="AU1547" s="12" t="str">
        <f>HYPERLINK("https://www.google.iq/maps/search/+32.6871,44.1107/@32.6871,44.1107,14z?hl=en","Maplink2")</f>
        <v>Maplink2</v>
      </c>
      <c r="AV1547" s="12" t="str">
        <f>HYPERLINK("http://www.bing.com/maps/?lvl=14&amp;sty=h&amp;cp=32.6871~44.1107&amp;sp=point.32.6871_44.1107","Maplink3")</f>
        <v>Maplink3</v>
      </c>
    </row>
    <row r="1548" spans="1:48" ht="15" customHeight="1" x14ac:dyDescent="0.25">
      <c r="A1548" s="19">
        <v>25885</v>
      </c>
      <c r="B1548" s="20" t="s">
        <v>16</v>
      </c>
      <c r="C1548" s="20" t="s">
        <v>16</v>
      </c>
      <c r="D1548" s="20" t="s">
        <v>2904</v>
      </c>
      <c r="E1548" s="20" t="s">
        <v>2905</v>
      </c>
      <c r="F1548" s="20">
        <v>32.641789520000003</v>
      </c>
      <c r="G1548" s="20">
        <v>43.992203549999999</v>
      </c>
      <c r="H1548" s="22">
        <v>6</v>
      </c>
      <c r="I1548" s="22">
        <v>36</v>
      </c>
      <c r="J1548" s="21">
        <v>1</v>
      </c>
      <c r="K1548" s="21"/>
      <c r="L1548" s="21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>
        <v>5</v>
      </c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21"/>
      <c r="AH1548" s="21">
        <v>6</v>
      </c>
      <c r="AI1548" s="21"/>
      <c r="AJ1548" s="21"/>
      <c r="AK1548" s="21"/>
      <c r="AL1548" s="21">
        <v>1</v>
      </c>
      <c r="AM1548" s="21">
        <v>5</v>
      </c>
      <c r="AN1548" s="21"/>
      <c r="AO1548" s="21"/>
      <c r="AP1548" s="21"/>
      <c r="AQ1548" s="21"/>
      <c r="AR1548" s="21"/>
      <c r="AS1548" s="21"/>
      <c r="AT1548" s="12" t="str">
        <f>HYPERLINK("http://www.openstreetmap.org/?mlat=32.6418&amp;mlon=43.9922&amp;zoom=12#map=12/32.6418/43.9922","Maplink1")</f>
        <v>Maplink1</v>
      </c>
      <c r="AU1548" s="12" t="str">
        <f>HYPERLINK("https://www.google.iq/maps/search/+32.6418,43.9922/@32.6418,43.9922,14z?hl=en","Maplink2")</f>
        <v>Maplink2</v>
      </c>
      <c r="AV1548" s="12" t="str">
        <f>HYPERLINK("http://www.bing.com/maps/?lvl=14&amp;sty=h&amp;cp=32.6418~43.9922&amp;sp=point.32.6418_43.9922","Maplink3")</f>
        <v>Maplink3</v>
      </c>
    </row>
    <row r="1549" spans="1:48" ht="15" customHeight="1" x14ac:dyDescent="0.25">
      <c r="A1549" s="19">
        <v>26060</v>
      </c>
      <c r="B1549" s="20" t="s">
        <v>16</v>
      </c>
      <c r="C1549" s="20" t="s">
        <v>16</v>
      </c>
      <c r="D1549" s="20" t="s">
        <v>2906</v>
      </c>
      <c r="E1549" s="20" t="s">
        <v>2907</v>
      </c>
      <c r="F1549" s="20">
        <v>32.657003809999999</v>
      </c>
      <c r="G1549" s="20">
        <v>44.058609680000004</v>
      </c>
      <c r="H1549" s="22">
        <v>30</v>
      </c>
      <c r="I1549" s="22">
        <v>180</v>
      </c>
      <c r="J1549" s="21"/>
      <c r="K1549" s="21"/>
      <c r="L1549" s="21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>
        <v>30</v>
      </c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>
        <v>13</v>
      </c>
      <c r="AG1549" s="21"/>
      <c r="AH1549" s="21">
        <v>17</v>
      </c>
      <c r="AI1549" s="21"/>
      <c r="AJ1549" s="21"/>
      <c r="AK1549" s="21"/>
      <c r="AL1549" s="21"/>
      <c r="AM1549" s="21">
        <v>30</v>
      </c>
      <c r="AN1549" s="21"/>
      <c r="AO1549" s="21"/>
      <c r="AP1549" s="21"/>
      <c r="AQ1549" s="21"/>
      <c r="AR1549" s="21"/>
      <c r="AS1549" s="21"/>
      <c r="AT1549" s="12" t="str">
        <f>HYPERLINK("http://www.openstreetmap.org/?mlat=32.657&amp;mlon=44.0586&amp;zoom=12#map=12/32.657/44.0586","Maplink1")</f>
        <v>Maplink1</v>
      </c>
      <c r="AU1549" s="12" t="str">
        <f>HYPERLINK("https://www.google.iq/maps/search/+32.657,44.0586/@32.657,44.0586,14z?hl=en","Maplink2")</f>
        <v>Maplink2</v>
      </c>
      <c r="AV1549" s="12" t="str">
        <f>HYPERLINK("http://www.bing.com/maps/?lvl=14&amp;sty=h&amp;cp=32.657~44.0586&amp;sp=point.32.657_44.0586","Maplink3")</f>
        <v>Maplink3</v>
      </c>
    </row>
    <row r="1550" spans="1:48" ht="15" customHeight="1" x14ac:dyDescent="0.25">
      <c r="A1550" s="19">
        <v>24679</v>
      </c>
      <c r="B1550" s="20" t="s">
        <v>16</v>
      </c>
      <c r="C1550" s="20" t="s">
        <v>16</v>
      </c>
      <c r="D1550" s="20" t="s">
        <v>2908</v>
      </c>
      <c r="E1550" s="20" t="s">
        <v>2909</v>
      </c>
      <c r="F1550" s="20">
        <v>32.600288579999997</v>
      </c>
      <c r="G1550" s="20">
        <v>44.035685260000001</v>
      </c>
      <c r="H1550" s="22">
        <v>9</v>
      </c>
      <c r="I1550" s="22">
        <v>54</v>
      </c>
      <c r="J1550" s="21">
        <v>4</v>
      </c>
      <c r="K1550" s="21"/>
      <c r="L1550" s="21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>
        <v>5</v>
      </c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21"/>
      <c r="AH1550" s="21">
        <v>9</v>
      </c>
      <c r="AI1550" s="21"/>
      <c r="AJ1550" s="21"/>
      <c r="AK1550" s="21"/>
      <c r="AL1550" s="21">
        <v>4</v>
      </c>
      <c r="AM1550" s="21">
        <v>5</v>
      </c>
      <c r="AN1550" s="21"/>
      <c r="AO1550" s="21"/>
      <c r="AP1550" s="21"/>
      <c r="AQ1550" s="21"/>
      <c r="AR1550" s="21"/>
      <c r="AS1550" s="21"/>
      <c r="AT1550" s="12" t="str">
        <f>HYPERLINK("http://www.openstreetmap.org/?mlat=32.6003&amp;mlon=44.0357&amp;zoom=12#map=12/32.6003/44.0357","Maplink1")</f>
        <v>Maplink1</v>
      </c>
      <c r="AU1550" s="12" t="str">
        <f>HYPERLINK("https://www.google.iq/maps/search/+32.6003,44.0357/@32.6003,44.0357,14z?hl=en","Maplink2")</f>
        <v>Maplink2</v>
      </c>
      <c r="AV1550" s="12" t="str">
        <f>HYPERLINK("http://www.bing.com/maps/?lvl=14&amp;sty=h&amp;cp=32.6003~44.0357&amp;sp=point.32.6003_44.0357","Maplink3")</f>
        <v>Maplink3</v>
      </c>
    </row>
    <row r="1551" spans="1:48" ht="15" customHeight="1" x14ac:dyDescent="0.25">
      <c r="A1551" s="19">
        <v>25852</v>
      </c>
      <c r="B1551" s="20" t="s">
        <v>16</v>
      </c>
      <c r="C1551" s="20" t="s">
        <v>16</v>
      </c>
      <c r="D1551" s="20" t="s">
        <v>5762</v>
      </c>
      <c r="E1551" s="20" t="s">
        <v>5763</v>
      </c>
      <c r="F1551" s="20">
        <v>32.648136010000002</v>
      </c>
      <c r="G1551" s="20">
        <v>44.168360730000003</v>
      </c>
      <c r="H1551" s="22">
        <v>4</v>
      </c>
      <c r="I1551" s="22">
        <v>24</v>
      </c>
      <c r="J1551" s="21"/>
      <c r="K1551" s="21">
        <v>2</v>
      </c>
      <c r="L1551" s="21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>
        <v>2</v>
      </c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21"/>
      <c r="AH1551" s="21">
        <v>4</v>
      </c>
      <c r="AI1551" s="21"/>
      <c r="AJ1551" s="21"/>
      <c r="AK1551" s="21"/>
      <c r="AL1551" s="21">
        <v>2</v>
      </c>
      <c r="AM1551" s="21">
        <v>2</v>
      </c>
      <c r="AN1551" s="21"/>
      <c r="AO1551" s="21"/>
      <c r="AP1551" s="21"/>
      <c r="AQ1551" s="21"/>
      <c r="AR1551" s="21"/>
      <c r="AS1551" s="21"/>
      <c r="AT1551" s="12" t="str">
        <f>HYPERLINK("http://www.openstreetmap.org/?mlat=32.6481&amp;mlon=44.1684&amp;zoom=12#map=12/32.6481/44.1684","Maplink1")</f>
        <v>Maplink1</v>
      </c>
      <c r="AU1551" s="12" t="str">
        <f>HYPERLINK("https://www.google.iq/maps/search/+32.6481,44.1684/@32.6481,44.1684,14z?hl=en","Maplink2")</f>
        <v>Maplink2</v>
      </c>
      <c r="AV1551" s="12" t="str">
        <f>HYPERLINK("http://www.bing.com/maps/?lvl=14&amp;sty=h&amp;cp=32.6481~44.1684&amp;sp=point.32.6481_44.1684","Maplink3")</f>
        <v>Maplink3</v>
      </c>
    </row>
    <row r="1552" spans="1:48" ht="15" customHeight="1" x14ac:dyDescent="0.25">
      <c r="A1552" s="19">
        <v>25490</v>
      </c>
      <c r="B1552" s="20" t="s">
        <v>16</v>
      </c>
      <c r="C1552" s="20" t="s">
        <v>16</v>
      </c>
      <c r="D1552" s="20" t="s">
        <v>2910</v>
      </c>
      <c r="E1552" s="20" t="s">
        <v>2911</v>
      </c>
      <c r="F1552" s="20">
        <v>32.614912330000003</v>
      </c>
      <c r="G1552" s="20">
        <v>43.985229560000001</v>
      </c>
      <c r="H1552" s="22">
        <v>9</v>
      </c>
      <c r="I1552" s="22">
        <v>54</v>
      </c>
      <c r="J1552" s="21"/>
      <c r="K1552" s="21"/>
      <c r="L1552" s="21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>
        <v>9</v>
      </c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21"/>
      <c r="AH1552" s="21">
        <v>9</v>
      </c>
      <c r="AI1552" s="21"/>
      <c r="AJ1552" s="21"/>
      <c r="AK1552" s="21"/>
      <c r="AL1552" s="21"/>
      <c r="AM1552" s="21">
        <v>9</v>
      </c>
      <c r="AN1552" s="21"/>
      <c r="AO1552" s="21"/>
      <c r="AP1552" s="21"/>
      <c r="AQ1552" s="21"/>
      <c r="AR1552" s="21"/>
      <c r="AS1552" s="21"/>
      <c r="AT1552" s="12" t="str">
        <f>HYPERLINK("http://www.openstreetmap.org/?mlat=32.6149&amp;mlon=43.9852&amp;zoom=12#map=12/32.6149/43.9852","Maplink1")</f>
        <v>Maplink1</v>
      </c>
      <c r="AU1552" s="12" t="str">
        <f>HYPERLINK("https://www.google.iq/maps/search/+32.6149,43.9852/@32.6149,43.9852,14z?hl=en","Maplink2")</f>
        <v>Maplink2</v>
      </c>
      <c r="AV1552" s="12" t="str">
        <f>HYPERLINK("http://www.bing.com/maps/?lvl=14&amp;sty=h&amp;cp=32.6149~43.9852&amp;sp=point.32.6149_43.9852","Maplink3")</f>
        <v>Maplink3</v>
      </c>
    </row>
    <row r="1553" spans="1:48" ht="15" customHeight="1" x14ac:dyDescent="0.25">
      <c r="A1553" s="19">
        <v>25477</v>
      </c>
      <c r="B1553" s="20" t="s">
        <v>16</v>
      </c>
      <c r="C1553" s="20" t="s">
        <v>16</v>
      </c>
      <c r="D1553" s="20" t="s">
        <v>2912</v>
      </c>
      <c r="E1553" s="20" t="s">
        <v>2913</v>
      </c>
      <c r="F1553" s="20">
        <v>32.620296269999997</v>
      </c>
      <c r="G1553" s="20">
        <v>43.976755199999999</v>
      </c>
      <c r="H1553" s="22">
        <v>8</v>
      </c>
      <c r="I1553" s="22">
        <v>48</v>
      </c>
      <c r="J1553" s="21"/>
      <c r="K1553" s="21"/>
      <c r="L1553" s="21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>
        <v>8</v>
      </c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21"/>
      <c r="AH1553" s="21">
        <v>8</v>
      </c>
      <c r="AI1553" s="21"/>
      <c r="AJ1553" s="21"/>
      <c r="AK1553" s="21"/>
      <c r="AL1553" s="21"/>
      <c r="AM1553" s="21">
        <v>8</v>
      </c>
      <c r="AN1553" s="21"/>
      <c r="AO1553" s="21"/>
      <c r="AP1553" s="21"/>
      <c r="AQ1553" s="21"/>
      <c r="AR1553" s="21"/>
      <c r="AS1553" s="21"/>
      <c r="AT1553" s="12" t="str">
        <f>HYPERLINK("http://www.openstreetmap.org/?mlat=32.6203&amp;mlon=43.9768&amp;zoom=12#map=12/32.6203/43.9768","Maplink1")</f>
        <v>Maplink1</v>
      </c>
      <c r="AU1553" s="12" t="str">
        <f>HYPERLINK("https://www.google.iq/maps/search/+32.6203,43.9768/@32.6203,43.9768,14z?hl=en","Maplink2")</f>
        <v>Maplink2</v>
      </c>
      <c r="AV1553" s="12" t="str">
        <f>HYPERLINK("http://www.bing.com/maps/?lvl=14&amp;sty=h&amp;cp=32.6203~43.9768&amp;sp=point.32.6203_43.9768","Maplink3")</f>
        <v>Maplink3</v>
      </c>
    </row>
    <row r="1554" spans="1:48" ht="15" customHeight="1" x14ac:dyDescent="0.25">
      <c r="A1554" s="19">
        <v>25476</v>
      </c>
      <c r="B1554" s="20" t="s">
        <v>16</v>
      </c>
      <c r="C1554" s="20" t="s">
        <v>16</v>
      </c>
      <c r="D1554" s="20" t="s">
        <v>2914</v>
      </c>
      <c r="E1554" s="20" t="s">
        <v>2915</v>
      </c>
      <c r="F1554" s="20">
        <v>32.624259215999999</v>
      </c>
      <c r="G1554" s="20">
        <v>43.973121002500001</v>
      </c>
      <c r="H1554" s="22">
        <v>11</v>
      </c>
      <c r="I1554" s="22">
        <v>66</v>
      </c>
      <c r="J1554" s="21"/>
      <c r="K1554" s="21"/>
      <c r="L1554" s="21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>
        <v>11</v>
      </c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21"/>
      <c r="AH1554" s="21">
        <v>11</v>
      </c>
      <c r="AI1554" s="21"/>
      <c r="AJ1554" s="21"/>
      <c r="AK1554" s="21"/>
      <c r="AL1554" s="21"/>
      <c r="AM1554" s="21">
        <v>11</v>
      </c>
      <c r="AN1554" s="21"/>
      <c r="AO1554" s="21"/>
      <c r="AP1554" s="21"/>
      <c r="AQ1554" s="21"/>
      <c r="AR1554" s="21"/>
      <c r="AS1554" s="21"/>
      <c r="AT1554" s="12" t="str">
        <f>HYPERLINK("http://www.openstreetmap.org/?mlat=32.6243&amp;mlon=43.9731&amp;zoom=12#map=12/32.6243/43.9731","Maplink1")</f>
        <v>Maplink1</v>
      </c>
      <c r="AU1554" s="12" t="str">
        <f>HYPERLINK("https://www.google.iq/maps/search/+32.6243,43.9731/@32.6243,43.9731,14z?hl=en","Maplink2")</f>
        <v>Maplink2</v>
      </c>
      <c r="AV1554" s="12" t="str">
        <f>HYPERLINK("http://www.bing.com/maps/?lvl=14&amp;sty=h&amp;cp=32.6243~43.9731&amp;sp=point.32.6243_43.9731","Maplink3")</f>
        <v>Maplink3</v>
      </c>
    </row>
    <row r="1555" spans="1:48" ht="15" customHeight="1" x14ac:dyDescent="0.25">
      <c r="A1555" s="19">
        <v>25475</v>
      </c>
      <c r="B1555" s="20" t="s">
        <v>16</v>
      </c>
      <c r="C1555" s="20" t="s">
        <v>16</v>
      </c>
      <c r="D1555" s="20" t="s">
        <v>2916</v>
      </c>
      <c r="E1555" s="20" t="s">
        <v>2917</v>
      </c>
      <c r="F1555" s="20">
        <v>32.624566378099999</v>
      </c>
      <c r="G1555" s="20">
        <v>43.9700078678</v>
      </c>
      <c r="H1555" s="22">
        <v>9</v>
      </c>
      <c r="I1555" s="22">
        <v>54</v>
      </c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>
        <v>9</v>
      </c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21"/>
      <c r="AH1555" s="21">
        <v>9</v>
      </c>
      <c r="AI1555" s="21"/>
      <c r="AJ1555" s="21"/>
      <c r="AK1555" s="21"/>
      <c r="AL1555" s="21"/>
      <c r="AM1555" s="21">
        <v>9</v>
      </c>
      <c r="AN1555" s="21"/>
      <c r="AO1555" s="21"/>
      <c r="AP1555" s="21"/>
      <c r="AQ1555" s="21"/>
      <c r="AR1555" s="21"/>
      <c r="AS1555" s="21"/>
      <c r="AT1555" s="12" t="str">
        <f>HYPERLINK("http://www.openstreetmap.org/?mlat=32.6246&amp;mlon=43.97&amp;zoom=12#map=12/32.6246/43.97","Maplink1")</f>
        <v>Maplink1</v>
      </c>
      <c r="AU1555" s="12" t="str">
        <f>HYPERLINK("https://www.google.iq/maps/search/+32.6246,43.97/@32.6246,43.97,14z?hl=en","Maplink2")</f>
        <v>Maplink2</v>
      </c>
      <c r="AV1555" s="12" t="str">
        <f>HYPERLINK("http://www.bing.com/maps/?lvl=14&amp;sty=h&amp;cp=32.6246~43.97&amp;sp=point.32.6246_43.97","Maplink3")</f>
        <v>Maplink3</v>
      </c>
    </row>
    <row r="1556" spans="1:48" ht="15" customHeight="1" x14ac:dyDescent="0.25">
      <c r="A1556" s="19">
        <v>25474</v>
      </c>
      <c r="B1556" s="20" t="s">
        <v>16</v>
      </c>
      <c r="C1556" s="20" t="s">
        <v>16</v>
      </c>
      <c r="D1556" s="20" t="s">
        <v>2918</v>
      </c>
      <c r="E1556" s="20" t="s">
        <v>2919</v>
      </c>
      <c r="F1556" s="20">
        <v>32.62561195</v>
      </c>
      <c r="G1556" s="20">
        <v>43.967267049999997</v>
      </c>
      <c r="H1556" s="22">
        <v>8</v>
      </c>
      <c r="I1556" s="22">
        <v>48</v>
      </c>
      <c r="J1556" s="21"/>
      <c r="K1556" s="21"/>
      <c r="L1556" s="21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>
        <v>5</v>
      </c>
      <c r="W1556" s="21"/>
      <c r="X1556" s="21">
        <v>3</v>
      </c>
      <c r="Y1556" s="21"/>
      <c r="Z1556" s="21"/>
      <c r="AA1556" s="21"/>
      <c r="AB1556" s="21"/>
      <c r="AC1556" s="21"/>
      <c r="AD1556" s="21"/>
      <c r="AE1556" s="21"/>
      <c r="AF1556" s="21"/>
      <c r="AG1556" s="21"/>
      <c r="AH1556" s="21">
        <v>8</v>
      </c>
      <c r="AI1556" s="21"/>
      <c r="AJ1556" s="21"/>
      <c r="AK1556" s="21"/>
      <c r="AL1556" s="21"/>
      <c r="AM1556" s="21">
        <v>8</v>
      </c>
      <c r="AN1556" s="21"/>
      <c r="AO1556" s="21"/>
      <c r="AP1556" s="21"/>
      <c r="AQ1556" s="21"/>
      <c r="AR1556" s="21"/>
      <c r="AS1556" s="21"/>
      <c r="AT1556" s="12" t="str">
        <f>HYPERLINK("http://www.openstreetmap.org/?mlat=32.6256&amp;mlon=43.9673&amp;zoom=12#map=12/32.6256/43.9673","Maplink1")</f>
        <v>Maplink1</v>
      </c>
      <c r="AU1556" s="12" t="str">
        <f>HYPERLINK("https://www.google.iq/maps/search/+32.6256,43.9673/@32.6256,43.9673,14z?hl=en","Maplink2")</f>
        <v>Maplink2</v>
      </c>
      <c r="AV1556" s="12" t="str">
        <f>HYPERLINK("http://www.bing.com/maps/?lvl=14&amp;sty=h&amp;cp=32.6256~43.9673&amp;sp=point.32.6256_43.9673","Maplink3")</f>
        <v>Maplink3</v>
      </c>
    </row>
    <row r="1557" spans="1:48" ht="15" customHeight="1" x14ac:dyDescent="0.25">
      <c r="A1557" s="19">
        <v>25491</v>
      </c>
      <c r="B1557" s="20" t="s">
        <v>16</v>
      </c>
      <c r="C1557" s="20" t="s">
        <v>16</v>
      </c>
      <c r="D1557" s="20" t="s">
        <v>2920</v>
      </c>
      <c r="E1557" s="20" t="s">
        <v>2921</v>
      </c>
      <c r="F1557" s="20">
        <v>32.61533026</v>
      </c>
      <c r="G1557" s="20">
        <v>43.980726900000001</v>
      </c>
      <c r="H1557" s="22">
        <v>13</v>
      </c>
      <c r="I1557" s="22">
        <v>78</v>
      </c>
      <c r="J1557" s="21"/>
      <c r="K1557" s="21"/>
      <c r="L1557" s="21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>
        <v>13</v>
      </c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21"/>
      <c r="AH1557" s="21">
        <v>13</v>
      </c>
      <c r="AI1557" s="21"/>
      <c r="AJ1557" s="21"/>
      <c r="AK1557" s="21"/>
      <c r="AL1557" s="21"/>
      <c r="AM1557" s="21">
        <v>13</v>
      </c>
      <c r="AN1557" s="21"/>
      <c r="AO1557" s="21"/>
      <c r="AP1557" s="21"/>
      <c r="AQ1557" s="21"/>
      <c r="AR1557" s="21"/>
      <c r="AS1557" s="21"/>
      <c r="AT1557" s="12" t="str">
        <f>HYPERLINK("http://www.openstreetmap.org/?mlat=32.6153&amp;mlon=43.9807&amp;zoom=12#map=12/32.6153/43.9807","Maplink1")</f>
        <v>Maplink1</v>
      </c>
      <c r="AU1557" s="12" t="str">
        <f>HYPERLINK("https://www.google.iq/maps/search/+32.6153,43.9807/@32.6153,43.9807,14z?hl=en","Maplink2")</f>
        <v>Maplink2</v>
      </c>
      <c r="AV1557" s="12" t="str">
        <f>HYPERLINK("http://www.bing.com/maps/?lvl=14&amp;sty=h&amp;cp=32.6153~43.9807&amp;sp=point.32.6153_43.9807","Maplink3")</f>
        <v>Maplink3</v>
      </c>
    </row>
    <row r="1558" spans="1:48" ht="15" customHeight="1" x14ac:dyDescent="0.25">
      <c r="A1558" s="19">
        <v>25492</v>
      </c>
      <c r="B1558" s="20" t="s">
        <v>16</v>
      </c>
      <c r="C1558" s="20" t="s">
        <v>16</v>
      </c>
      <c r="D1558" s="20" t="s">
        <v>2922</v>
      </c>
      <c r="E1558" s="20" t="s">
        <v>2923</v>
      </c>
      <c r="F1558" s="20">
        <v>32.613460320000002</v>
      </c>
      <c r="G1558" s="20">
        <v>43.976690320000003</v>
      </c>
      <c r="H1558" s="22">
        <v>5</v>
      </c>
      <c r="I1558" s="22">
        <v>30</v>
      </c>
      <c r="J1558" s="21"/>
      <c r="K1558" s="21"/>
      <c r="L1558" s="21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>
        <v>5</v>
      </c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21"/>
      <c r="AH1558" s="21">
        <v>5</v>
      </c>
      <c r="AI1558" s="21"/>
      <c r="AJ1558" s="21"/>
      <c r="AK1558" s="21"/>
      <c r="AL1558" s="21"/>
      <c r="AM1558" s="21">
        <v>5</v>
      </c>
      <c r="AN1558" s="21"/>
      <c r="AO1558" s="21"/>
      <c r="AP1558" s="21"/>
      <c r="AQ1558" s="21"/>
      <c r="AR1558" s="21"/>
      <c r="AS1558" s="21"/>
      <c r="AT1558" s="12" t="str">
        <f>HYPERLINK("http://www.openstreetmap.org/?mlat=32.6135&amp;mlon=43.9767&amp;zoom=12#map=12/32.6135/43.9767","Maplink1")</f>
        <v>Maplink1</v>
      </c>
      <c r="AU1558" s="12" t="str">
        <f>HYPERLINK("https://www.google.iq/maps/search/+32.6135,43.9767/@32.6135,43.9767,14z?hl=en","Maplink2")</f>
        <v>Maplink2</v>
      </c>
      <c r="AV1558" s="12" t="str">
        <f>HYPERLINK("http://www.bing.com/maps/?lvl=14&amp;sty=h&amp;cp=32.6135~43.9767&amp;sp=point.32.6135_43.9767","Maplink3")</f>
        <v>Maplink3</v>
      </c>
    </row>
    <row r="1559" spans="1:48" ht="15" customHeight="1" x14ac:dyDescent="0.25">
      <c r="A1559" s="19">
        <v>25484</v>
      </c>
      <c r="B1559" s="20" t="s">
        <v>16</v>
      </c>
      <c r="C1559" s="20" t="s">
        <v>16</v>
      </c>
      <c r="D1559" s="20" t="s">
        <v>2924</v>
      </c>
      <c r="E1559" s="20" t="s">
        <v>2925</v>
      </c>
      <c r="F1559" s="20">
        <v>32.646657939999997</v>
      </c>
      <c r="G1559" s="20">
        <v>43.97005077</v>
      </c>
      <c r="H1559" s="22">
        <v>115</v>
      </c>
      <c r="I1559" s="22">
        <v>690</v>
      </c>
      <c r="J1559" s="21"/>
      <c r="K1559" s="21"/>
      <c r="L1559" s="21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>
        <v>115</v>
      </c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21"/>
      <c r="AH1559" s="21">
        <v>115</v>
      </c>
      <c r="AI1559" s="21"/>
      <c r="AJ1559" s="21"/>
      <c r="AK1559" s="21"/>
      <c r="AL1559" s="21"/>
      <c r="AM1559" s="21">
        <v>115</v>
      </c>
      <c r="AN1559" s="21"/>
      <c r="AO1559" s="21"/>
      <c r="AP1559" s="21"/>
      <c r="AQ1559" s="21"/>
      <c r="AR1559" s="21"/>
      <c r="AS1559" s="21"/>
      <c r="AT1559" s="12" t="str">
        <f>HYPERLINK("http://www.openstreetmap.org/?mlat=32.6467&amp;mlon=43.9701&amp;zoom=12#map=12/32.6467/43.9701","Maplink1")</f>
        <v>Maplink1</v>
      </c>
      <c r="AU1559" s="12" t="str">
        <f>HYPERLINK("https://www.google.iq/maps/search/+32.6467,43.9701/@32.6467,43.9701,14z?hl=en","Maplink2")</f>
        <v>Maplink2</v>
      </c>
      <c r="AV1559" s="12" t="str">
        <f>HYPERLINK("http://www.bing.com/maps/?lvl=14&amp;sty=h&amp;cp=32.6467~43.9701&amp;sp=point.32.6467_43.9701","Maplink3")</f>
        <v>Maplink3</v>
      </c>
    </row>
    <row r="1560" spans="1:48" ht="15" customHeight="1" x14ac:dyDescent="0.25">
      <c r="A1560" s="19">
        <v>25064</v>
      </c>
      <c r="B1560" s="20" t="s">
        <v>16</v>
      </c>
      <c r="C1560" s="20" t="s">
        <v>16</v>
      </c>
      <c r="D1560" s="20" t="s">
        <v>2926</v>
      </c>
      <c r="E1560" s="20" t="s">
        <v>2927</v>
      </c>
      <c r="F1560" s="20">
        <v>32.672006699999997</v>
      </c>
      <c r="G1560" s="20">
        <v>44.16405846</v>
      </c>
      <c r="H1560" s="22">
        <v>8</v>
      </c>
      <c r="I1560" s="22">
        <v>48</v>
      </c>
      <c r="J1560" s="21"/>
      <c r="K1560" s="21">
        <v>8</v>
      </c>
      <c r="L1560" s="21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21"/>
      <c r="AH1560" s="21">
        <v>8</v>
      </c>
      <c r="AI1560" s="21"/>
      <c r="AJ1560" s="21"/>
      <c r="AK1560" s="21"/>
      <c r="AL1560" s="21">
        <v>8</v>
      </c>
      <c r="AM1560" s="21"/>
      <c r="AN1560" s="21"/>
      <c r="AO1560" s="21"/>
      <c r="AP1560" s="21"/>
      <c r="AQ1560" s="21"/>
      <c r="AR1560" s="21"/>
      <c r="AS1560" s="21"/>
      <c r="AT1560" s="12" t="str">
        <f>HYPERLINK("http://www.openstreetmap.org/?mlat=32.672&amp;mlon=44.1641&amp;zoom=12#map=12/32.672/44.1641","Maplink1")</f>
        <v>Maplink1</v>
      </c>
      <c r="AU1560" s="12" t="str">
        <f>HYPERLINK("https://www.google.iq/maps/search/+32.672,44.1641/@32.672,44.1641,14z?hl=en","Maplink2")</f>
        <v>Maplink2</v>
      </c>
      <c r="AV1560" s="12" t="str">
        <f>HYPERLINK("http://www.bing.com/maps/?lvl=14&amp;sty=h&amp;cp=32.672~44.1641&amp;sp=point.32.672_44.1641","Maplink3")</f>
        <v>Maplink3</v>
      </c>
    </row>
    <row r="1561" spans="1:48" ht="15" customHeight="1" x14ac:dyDescent="0.25">
      <c r="A1561" s="19">
        <v>25482</v>
      </c>
      <c r="B1561" s="20" t="s">
        <v>16</v>
      </c>
      <c r="C1561" s="20" t="s">
        <v>16</v>
      </c>
      <c r="D1561" s="20" t="s">
        <v>2928</v>
      </c>
      <c r="E1561" s="20" t="s">
        <v>2929</v>
      </c>
      <c r="F1561" s="20">
        <v>32.643427640799999</v>
      </c>
      <c r="G1561" s="20">
        <v>44.0108249106</v>
      </c>
      <c r="H1561" s="22">
        <v>18</v>
      </c>
      <c r="I1561" s="22">
        <v>108</v>
      </c>
      <c r="J1561" s="21"/>
      <c r="K1561" s="21"/>
      <c r="L1561" s="21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>
        <v>18</v>
      </c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21"/>
      <c r="AH1561" s="21">
        <v>18</v>
      </c>
      <c r="AI1561" s="21"/>
      <c r="AJ1561" s="21"/>
      <c r="AK1561" s="21"/>
      <c r="AL1561" s="21"/>
      <c r="AM1561" s="21">
        <v>18</v>
      </c>
      <c r="AN1561" s="21"/>
      <c r="AO1561" s="21"/>
      <c r="AP1561" s="21"/>
      <c r="AQ1561" s="21"/>
      <c r="AR1561" s="21"/>
      <c r="AS1561" s="21"/>
      <c r="AT1561" s="12" t="str">
        <f>HYPERLINK("http://www.openstreetmap.org/?mlat=32.6434&amp;mlon=44.0108&amp;zoom=12#map=12/32.6434/44.0108","Maplink1")</f>
        <v>Maplink1</v>
      </c>
      <c r="AU1561" s="12" t="str">
        <f>HYPERLINK("https://www.google.iq/maps/search/+32.6434,44.0108/@32.6434,44.0108,14z?hl=en","Maplink2")</f>
        <v>Maplink2</v>
      </c>
      <c r="AV1561" s="12" t="str">
        <f>HYPERLINK("http://www.bing.com/maps/?lvl=14&amp;sty=h&amp;cp=32.6434~44.0108&amp;sp=point.32.6434_44.0108","Maplink3")</f>
        <v>Maplink3</v>
      </c>
    </row>
    <row r="1562" spans="1:48" ht="15" customHeight="1" x14ac:dyDescent="0.25">
      <c r="A1562" s="19">
        <v>25483</v>
      </c>
      <c r="B1562" s="20" t="s">
        <v>16</v>
      </c>
      <c r="C1562" s="20" t="s">
        <v>16</v>
      </c>
      <c r="D1562" s="20" t="s">
        <v>2930</v>
      </c>
      <c r="E1562" s="20" t="s">
        <v>2931</v>
      </c>
      <c r="F1562" s="20">
        <v>32.640551143499998</v>
      </c>
      <c r="G1562" s="20">
        <v>44.031319342800003</v>
      </c>
      <c r="H1562" s="22">
        <v>20</v>
      </c>
      <c r="I1562" s="22">
        <v>120</v>
      </c>
      <c r="J1562" s="21"/>
      <c r="K1562" s="21"/>
      <c r="L1562" s="21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>
        <v>20</v>
      </c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21"/>
      <c r="AH1562" s="21">
        <v>20</v>
      </c>
      <c r="AI1562" s="21"/>
      <c r="AJ1562" s="21"/>
      <c r="AK1562" s="21"/>
      <c r="AL1562" s="21"/>
      <c r="AM1562" s="21">
        <v>20</v>
      </c>
      <c r="AN1562" s="21"/>
      <c r="AO1562" s="21"/>
      <c r="AP1562" s="21"/>
      <c r="AQ1562" s="21"/>
      <c r="AR1562" s="21"/>
      <c r="AS1562" s="21"/>
      <c r="AT1562" s="12" t="str">
        <f>HYPERLINK("http://www.openstreetmap.org/?mlat=32.6406&amp;mlon=44.0313&amp;zoom=12#map=12/32.6406/44.0313","Maplink1")</f>
        <v>Maplink1</v>
      </c>
      <c r="AU1562" s="12" t="str">
        <f>HYPERLINK("https://www.google.iq/maps/search/+32.6406,44.0313/@32.6406,44.0313,14z?hl=en","Maplink2")</f>
        <v>Maplink2</v>
      </c>
      <c r="AV1562" s="12" t="str">
        <f>HYPERLINK("http://www.bing.com/maps/?lvl=14&amp;sty=h&amp;cp=32.6406~44.0313&amp;sp=point.32.6406_44.0313","Maplink3")</f>
        <v>Maplink3</v>
      </c>
    </row>
    <row r="1563" spans="1:48" ht="15" customHeight="1" x14ac:dyDescent="0.25">
      <c r="A1563" s="19">
        <v>25264</v>
      </c>
      <c r="B1563" s="20" t="s">
        <v>16</v>
      </c>
      <c r="C1563" s="20" t="s">
        <v>16</v>
      </c>
      <c r="D1563" s="20" t="s">
        <v>2932</v>
      </c>
      <c r="E1563" s="20" t="s">
        <v>2933</v>
      </c>
      <c r="F1563" s="20">
        <v>32.60680773</v>
      </c>
      <c r="G1563" s="20">
        <v>44.066779940000004</v>
      </c>
      <c r="H1563" s="22">
        <v>17</v>
      </c>
      <c r="I1563" s="22">
        <v>102</v>
      </c>
      <c r="J1563" s="21">
        <v>1</v>
      </c>
      <c r="K1563" s="21"/>
      <c r="L1563" s="21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>
        <v>15</v>
      </c>
      <c r="W1563" s="21"/>
      <c r="X1563" s="21">
        <v>1</v>
      </c>
      <c r="Y1563" s="21"/>
      <c r="Z1563" s="21"/>
      <c r="AA1563" s="21"/>
      <c r="AB1563" s="21"/>
      <c r="AC1563" s="21"/>
      <c r="AD1563" s="21">
        <v>2</v>
      </c>
      <c r="AE1563" s="21"/>
      <c r="AF1563" s="21"/>
      <c r="AG1563" s="21"/>
      <c r="AH1563" s="21">
        <v>15</v>
      </c>
      <c r="AI1563" s="21"/>
      <c r="AJ1563" s="21"/>
      <c r="AK1563" s="21"/>
      <c r="AL1563" s="21"/>
      <c r="AM1563" s="21">
        <v>15</v>
      </c>
      <c r="AN1563" s="21">
        <v>2</v>
      </c>
      <c r="AO1563" s="21"/>
      <c r="AP1563" s="21"/>
      <c r="AQ1563" s="21"/>
      <c r="AR1563" s="21"/>
      <c r="AS1563" s="21"/>
      <c r="AT1563" s="12" t="str">
        <f>HYPERLINK("http://www.openstreetmap.org/?mlat=32.6068&amp;mlon=44.0668&amp;zoom=12#map=12/32.6068/44.0668","Maplink1")</f>
        <v>Maplink1</v>
      </c>
      <c r="AU1563" s="12" t="str">
        <f>HYPERLINK("https://www.google.iq/maps/search/+32.6068,44.0668/@32.6068,44.0668,14z?hl=en","Maplink2")</f>
        <v>Maplink2</v>
      </c>
      <c r="AV1563" s="12" t="str">
        <f>HYPERLINK("http://www.bing.com/maps/?lvl=14&amp;sty=h&amp;cp=32.6068~44.0668&amp;sp=point.32.6068_44.0668","Maplink3")</f>
        <v>Maplink3</v>
      </c>
    </row>
    <row r="1564" spans="1:48" ht="15" customHeight="1" x14ac:dyDescent="0.25">
      <c r="A1564" s="19">
        <v>25887</v>
      </c>
      <c r="B1564" s="20" t="s">
        <v>16</v>
      </c>
      <c r="C1564" s="20" t="s">
        <v>16</v>
      </c>
      <c r="D1564" s="20" t="s">
        <v>2934</v>
      </c>
      <c r="E1564" s="20" t="s">
        <v>2935</v>
      </c>
      <c r="F1564" s="20">
        <v>32.687455509999999</v>
      </c>
      <c r="G1564" s="20">
        <v>44.10279362</v>
      </c>
      <c r="H1564" s="22">
        <v>30</v>
      </c>
      <c r="I1564" s="22">
        <v>180</v>
      </c>
      <c r="J1564" s="21"/>
      <c r="K1564" s="21"/>
      <c r="L1564" s="21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>
        <v>30</v>
      </c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21">
        <v>30</v>
      </c>
      <c r="AH1564" s="21"/>
      <c r="AI1564" s="21"/>
      <c r="AJ1564" s="21"/>
      <c r="AK1564" s="21"/>
      <c r="AL1564" s="21"/>
      <c r="AM1564" s="21">
        <v>30</v>
      </c>
      <c r="AN1564" s="21"/>
      <c r="AO1564" s="21"/>
      <c r="AP1564" s="21"/>
      <c r="AQ1564" s="21"/>
      <c r="AR1564" s="21"/>
      <c r="AS1564" s="21"/>
      <c r="AT1564" s="12" t="str">
        <f>HYPERLINK("http://www.openstreetmap.org/?mlat=32.6875&amp;mlon=44.1028&amp;zoom=12#map=12/32.6875/44.1028","Maplink1")</f>
        <v>Maplink1</v>
      </c>
      <c r="AU1564" s="12" t="str">
        <f>HYPERLINK("https://www.google.iq/maps/search/+32.6875,44.1028/@32.6875,44.1028,14z?hl=en","Maplink2")</f>
        <v>Maplink2</v>
      </c>
      <c r="AV1564" s="12" t="str">
        <f>HYPERLINK("http://www.bing.com/maps/?lvl=14&amp;sty=h&amp;cp=32.6875~44.1028&amp;sp=point.32.6875_44.1028","Maplink3")</f>
        <v>Maplink3</v>
      </c>
    </row>
    <row r="1565" spans="1:48" ht="15" customHeight="1" x14ac:dyDescent="0.25">
      <c r="A1565" s="19">
        <v>25480</v>
      </c>
      <c r="B1565" s="20" t="s">
        <v>16</v>
      </c>
      <c r="C1565" s="20" t="s">
        <v>16</v>
      </c>
      <c r="D1565" s="20" t="s">
        <v>2936</v>
      </c>
      <c r="E1565" s="20" t="s">
        <v>2937</v>
      </c>
      <c r="F1565" s="20">
        <v>32.617811127099998</v>
      </c>
      <c r="G1565" s="20">
        <v>43.971027616900002</v>
      </c>
      <c r="H1565" s="22">
        <v>7</v>
      </c>
      <c r="I1565" s="22">
        <v>42</v>
      </c>
      <c r="J1565" s="21">
        <v>2</v>
      </c>
      <c r="K1565" s="21"/>
      <c r="L1565" s="21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>
        <v>5</v>
      </c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21"/>
      <c r="AH1565" s="21">
        <v>7</v>
      </c>
      <c r="AI1565" s="21"/>
      <c r="AJ1565" s="21"/>
      <c r="AK1565" s="21"/>
      <c r="AL1565" s="21">
        <v>2</v>
      </c>
      <c r="AM1565" s="21">
        <v>5</v>
      </c>
      <c r="AN1565" s="21"/>
      <c r="AO1565" s="21"/>
      <c r="AP1565" s="21"/>
      <c r="AQ1565" s="21"/>
      <c r="AR1565" s="21"/>
      <c r="AS1565" s="21"/>
      <c r="AT1565" s="12" t="str">
        <f>HYPERLINK("http://www.openstreetmap.org/?mlat=32.6178&amp;mlon=43.971&amp;zoom=12#map=12/32.6178/43.971","Maplink1")</f>
        <v>Maplink1</v>
      </c>
      <c r="AU1565" s="12" t="str">
        <f>HYPERLINK("https://www.google.iq/maps/search/+32.6178,43.971/@32.6178,43.971,14z?hl=en","Maplink2")</f>
        <v>Maplink2</v>
      </c>
      <c r="AV1565" s="12" t="str">
        <f>HYPERLINK("http://www.bing.com/maps/?lvl=14&amp;sty=h&amp;cp=32.6178~43.971&amp;sp=point.32.6178_43.971","Maplink3")</f>
        <v>Maplink3</v>
      </c>
    </row>
    <row r="1566" spans="1:48" ht="15" customHeight="1" x14ac:dyDescent="0.25">
      <c r="A1566" s="19">
        <v>25481</v>
      </c>
      <c r="B1566" s="20" t="s">
        <v>16</v>
      </c>
      <c r="C1566" s="20" t="s">
        <v>16</v>
      </c>
      <c r="D1566" s="20" t="s">
        <v>2938</v>
      </c>
      <c r="E1566" s="20" t="s">
        <v>2939</v>
      </c>
      <c r="F1566" s="20">
        <v>32.624314179999999</v>
      </c>
      <c r="G1566" s="20">
        <v>43.964245380000001</v>
      </c>
      <c r="H1566" s="22">
        <v>7</v>
      </c>
      <c r="I1566" s="22">
        <v>42</v>
      </c>
      <c r="J1566" s="21"/>
      <c r="K1566" s="21"/>
      <c r="L1566" s="21"/>
      <c r="M1566" s="21"/>
      <c r="N1566" s="21"/>
      <c r="O1566" s="21"/>
      <c r="P1566" s="21"/>
      <c r="Q1566" s="21"/>
      <c r="R1566" s="21">
        <v>1</v>
      </c>
      <c r="S1566" s="21"/>
      <c r="T1566" s="21"/>
      <c r="U1566" s="21"/>
      <c r="V1566" s="21">
        <v>6</v>
      </c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21"/>
      <c r="AH1566" s="21">
        <v>7</v>
      </c>
      <c r="AI1566" s="21"/>
      <c r="AJ1566" s="21"/>
      <c r="AK1566" s="21"/>
      <c r="AL1566" s="21"/>
      <c r="AM1566" s="21">
        <v>6</v>
      </c>
      <c r="AN1566" s="21">
        <v>1</v>
      </c>
      <c r="AO1566" s="21"/>
      <c r="AP1566" s="21"/>
      <c r="AQ1566" s="21"/>
      <c r="AR1566" s="21"/>
      <c r="AS1566" s="21"/>
      <c r="AT1566" s="12" t="str">
        <f>HYPERLINK("http://www.openstreetmap.org/?mlat=32.6243&amp;mlon=43.9642&amp;zoom=12#map=12/32.6243/43.9642","Maplink1")</f>
        <v>Maplink1</v>
      </c>
      <c r="AU1566" s="12" t="str">
        <f>HYPERLINK("https://www.google.iq/maps/search/+32.6243,43.9642/@32.6243,43.9642,14z?hl=en","Maplink2")</f>
        <v>Maplink2</v>
      </c>
      <c r="AV1566" s="12" t="str">
        <f>HYPERLINK("http://www.bing.com/maps/?lvl=14&amp;sty=h&amp;cp=32.6243~43.9642&amp;sp=point.32.6243_43.9642","Maplink3")</f>
        <v>Maplink3</v>
      </c>
    </row>
    <row r="1567" spans="1:48" ht="15" customHeight="1" x14ac:dyDescent="0.25">
      <c r="A1567" s="19">
        <v>23265</v>
      </c>
      <c r="B1567" s="20" t="s">
        <v>16</v>
      </c>
      <c r="C1567" s="20" t="s">
        <v>16</v>
      </c>
      <c r="D1567" s="20" t="s">
        <v>2940</v>
      </c>
      <c r="E1567" s="20" t="s">
        <v>2941</v>
      </c>
      <c r="F1567" s="20">
        <v>32.654941959600002</v>
      </c>
      <c r="G1567" s="20">
        <v>44.0412182054</v>
      </c>
      <c r="H1567" s="22">
        <v>45</v>
      </c>
      <c r="I1567" s="22">
        <v>270</v>
      </c>
      <c r="J1567" s="21"/>
      <c r="K1567" s="21"/>
      <c r="L1567" s="21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>
        <v>45</v>
      </c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21"/>
      <c r="AH1567" s="21">
        <v>45</v>
      </c>
      <c r="AI1567" s="21"/>
      <c r="AJ1567" s="21"/>
      <c r="AK1567" s="21"/>
      <c r="AL1567" s="21"/>
      <c r="AM1567" s="21">
        <v>45</v>
      </c>
      <c r="AN1567" s="21"/>
      <c r="AO1567" s="21"/>
      <c r="AP1567" s="21"/>
      <c r="AQ1567" s="21"/>
      <c r="AR1567" s="21"/>
      <c r="AS1567" s="21"/>
      <c r="AT1567" s="12" t="str">
        <f>HYPERLINK("http://www.openstreetmap.org/?mlat=32.6549&amp;mlon=44.0412&amp;zoom=12#map=12/32.6549/44.0412","Maplink1")</f>
        <v>Maplink1</v>
      </c>
      <c r="AU1567" s="12" t="str">
        <f>HYPERLINK("https://www.google.iq/maps/search/+32.6549,44.0412/@32.6549,44.0412,14z?hl=en","Maplink2")</f>
        <v>Maplink2</v>
      </c>
      <c r="AV1567" s="12" t="str">
        <f>HYPERLINK("http://www.bing.com/maps/?lvl=14&amp;sty=h&amp;cp=32.6549~44.0412&amp;sp=point.32.6549_44.0412","Maplink3")</f>
        <v>Maplink3</v>
      </c>
    </row>
    <row r="1568" spans="1:48" ht="15" customHeight="1" x14ac:dyDescent="0.25">
      <c r="A1568" s="19">
        <v>25061</v>
      </c>
      <c r="B1568" s="20" t="s">
        <v>16</v>
      </c>
      <c r="C1568" s="20" t="s">
        <v>16</v>
      </c>
      <c r="D1568" s="20" t="s">
        <v>2942</v>
      </c>
      <c r="E1568" s="20" t="s">
        <v>2943</v>
      </c>
      <c r="F1568" s="20">
        <v>32.644133269999998</v>
      </c>
      <c r="G1568" s="20">
        <v>43.999221130000002</v>
      </c>
      <c r="H1568" s="22">
        <v>48</v>
      </c>
      <c r="I1568" s="22">
        <v>288</v>
      </c>
      <c r="J1568" s="21">
        <v>2</v>
      </c>
      <c r="K1568" s="21"/>
      <c r="L1568" s="21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>
        <v>46</v>
      </c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21"/>
      <c r="AH1568" s="21">
        <v>48</v>
      </c>
      <c r="AI1568" s="21"/>
      <c r="AJ1568" s="21"/>
      <c r="AK1568" s="21"/>
      <c r="AL1568" s="21">
        <v>2</v>
      </c>
      <c r="AM1568" s="21">
        <v>46</v>
      </c>
      <c r="AN1568" s="21"/>
      <c r="AO1568" s="21"/>
      <c r="AP1568" s="21"/>
      <c r="AQ1568" s="21"/>
      <c r="AR1568" s="21"/>
      <c r="AS1568" s="21"/>
      <c r="AT1568" s="12" t="str">
        <f>HYPERLINK("http://www.openstreetmap.org/?mlat=32.6441&amp;mlon=43.9992&amp;zoom=12#map=12/32.6441/43.9992","Maplink1")</f>
        <v>Maplink1</v>
      </c>
      <c r="AU1568" s="12" t="str">
        <f>HYPERLINK("https://www.google.iq/maps/search/+32.6441,43.9992/@32.6441,43.9992,14z?hl=en","Maplink2")</f>
        <v>Maplink2</v>
      </c>
      <c r="AV1568" s="12" t="str">
        <f>HYPERLINK("http://www.bing.com/maps/?lvl=14&amp;sty=h&amp;cp=32.6441~43.9992&amp;sp=point.32.6441_43.9992","Maplink3")</f>
        <v>Maplink3</v>
      </c>
    </row>
    <row r="1569" spans="1:48" ht="15" customHeight="1" x14ac:dyDescent="0.25">
      <c r="A1569" s="19">
        <v>22533</v>
      </c>
      <c r="B1569" s="20" t="s">
        <v>16</v>
      </c>
      <c r="C1569" s="20" t="s">
        <v>16</v>
      </c>
      <c r="D1569" s="20" t="s">
        <v>2944</v>
      </c>
      <c r="E1569" s="20" t="s">
        <v>2945</v>
      </c>
      <c r="F1569" s="20">
        <v>32.591419999999999</v>
      </c>
      <c r="G1569" s="20">
        <v>44.010702999999999</v>
      </c>
      <c r="H1569" s="22">
        <v>20</v>
      </c>
      <c r="I1569" s="22">
        <v>120</v>
      </c>
      <c r="J1569" s="21">
        <v>5</v>
      </c>
      <c r="K1569" s="21"/>
      <c r="L1569" s="21"/>
      <c r="M1569" s="21"/>
      <c r="N1569" s="21"/>
      <c r="O1569" s="21">
        <v>4</v>
      </c>
      <c r="P1569" s="21"/>
      <c r="Q1569" s="21"/>
      <c r="R1569" s="21">
        <v>6</v>
      </c>
      <c r="S1569" s="21"/>
      <c r="T1569" s="21"/>
      <c r="U1569" s="21"/>
      <c r="V1569" s="21"/>
      <c r="W1569" s="21"/>
      <c r="X1569" s="21">
        <v>5</v>
      </c>
      <c r="Y1569" s="21"/>
      <c r="Z1569" s="21"/>
      <c r="AA1569" s="21"/>
      <c r="AB1569" s="21"/>
      <c r="AC1569" s="21"/>
      <c r="AD1569" s="21"/>
      <c r="AE1569" s="21"/>
      <c r="AF1569" s="21">
        <v>4</v>
      </c>
      <c r="AG1569" s="21"/>
      <c r="AH1569" s="21">
        <v>16</v>
      </c>
      <c r="AI1569" s="21"/>
      <c r="AJ1569" s="21"/>
      <c r="AK1569" s="21"/>
      <c r="AL1569" s="21">
        <v>5</v>
      </c>
      <c r="AM1569" s="21"/>
      <c r="AN1569" s="21">
        <v>15</v>
      </c>
      <c r="AO1569" s="21"/>
      <c r="AP1569" s="21"/>
      <c r="AQ1569" s="21"/>
      <c r="AR1569" s="21"/>
      <c r="AS1569" s="21"/>
      <c r="AT1569" s="12" t="str">
        <f>HYPERLINK("http://www.openstreetmap.org/?mlat=32.5914&amp;mlon=44.0107&amp;zoom=12#map=12/32.5914/44.0107","Maplink1")</f>
        <v>Maplink1</v>
      </c>
      <c r="AU1569" s="12" t="str">
        <f>HYPERLINK("https://www.google.iq/maps/search/+32.5914,44.0107/@32.5914,44.0107,14z?hl=en","Maplink2")</f>
        <v>Maplink2</v>
      </c>
      <c r="AV1569" s="12" t="str">
        <f>HYPERLINK("http://www.bing.com/maps/?lvl=14&amp;sty=h&amp;cp=32.5914~44.0107&amp;sp=point.32.5914_44.0107","Maplink3")</f>
        <v>Maplink3</v>
      </c>
    </row>
    <row r="1570" spans="1:48" ht="15" customHeight="1" x14ac:dyDescent="0.25">
      <c r="A1570" s="19">
        <v>25487</v>
      </c>
      <c r="B1570" s="20" t="s">
        <v>16</v>
      </c>
      <c r="C1570" s="20" t="s">
        <v>16</v>
      </c>
      <c r="D1570" s="20" t="s">
        <v>2946</v>
      </c>
      <c r="E1570" s="20" t="s">
        <v>2947</v>
      </c>
      <c r="F1570" s="20">
        <v>32.649076000000001</v>
      </c>
      <c r="G1570" s="20">
        <v>44.108065000000003</v>
      </c>
      <c r="H1570" s="22">
        <v>5</v>
      </c>
      <c r="I1570" s="22">
        <v>30</v>
      </c>
      <c r="J1570" s="21">
        <v>1</v>
      </c>
      <c r="K1570" s="21"/>
      <c r="L1570" s="21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>
        <v>4</v>
      </c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21"/>
      <c r="AH1570" s="21">
        <v>5</v>
      </c>
      <c r="AI1570" s="21"/>
      <c r="AJ1570" s="21"/>
      <c r="AK1570" s="21"/>
      <c r="AL1570" s="21">
        <v>1</v>
      </c>
      <c r="AM1570" s="21">
        <v>4</v>
      </c>
      <c r="AN1570" s="21"/>
      <c r="AO1570" s="21"/>
      <c r="AP1570" s="21"/>
      <c r="AQ1570" s="21"/>
      <c r="AR1570" s="21"/>
      <c r="AS1570" s="21"/>
      <c r="AT1570" s="12" t="str">
        <f>HYPERLINK("http://www.openstreetmap.org/?mlat=32.6491&amp;mlon=44.1081&amp;zoom=12#map=12/32.6491/44.1081","Maplink1")</f>
        <v>Maplink1</v>
      </c>
      <c r="AU1570" s="12" t="str">
        <f>HYPERLINK("https://www.google.iq/maps/search/+32.6491,44.1081/@32.6491,44.1081,14z?hl=en","Maplink2")</f>
        <v>Maplink2</v>
      </c>
      <c r="AV1570" s="12" t="str">
        <f>HYPERLINK("http://www.bing.com/maps/?lvl=14&amp;sty=h&amp;cp=32.6491~44.1081&amp;sp=point.32.6491_44.1081","Maplink3")</f>
        <v>Maplink3</v>
      </c>
    </row>
    <row r="1571" spans="1:48" ht="15" customHeight="1" x14ac:dyDescent="0.25">
      <c r="A1571" s="19">
        <v>24197</v>
      </c>
      <c r="B1571" s="20" t="s">
        <v>16</v>
      </c>
      <c r="C1571" s="20" t="s">
        <v>16</v>
      </c>
      <c r="D1571" s="20" t="s">
        <v>2948</v>
      </c>
      <c r="E1571" s="20" t="s">
        <v>2949</v>
      </c>
      <c r="F1571" s="20">
        <v>32.57533454</v>
      </c>
      <c r="G1571" s="20">
        <v>44.018455830000001</v>
      </c>
      <c r="H1571" s="22">
        <v>15</v>
      </c>
      <c r="I1571" s="22">
        <v>90</v>
      </c>
      <c r="J1571" s="21"/>
      <c r="K1571" s="21"/>
      <c r="L1571" s="21"/>
      <c r="M1571" s="21"/>
      <c r="N1571" s="21"/>
      <c r="O1571" s="21"/>
      <c r="P1571" s="21"/>
      <c r="Q1571" s="21"/>
      <c r="R1571" s="21">
        <v>8</v>
      </c>
      <c r="S1571" s="21"/>
      <c r="T1571" s="21"/>
      <c r="U1571" s="21"/>
      <c r="V1571" s="21">
        <v>7</v>
      </c>
      <c r="W1571" s="21"/>
      <c r="X1571" s="21"/>
      <c r="Y1571" s="21"/>
      <c r="Z1571" s="21"/>
      <c r="AA1571" s="21"/>
      <c r="AB1571" s="21"/>
      <c r="AC1571" s="21"/>
      <c r="AD1571" s="21">
        <v>5</v>
      </c>
      <c r="AE1571" s="21"/>
      <c r="AF1571" s="21"/>
      <c r="AG1571" s="21"/>
      <c r="AH1571" s="21">
        <v>10</v>
      </c>
      <c r="AI1571" s="21"/>
      <c r="AJ1571" s="21"/>
      <c r="AK1571" s="21"/>
      <c r="AL1571" s="21"/>
      <c r="AM1571" s="21">
        <v>15</v>
      </c>
      <c r="AN1571" s="21"/>
      <c r="AO1571" s="21"/>
      <c r="AP1571" s="21"/>
      <c r="AQ1571" s="21"/>
      <c r="AR1571" s="21"/>
      <c r="AS1571" s="21"/>
      <c r="AT1571" s="12" t="str">
        <f>HYPERLINK("http://www.openstreetmap.org/?mlat=32.5753&amp;mlon=44.0185&amp;zoom=12#map=12/32.5753/44.0185","Maplink1")</f>
        <v>Maplink1</v>
      </c>
      <c r="AU1571" s="12" t="str">
        <f>HYPERLINK("https://www.google.iq/maps/search/+32.5753,44.0185/@32.5753,44.0185,14z?hl=en","Maplink2")</f>
        <v>Maplink2</v>
      </c>
      <c r="AV1571" s="12" t="str">
        <f>HYPERLINK("http://www.bing.com/maps/?lvl=14&amp;sty=h&amp;cp=32.5753~44.0185&amp;sp=point.32.5753_44.0185","Maplink3")</f>
        <v>Maplink3</v>
      </c>
    </row>
    <row r="1572" spans="1:48" ht="15" customHeight="1" x14ac:dyDescent="0.25">
      <c r="A1572" s="19">
        <v>25493</v>
      </c>
      <c r="B1572" s="20" t="s">
        <v>16</v>
      </c>
      <c r="C1572" s="20" t="s">
        <v>16</v>
      </c>
      <c r="D1572" s="20" t="s">
        <v>2950</v>
      </c>
      <c r="E1572" s="20" t="s">
        <v>2951</v>
      </c>
      <c r="F1572" s="20">
        <v>32.642989999999998</v>
      </c>
      <c r="G1572" s="20">
        <v>43.983769000000002</v>
      </c>
      <c r="H1572" s="22">
        <v>6</v>
      </c>
      <c r="I1572" s="22">
        <v>36</v>
      </c>
      <c r="J1572" s="21"/>
      <c r="K1572" s="21"/>
      <c r="L1572" s="21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>
        <v>6</v>
      </c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21"/>
      <c r="AH1572" s="21">
        <v>6</v>
      </c>
      <c r="AI1572" s="21"/>
      <c r="AJ1572" s="21"/>
      <c r="AK1572" s="21"/>
      <c r="AL1572" s="21"/>
      <c r="AM1572" s="21">
        <v>6</v>
      </c>
      <c r="AN1572" s="21"/>
      <c r="AO1572" s="21"/>
      <c r="AP1572" s="21"/>
      <c r="AQ1572" s="21"/>
      <c r="AR1572" s="21"/>
      <c r="AS1572" s="21"/>
      <c r="AT1572" s="12" t="str">
        <f>HYPERLINK("http://www.openstreetmap.org/?mlat=32.643&amp;mlon=43.9838&amp;zoom=12#map=12/32.643/43.9838","Maplink1")</f>
        <v>Maplink1</v>
      </c>
      <c r="AU1572" s="12" t="str">
        <f>HYPERLINK("https://www.google.iq/maps/search/+32.643,43.9838/@32.643,43.9838,14z?hl=en","Maplink2")</f>
        <v>Maplink2</v>
      </c>
      <c r="AV1572" s="12" t="str">
        <f>HYPERLINK("http://www.bing.com/maps/?lvl=14&amp;sty=h&amp;cp=32.643~43.9838&amp;sp=point.32.643_43.9838","Maplink3")</f>
        <v>Maplink3</v>
      </c>
    </row>
    <row r="1573" spans="1:48" ht="15" customHeight="1" x14ac:dyDescent="0.25">
      <c r="A1573" s="19">
        <v>25884</v>
      </c>
      <c r="B1573" s="20" t="s">
        <v>16</v>
      </c>
      <c r="C1573" s="20" t="s">
        <v>16</v>
      </c>
      <c r="D1573" s="20" t="s">
        <v>2952</v>
      </c>
      <c r="E1573" s="20" t="s">
        <v>2953</v>
      </c>
      <c r="F1573" s="20">
        <v>32.629705080000001</v>
      </c>
      <c r="G1573" s="20">
        <v>44.055828650000002</v>
      </c>
      <c r="H1573" s="22">
        <v>5</v>
      </c>
      <c r="I1573" s="22">
        <v>30</v>
      </c>
      <c r="J1573" s="21"/>
      <c r="K1573" s="21"/>
      <c r="L1573" s="21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>
        <v>5</v>
      </c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21"/>
      <c r="AH1573" s="21">
        <v>5</v>
      </c>
      <c r="AI1573" s="21"/>
      <c r="AJ1573" s="21"/>
      <c r="AK1573" s="21"/>
      <c r="AL1573" s="21"/>
      <c r="AM1573" s="21">
        <v>5</v>
      </c>
      <c r="AN1573" s="21"/>
      <c r="AO1573" s="21"/>
      <c r="AP1573" s="21"/>
      <c r="AQ1573" s="21"/>
      <c r="AR1573" s="21"/>
      <c r="AS1573" s="21"/>
      <c r="AT1573" s="12" t="str">
        <f>HYPERLINK("http://www.openstreetmap.org/?mlat=32.6297&amp;mlon=44.0558&amp;zoom=12#map=12/32.6297/44.0558","Maplink1")</f>
        <v>Maplink1</v>
      </c>
      <c r="AU1573" s="12" t="str">
        <f>HYPERLINK("https://www.google.iq/maps/search/+32.6297,44.0558/@32.6297,44.0558,14z?hl=en","Maplink2")</f>
        <v>Maplink2</v>
      </c>
      <c r="AV1573" s="12" t="str">
        <f>HYPERLINK("http://www.bing.com/maps/?lvl=14&amp;sty=h&amp;cp=32.6297~44.0558&amp;sp=point.32.6297_44.0558","Maplink3")</f>
        <v>Maplink3</v>
      </c>
    </row>
    <row r="1574" spans="1:48" ht="15" customHeight="1" x14ac:dyDescent="0.25">
      <c r="A1574" s="19">
        <v>25357</v>
      </c>
      <c r="B1574" s="20" t="s">
        <v>16</v>
      </c>
      <c r="C1574" s="20" t="s">
        <v>16</v>
      </c>
      <c r="D1574" s="20" t="s">
        <v>2954</v>
      </c>
      <c r="E1574" s="20" t="s">
        <v>2955</v>
      </c>
      <c r="F1574" s="20">
        <v>32.629856920000002</v>
      </c>
      <c r="G1574" s="20">
        <v>44.058102239999997</v>
      </c>
      <c r="H1574" s="22">
        <v>10</v>
      </c>
      <c r="I1574" s="22">
        <v>60</v>
      </c>
      <c r="J1574" s="21"/>
      <c r="K1574" s="21"/>
      <c r="L1574" s="21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>
        <v>10</v>
      </c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21">
        <v>4</v>
      </c>
      <c r="AH1574" s="21">
        <v>6</v>
      </c>
      <c r="AI1574" s="21"/>
      <c r="AJ1574" s="21"/>
      <c r="AK1574" s="21"/>
      <c r="AL1574" s="21"/>
      <c r="AM1574" s="21">
        <v>10</v>
      </c>
      <c r="AN1574" s="21"/>
      <c r="AO1574" s="21"/>
      <c r="AP1574" s="21"/>
      <c r="AQ1574" s="21"/>
      <c r="AR1574" s="21"/>
      <c r="AS1574" s="21"/>
      <c r="AT1574" s="12" t="str">
        <f>HYPERLINK("http://www.openstreetmap.org/?mlat=32.6299&amp;mlon=44.0581&amp;zoom=12#map=12/32.6299/44.0581","Maplink1")</f>
        <v>Maplink1</v>
      </c>
      <c r="AU1574" s="12" t="str">
        <f>HYPERLINK("https://www.google.iq/maps/search/+32.6299,44.0581/@32.6299,44.0581,14z?hl=en","Maplink2")</f>
        <v>Maplink2</v>
      </c>
      <c r="AV1574" s="12" t="str">
        <f>HYPERLINK("http://www.bing.com/maps/?lvl=14&amp;sty=h&amp;cp=32.6299~44.0581&amp;sp=point.32.6299_44.0581","Maplink3")</f>
        <v>Maplink3</v>
      </c>
    </row>
    <row r="1575" spans="1:48" ht="15" customHeight="1" x14ac:dyDescent="0.25">
      <c r="A1575" s="19">
        <v>14324</v>
      </c>
      <c r="B1575" s="20" t="s">
        <v>16</v>
      </c>
      <c r="C1575" s="20" t="s">
        <v>16</v>
      </c>
      <c r="D1575" s="20" t="s">
        <v>2956</v>
      </c>
      <c r="E1575" s="20" t="s">
        <v>2957</v>
      </c>
      <c r="F1575" s="20">
        <v>32.646681241099998</v>
      </c>
      <c r="G1575" s="20">
        <v>43.981669303899999</v>
      </c>
      <c r="H1575" s="22">
        <v>19</v>
      </c>
      <c r="I1575" s="22">
        <v>114</v>
      </c>
      <c r="J1575" s="21">
        <v>3</v>
      </c>
      <c r="K1575" s="21"/>
      <c r="L1575" s="21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>
        <v>16</v>
      </c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21"/>
      <c r="AH1575" s="21">
        <v>6</v>
      </c>
      <c r="AI1575" s="21"/>
      <c r="AJ1575" s="21">
        <v>13</v>
      </c>
      <c r="AK1575" s="21"/>
      <c r="AL1575" s="21">
        <v>3</v>
      </c>
      <c r="AM1575" s="21">
        <v>16</v>
      </c>
      <c r="AN1575" s="21"/>
      <c r="AO1575" s="21"/>
      <c r="AP1575" s="21"/>
      <c r="AQ1575" s="21"/>
      <c r="AR1575" s="21"/>
      <c r="AS1575" s="21"/>
      <c r="AT1575" s="12" t="str">
        <f>HYPERLINK("http://www.openstreetmap.org/?mlat=32.6467&amp;mlon=43.9817&amp;zoom=12#map=12/32.6467/43.9817","Maplink1")</f>
        <v>Maplink1</v>
      </c>
      <c r="AU1575" s="12" t="str">
        <f>HYPERLINK("https://www.google.iq/maps/search/+32.6467,43.9817/@32.6467,43.9817,14z?hl=en","Maplink2")</f>
        <v>Maplink2</v>
      </c>
      <c r="AV1575" s="12" t="str">
        <f>HYPERLINK("http://www.bing.com/maps/?lvl=14&amp;sty=h&amp;cp=32.6467~43.9817&amp;sp=point.32.6467_43.9817","Maplink3")</f>
        <v>Maplink3</v>
      </c>
    </row>
    <row r="1576" spans="1:48" ht="15" customHeight="1" x14ac:dyDescent="0.25">
      <c r="A1576" s="19">
        <v>25886</v>
      </c>
      <c r="B1576" s="20" t="s">
        <v>16</v>
      </c>
      <c r="C1576" s="20" t="s">
        <v>16</v>
      </c>
      <c r="D1576" s="20" t="s">
        <v>2958</v>
      </c>
      <c r="E1576" s="20" t="s">
        <v>2959</v>
      </c>
      <c r="F1576" s="20">
        <v>32.624048090000002</v>
      </c>
      <c r="G1576" s="20">
        <v>44.04864267</v>
      </c>
      <c r="H1576" s="22">
        <v>12</v>
      </c>
      <c r="I1576" s="22">
        <v>72</v>
      </c>
      <c r="J1576" s="21"/>
      <c r="K1576" s="21"/>
      <c r="L1576" s="21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>
        <v>12</v>
      </c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21">
        <v>4</v>
      </c>
      <c r="AH1576" s="21">
        <v>8</v>
      </c>
      <c r="AI1576" s="21"/>
      <c r="AJ1576" s="21"/>
      <c r="AK1576" s="21"/>
      <c r="AL1576" s="21"/>
      <c r="AM1576" s="21">
        <v>12</v>
      </c>
      <c r="AN1576" s="21"/>
      <c r="AO1576" s="21"/>
      <c r="AP1576" s="21"/>
      <c r="AQ1576" s="21"/>
      <c r="AR1576" s="21"/>
      <c r="AS1576" s="21"/>
      <c r="AT1576" s="12" t="str">
        <f>HYPERLINK("http://www.openstreetmap.org/?mlat=32.624&amp;mlon=44.0486&amp;zoom=12#map=12/32.624/44.0486","Maplink1")</f>
        <v>Maplink1</v>
      </c>
      <c r="AU1576" s="12" t="str">
        <f>HYPERLINK("https://www.google.iq/maps/search/+32.624,44.0486/@32.624,44.0486,14z?hl=en","Maplink2")</f>
        <v>Maplink2</v>
      </c>
      <c r="AV1576" s="12" t="str">
        <f>HYPERLINK("http://www.bing.com/maps/?lvl=14&amp;sty=h&amp;cp=32.624~44.0486&amp;sp=point.32.624_44.0486","Maplink3")</f>
        <v>Maplink3</v>
      </c>
    </row>
    <row r="1577" spans="1:48" ht="15" customHeight="1" x14ac:dyDescent="0.25">
      <c r="A1577" s="19">
        <v>25905</v>
      </c>
      <c r="B1577" s="20" t="s">
        <v>16</v>
      </c>
      <c r="C1577" s="20" t="s">
        <v>16</v>
      </c>
      <c r="D1577" s="20" t="s">
        <v>2960</v>
      </c>
      <c r="E1577" s="20" t="s">
        <v>2961</v>
      </c>
      <c r="F1577" s="20">
        <v>32.573191690000002</v>
      </c>
      <c r="G1577" s="20">
        <v>44.008417590000001</v>
      </c>
      <c r="H1577" s="22">
        <v>9</v>
      </c>
      <c r="I1577" s="22">
        <v>54</v>
      </c>
      <c r="J1577" s="21"/>
      <c r="K1577" s="21"/>
      <c r="L1577" s="21"/>
      <c r="M1577" s="21"/>
      <c r="N1577" s="21"/>
      <c r="O1577" s="21">
        <v>2</v>
      </c>
      <c r="P1577" s="21"/>
      <c r="Q1577" s="21"/>
      <c r="R1577" s="21">
        <v>3</v>
      </c>
      <c r="S1577" s="21"/>
      <c r="T1577" s="21"/>
      <c r="U1577" s="21"/>
      <c r="V1577" s="21">
        <v>4</v>
      </c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21"/>
      <c r="AH1577" s="21">
        <v>9</v>
      </c>
      <c r="AI1577" s="21"/>
      <c r="AJ1577" s="21"/>
      <c r="AK1577" s="21"/>
      <c r="AL1577" s="21">
        <v>7</v>
      </c>
      <c r="AM1577" s="21">
        <v>2</v>
      </c>
      <c r="AN1577" s="21"/>
      <c r="AO1577" s="21"/>
      <c r="AP1577" s="21"/>
      <c r="AQ1577" s="21"/>
      <c r="AR1577" s="21"/>
      <c r="AS1577" s="21"/>
      <c r="AT1577" s="12" t="str">
        <f>HYPERLINK("http://www.openstreetmap.org/?mlat=32.5732&amp;mlon=44.0084&amp;zoom=12#map=12/32.5732/44.0084","Maplink1")</f>
        <v>Maplink1</v>
      </c>
      <c r="AU1577" s="12" t="str">
        <f>HYPERLINK("https://www.google.iq/maps/search/+32.5732,44.0084/@32.5732,44.0084,14z?hl=en","Maplink2")</f>
        <v>Maplink2</v>
      </c>
      <c r="AV1577" s="12" t="str">
        <f>HYPERLINK("http://www.bing.com/maps/?lvl=14&amp;sty=h&amp;cp=32.5732~44.0084&amp;sp=point.32.5732_44.0084","Maplink3")</f>
        <v>Maplink3</v>
      </c>
    </row>
    <row r="1578" spans="1:48" ht="15" customHeight="1" x14ac:dyDescent="0.25">
      <c r="A1578" s="19">
        <v>25273</v>
      </c>
      <c r="B1578" s="20" t="s">
        <v>16</v>
      </c>
      <c r="C1578" s="20" t="s">
        <v>16</v>
      </c>
      <c r="D1578" s="20" t="s">
        <v>2962</v>
      </c>
      <c r="E1578" s="20" t="s">
        <v>2963</v>
      </c>
      <c r="F1578" s="20">
        <v>32.642497880000001</v>
      </c>
      <c r="G1578" s="20">
        <v>43.982520440000002</v>
      </c>
      <c r="H1578" s="22">
        <v>16</v>
      </c>
      <c r="I1578" s="22">
        <v>96</v>
      </c>
      <c r="J1578" s="21"/>
      <c r="K1578" s="21"/>
      <c r="L1578" s="21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>
        <v>16</v>
      </c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21"/>
      <c r="AH1578" s="21">
        <v>16</v>
      </c>
      <c r="AI1578" s="21"/>
      <c r="AJ1578" s="21"/>
      <c r="AK1578" s="21"/>
      <c r="AL1578" s="21"/>
      <c r="AM1578" s="21">
        <v>16</v>
      </c>
      <c r="AN1578" s="21"/>
      <c r="AO1578" s="21"/>
      <c r="AP1578" s="21"/>
      <c r="AQ1578" s="21"/>
      <c r="AR1578" s="21"/>
      <c r="AS1578" s="21"/>
      <c r="AT1578" s="12" t="str">
        <f>HYPERLINK("http://www.openstreetmap.org/?mlat=32.6425&amp;mlon=43.9825&amp;zoom=12#map=12/32.6425/43.9825","Maplink1")</f>
        <v>Maplink1</v>
      </c>
      <c r="AU1578" s="12" t="str">
        <f>HYPERLINK("https://www.google.iq/maps/search/+32.6425,43.9825/@32.6425,43.9825,14z?hl=en","Maplink2")</f>
        <v>Maplink2</v>
      </c>
      <c r="AV1578" s="12" t="str">
        <f>HYPERLINK("http://www.bing.com/maps/?lvl=14&amp;sty=h&amp;cp=32.6425~43.9825&amp;sp=point.32.6425_43.9825","Maplink3")</f>
        <v>Maplink3</v>
      </c>
    </row>
    <row r="1579" spans="1:48" ht="15" customHeight="1" x14ac:dyDescent="0.25">
      <c r="A1579" s="19">
        <v>22532</v>
      </c>
      <c r="B1579" s="20" t="s">
        <v>16</v>
      </c>
      <c r="C1579" s="20" t="s">
        <v>16</v>
      </c>
      <c r="D1579" s="20" t="s">
        <v>2964</v>
      </c>
      <c r="E1579" s="20" t="s">
        <v>2965</v>
      </c>
      <c r="F1579" s="20">
        <v>32.640794336900001</v>
      </c>
      <c r="G1579" s="20">
        <v>43.986293607100002</v>
      </c>
      <c r="H1579" s="22">
        <v>14</v>
      </c>
      <c r="I1579" s="22">
        <v>84</v>
      </c>
      <c r="J1579" s="21"/>
      <c r="K1579" s="21"/>
      <c r="L1579" s="21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>
        <v>14</v>
      </c>
      <c r="W1579" s="21"/>
      <c r="X1579" s="21"/>
      <c r="Y1579" s="21"/>
      <c r="Z1579" s="21"/>
      <c r="AA1579" s="21"/>
      <c r="AB1579" s="21"/>
      <c r="AC1579" s="21"/>
      <c r="AD1579" s="21">
        <v>5</v>
      </c>
      <c r="AE1579" s="21"/>
      <c r="AF1579" s="21"/>
      <c r="AG1579" s="21"/>
      <c r="AH1579" s="21">
        <v>9</v>
      </c>
      <c r="AI1579" s="21"/>
      <c r="AJ1579" s="21"/>
      <c r="AK1579" s="21"/>
      <c r="AL1579" s="21"/>
      <c r="AM1579" s="21">
        <v>14</v>
      </c>
      <c r="AN1579" s="21"/>
      <c r="AO1579" s="21"/>
      <c r="AP1579" s="21"/>
      <c r="AQ1579" s="21"/>
      <c r="AR1579" s="21"/>
      <c r="AS1579" s="21"/>
      <c r="AT1579" s="12" t="str">
        <f>HYPERLINK("http://www.openstreetmap.org/?mlat=32.6408&amp;mlon=43.9863&amp;zoom=12#map=12/32.6408/43.9863","Maplink1")</f>
        <v>Maplink1</v>
      </c>
      <c r="AU1579" s="12" t="str">
        <f>HYPERLINK("https://www.google.iq/maps/search/+32.6408,43.9863/@32.6408,43.9863,14z?hl=en","Maplink2")</f>
        <v>Maplink2</v>
      </c>
      <c r="AV1579" s="12" t="str">
        <f>HYPERLINK("http://www.bing.com/maps/?lvl=14&amp;sty=h&amp;cp=32.6408~43.9863&amp;sp=point.32.6408_43.9863","Maplink3")</f>
        <v>Maplink3</v>
      </c>
    </row>
    <row r="1580" spans="1:48" ht="15" customHeight="1" x14ac:dyDescent="0.25">
      <c r="A1580" s="19">
        <v>22786</v>
      </c>
      <c r="B1580" s="20" t="s">
        <v>16</v>
      </c>
      <c r="C1580" s="20" t="s">
        <v>16</v>
      </c>
      <c r="D1580" s="20" t="s">
        <v>2966</v>
      </c>
      <c r="E1580" s="20" t="s">
        <v>2967</v>
      </c>
      <c r="F1580" s="20">
        <v>32.616987180000002</v>
      </c>
      <c r="G1580" s="20">
        <v>44.022296760000003</v>
      </c>
      <c r="H1580" s="22">
        <v>22</v>
      </c>
      <c r="I1580" s="22">
        <v>132</v>
      </c>
      <c r="J1580" s="21"/>
      <c r="K1580" s="21"/>
      <c r="L1580" s="21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>
        <v>22</v>
      </c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21"/>
      <c r="AH1580" s="21">
        <v>22</v>
      </c>
      <c r="AI1580" s="21"/>
      <c r="AJ1580" s="21"/>
      <c r="AK1580" s="21"/>
      <c r="AL1580" s="21"/>
      <c r="AM1580" s="21">
        <v>22</v>
      </c>
      <c r="AN1580" s="21"/>
      <c r="AO1580" s="21"/>
      <c r="AP1580" s="21"/>
      <c r="AQ1580" s="21"/>
      <c r="AR1580" s="21"/>
      <c r="AS1580" s="21"/>
      <c r="AT1580" s="12" t="str">
        <f>HYPERLINK("http://www.openstreetmap.org/?mlat=32.617&amp;mlon=44.0223&amp;zoom=12#map=12/32.617/44.0223","Maplink1")</f>
        <v>Maplink1</v>
      </c>
      <c r="AU1580" s="12" t="str">
        <f>HYPERLINK("https://www.google.iq/maps/search/+32.617,44.0223/@32.617,44.0223,14z?hl=en","Maplink2")</f>
        <v>Maplink2</v>
      </c>
      <c r="AV1580" s="12" t="str">
        <f>HYPERLINK("http://www.bing.com/maps/?lvl=14&amp;sty=h&amp;cp=32.617~44.0223&amp;sp=point.32.617_44.0223","Maplink3")</f>
        <v>Maplink3</v>
      </c>
    </row>
    <row r="1581" spans="1:48" ht="15" customHeight="1" x14ac:dyDescent="0.25">
      <c r="A1581" s="19">
        <v>14161</v>
      </c>
      <c r="B1581" s="20" t="s">
        <v>16</v>
      </c>
      <c r="C1581" s="20" t="s">
        <v>16</v>
      </c>
      <c r="D1581" s="20" t="s">
        <v>5807</v>
      </c>
      <c r="E1581" s="20" t="s">
        <v>5808</v>
      </c>
      <c r="F1581" s="20">
        <v>32.657800000000002</v>
      </c>
      <c r="G1581" s="20">
        <v>44.0381</v>
      </c>
      <c r="H1581" s="22">
        <v>50</v>
      </c>
      <c r="I1581" s="22">
        <v>300</v>
      </c>
      <c r="J1581" s="21"/>
      <c r="K1581" s="21"/>
      <c r="L1581" s="21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>
        <v>50</v>
      </c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21"/>
      <c r="AH1581" s="21">
        <v>50</v>
      </c>
      <c r="AI1581" s="21"/>
      <c r="AJ1581" s="21"/>
      <c r="AK1581" s="21"/>
      <c r="AL1581" s="21"/>
      <c r="AM1581" s="21">
        <v>50</v>
      </c>
      <c r="AN1581" s="21"/>
      <c r="AO1581" s="21"/>
      <c r="AP1581" s="21"/>
      <c r="AQ1581" s="21"/>
      <c r="AR1581" s="21"/>
      <c r="AS1581" s="21"/>
      <c r="AT1581" s="12" t="str">
        <f>HYPERLINK("http://www.openstreetmap.org/?mlat=32.6578&amp;mlon=44.0381&amp;zoom=12#map=12/32.6578/44.0381","Maplink1")</f>
        <v>Maplink1</v>
      </c>
      <c r="AU1581" s="12" t="str">
        <f>HYPERLINK("https://www.google.iq/maps/search/+32.6578,44.0381/@32.6578,44.0381,14z?hl=en","Maplink2")</f>
        <v>Maplink2</v>
      </c>
      <c r="AV1581" s="12" t="str">
        <f>HYPERLINK("http://www.bing.com/maps/?lvl=14&amp;sty=h&amp;cp=32.6578~44.0381&amp;sp=point.32.6578_44.0381","Maplink3")</f>
        <v>Maplink3</v>
      </c>
    </row>
    <row r="1582" spans="1:48" ht="15" customHeight="1" x14ac:dyDescent="0.25">
      <c r="A1582" s="19">
        <v>25848</v>
      </c>
      <c r="B1582" s="20" t="s">
        <v>16</v>
      </c>
      <c r="C1582" s="20" t="s">
        <v>16</v>
      </c>
      <c r="D1582" s="20" t="s">
        <v>2968</v>
      </c>
      <c r="E1582" s="20" t="s">
        <v>2969</v>
      </c>
      <c r="F1582" s="20">
        <v>32.485780877099998</v>
      </c>
      <c r="G1582" s="20">
        <v>44.148096012899998</v>
      </c>
      <c r="H1582" s="22">
        <v>25</v>
      </c>
      <c r="I1582" s="22">
        <v>150</v>
      </c>
      <c r="J1582" s="21"/>
      <c r="K1582" s="21"/>
      <c r="L1582" s="21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>
        <v>25</v>
      </c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21">
        <v>10</v>
      </c>
      <c r="AH1582" s="21">
        <v>15</v>
      </c>
      <c r="AI1582" s="21"/>
      <c r="AJ1582" s="21"/>
      <c r="AK1582" s="21"/>
      <c r="AL1582" s="21"/>
      <c r="AM1582" s="21">
        <v>25</v>
      </c>
      <c r="AN1582" s="21"/>
      <c r="AO1582" s="21"/>
      <c r="AP1582" s="21"/>
      <c r="AQ1582" s="21"/>
      <c r="AR1582" s="21"/>
      <c r="AS1582" s="21"/>
      <c r="AT1582" s="12" t="str">
        <f>HYPERLINK("http://www.openstreetmap.org/?mlat=32.4858&amp;mlon=44.1481&amp;zoom=12#map=12/32.4858/44.1481","Maplink1")</f>
        <v>Maplink1</v>
      </c>
      <c r="AU1582" s="12" t="str">
        <f>HYPERLINK("https://www.google.iq/maps/search/+32.4858,44.1481/@32.4858,44.1481,14z?hl=en","Maplink2")</f>
        <v>Maplink2</v>
      </c>
      <c r="AV1582" s="12" t="str">
        <f>HYPERLINK("http://www.bing.com/maps/?lvl=14&amp;sty=h&amp;cp=32.4858~44.1481&amp;sp=point.32.4858_44.1481","Maplink3")</f>
        <v>Maplink3</v>
      </c>
    </row>
    <row r="1583" spans="1:48" ht="15" customHeight="1" x14ac:dyDescent="0.25">
      <c r="A1583" s="19">
        <v>25358</v>
      </c>
      <c r="B1583" s="20" t="s">
        <v>16</v>
      </c>
      <c r="C1583" s="20" t="s">
        <v>16</v>
      </c>
      <c r="D1583" s="20" t="s">
        <v>2970</v>
      </c>
      <c r="E1583" s="20" t="s">
        <v>2971</v>
      </c>
      <c r="F1583" s="20">
        <v>32.589429165200002</v>
      </c>
      <c r="G1583" s="20">
        <v>43.990514753900001</v>
      </c>
      <c r="H1583" s="22">
        <v>5</v>
      </c>
      <c r="I1583" s="22">
        <v>30</v>
      </c>
      <c r="J1583" s="21"/>
      <c r="K1583" s="21"/>
      <c r="L1583" s="21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>
        <v>5</v>
      </c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21"/>
      <c r="AH1583" s="21">
        <v>5</v>
      </c>
      <c r="AI1583" s="21"/>
      <c r="AJ1583" s="21"/>
      <c r="AK1583" s="21"/>
      <c r="AL1583" s="21"/>
      <c r="AM1583" s="21">
        <v>5</v>
      </c>
      <c r="AN1583" s="21"/>
      <c r="AO1583" s="21"/>
      <c r="AP1583" s="21"/>
      <c r="AQ1583" s="21"/>
      <c r="AR1583" s="21"/>
      <c r="AS1583" s="21"/>
      <c r="AT1583" s="12" t="str">
        <f>HYPERLINK("http://www.openstreetmap.org/?mlat=32.5894&amp;mlon=43.9905&amp;zoom=12#map=12/32.5894/43.9905","Maplink1")</f>
        <v>Maplink1</v>
      </c>
      <c r="AU1583" s="12" t="str">
        <f>HYPERLINK("https://www.google.iq/maps/search/+32.5894,43.9905/@32.5894,43.9905,14z?hl=en","Maplink2")</f>
        <v>Maplink2</v>
      </c>
      <c r="AV1583" s="12" t="str">
        <f>HYPERLINK("http://www.bing.com/maps/?lvl=14&amp;sty=h&amp;cp=32.5894~43.9905&amp;sp=point.32.5894_43.9905","Maplink3")</f>
        <v>Maplink3</v>
      </c>
    </row>
    <row r="1584" spans="1:48" ht="15" customHeight="1" x14ac:dyDescent="0.25">
      <c r="A1584" s="19">
        <v>25359</v>
      </c>
      <c r="B1584" s="20" t="s">
        <v>16</v>
      </c>
      <c r="C1584" s="20" t="s">
        <v>16</v>
      </c>
      <c r="D1584" s="20" t="s">
        <v>2972</v>
      </c>
      <c r="E1584" s="20" t="s">
        <v>2973</v>
      </c>
      <c r="F1584" s="20">
        <v>32.583830380000002</v>
      </c>
      <c r="G1584" s="20">
        <v>44.000378169999998</v>
      </c>
      <c r="H1584" s="22">
        <v>10</v>
      </c>
      <c r="I1584" s="22">
        <v>60</v>
      </c>
      <c r="J1584" s="21">
        <v>3</v>
      </c>
      <c r="K1584" s="21"/>
      <c r="L1584" s="21"/>
      <c r="M1584" s="21"/>
      <c r="N1584" s="21"/>
      <c r="O1584" s="21">
        <v>2</v>
      </c>
      <c r="P1584" s="21"/>
      <c r="Q1584" s="21"/>
      <c r="R1584" s="21"/>
      <c r="S1584" s="21"/>
      <c r="T1584" s="21"/>
      <c r="U1584" s="21"/>
      <c r="V1584" s="21">
        <v>5</v>
      </c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21"/>
      <c r="AH1584" s="21">
        <v>10</v>
      </c>
      <c r="AI1584" s="21"/>
      <c r="AJ1584" s="21"/>
      <c r="AK1584" s="21"/>
      <c r="AL1584" s="21">
        <v>3</v>
      </c>
      <c r="AM1584" s="21">
        <v>5</v>
      </c>
      <c r="AN1584" s="21">
        <v>2</v>
      </c>
      <c r="AO1584" s="21"/>
      <c r="AP1584" s="21"/>
      <c r="AQ1584" s="21"/>
      <c r="AR1584" s="21"/>
      <c r="AS1584" s="21"/>
      <c r="AT1584" s="12" t="str">
        <f>HYPERLINK("http://www.openstreetmap.org/?mlat=32.5838&amp;mlon=44.0004&amp;zoom=12#map=12/32.5838/44.0004","Maplink1")</f>
        <v>Maplink1</v>
      </c>
      <c r="AU1584" s="12" t="str">
        <f>HYPERLINK("https://www.google.iq/maps/search/+32.5838,44.0004/@32.5838,44.0004,14z?hl=en","Maplink2")</f>
        <v>Maplink2</v>
      </c>
      <c r="AV1584" s="12" t="str">
        <f>HYPERLINK("http://www.bing.com/maps/?lvl=14&amp;sty=h&amp;cp=32.5838~44.0004&amp;sp=point.32.5838_44.0004","Maplink3")</f>
        <v>Maplink3</v>
      </c>
    </row>
    <row r="1585" spans="1:48" ht="15" customHeight="1" x14ac:dyDescent="0.25">
      <c r="A1585" s="19">
        <v>25361</v>
      </c>
      <c r="B1585" s="20" t="s">
        <v>16</v>
      </c>
      <c r="C1585" s="20" t="s">
        <v>16</v>
      </c>
      <c r="D1585" s="20" t="s">
        <v>2974</v>
      </c>
      <c r="E1585" s="20" t="s">
        <v>2975</v>
      </c>
      <c r="F1585" s="20">
        <v>32.561887830000003</v>
      </c>
      <c r="G1585" s="20">
        <v>44.063925869999998</v>
      </c>
      <c r="H1585" s="22">
        <v>20</v>
      </c>
      <c r="I1585" s="22">
        <v>120</v>
      </c>
      <c r="J1585" s="21"/>
      <c r="K1585" s="21"/>
      <c r="L1585" s="21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>
        <v>20</v>
      </c>
      <c r="W1585" s="21"/>
      <c r="X1585" s="21"/>
      <c r="Y1585" s="21"/>
      <c r="Z1585" s="21"/>
      <c r="AA1585" s="21"/>
      <c r="AB1585" s="21"/>
      <c r="AC1585" s="21">
        <v>15</v>
      </c>
      <c r="AD1585" s="21"/>
      <c r="AE1585" s="21"/>
      <c r="AF1585" s="21"/>
      <c r="AG1585" s="21"/>
      <c r="AH1585" s="21">
        <v>5</v>
      </c>
      <c r="AI1585" s="21"/>
      <c r="AJ1585" s="21"/>
      <c r="AK1585" s="21"/>
      <c r="AL1585" s="21"/>
      <c r="AM1585" s="21">
        <v>20</v>
      </c>
      <c r="AN1585" s="21"/>
      <c r="AO1585" s="21"/>
      <c r="AP1585" s="21"/>
      <c r="AQ1585" s="21"/>
      <c r="AR1585" s="21"/>
      <c r="AS1585" s="21"/>
      <c r="AT1585" s="12" t="str">
        <f>HYPERLINK("http://www.openstreetmap.org/?mlat=32.5619&amp;mlon=44.0639&amp;zoom=12#map=12/32.5619/44.0639","Maplink1")</f>
        <v>Maplink1</v>
      </c>
      <c r="AU1585" s="12" t="str">
        <f>HYPERLINK("https://www.google.iq/maps/search/+32.5619,44.0639/@32.5619,44.0639,14z?hl=en","Maplink2")</f>
        <v>Maplink2</v>
      </c>
      <c r="AV1585" s="12" t="str">
        <f>HYPERLINK("http://www.bing.com/maps/?lvl=14&amp;sty=h&amp;cp=32.5619~44.0639&amp;sp=point.32.5619_44.0639","Maplink3")</f>
        <v>Maplink3</v>
      </c>
    </row>
    <row r="1586" spans="1:48" ht="15" customHeight="1" x14ac:dyDescent="0.25">
      <c r="A1586" s="19">
        <v>25551</v>
      </c>
      <c r="B1586" s="20" t="s">
        <v>16</v>
      </c>
      <c r="C1586" s="20" t="s">
        <v>16</v>
      </c>
      <c r="D1586" s="20" t="s">
        <v>2976</v>
      </c>
      <c r="E1586" s="20" t="s">
        <v>2977</v>
      </c>
      <c r="F1586" s="20">
        <v>32.58975882</v>
      </c>
      <c r="G1586" s="20">
        <v>44.004647910000003</v>
      </c>
      <c r="H1586" s="22">
        <v>4</v>
      </c>
      <c r="I1586" s="22">
        <v>24</v>
      </c>
      <c r="J1586" s="21"/>
      <c r="K1586" s="21"/>
      <c r="L1586" s="21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>
        <v>4</v>
      </c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>
        <v>2</v>
      </c>
      <c r="AG1586" s="21"/>
      <c r="AH1586" s="21">
        <v>2</v>
      </c>
      <c r="AI1586" s="21"/>
      <c r="AJ1586" s="21"/>
      <c r="AK1586" s="21"/>
      <c r="AL1586" s="21"/>
      <c r="AM1586" s="21">
        <v>4</v>
      </c>
      <c r="AN1586" s="21"/>
      <c r="AO1586" s="21"/>
      <c r="AP1586" s="21"/>
      <c r="AQ1586" s="21"/>
      <c r="AR1586" s="21"/>
      <c r="AS1586" s="21"/>
      <c r="AT1586" s="12" t="str">
        <f>HYPERLINK("http://www.openstreetmap.org/?mlat=32.5898&amp;mlon=44.0046&amp;zoom=12#map=12/32.5898/44.0046","Maplink1")</f>
        <v>Maplink1</v>
      </c>
      <c r="AU1586" s="12" t="str">
        <f>HYPERLINK("https://www.google.iq/maps/search/+32.5898,44.0046/@32.5898,44.0046,14z?hl=en","Maplink2")</f>
        <v>Maplink2</v>
      </c>
      <c r="AV1586" s="12" t="str">
        <f>HYPERLINK("http://www.bing.com/maps/?lvl=14&amp;sty=h&amp;cp=32.5898~44.0046&amp;sp=point.32.5898_44.0046","Maplink3")</f>
        <v>Maplink3</v>
      </c>
    </row>
    <row r="1587" spans="1:48" ht="15" customHeight="1" x14ac:dyDescent="0.25">
      <c r="A1587" s="19">
        <v>25782</v>
      </c>
      <c r="B1587" s="20" t="s">
        <v>16</v>
      </c>
      <c r="C1587" s="20" t="s">
        <v>16</v>
      </c>
      <c r="D1587" s="20" t="s">
        <v>2978</v>
      </c>
      <c r="E1587" s="20" t="s">
        <v>2979</v>
      </c>
      <c r="F1587" s="20">
        <v>32.6297968485</v>
      </c>
      <c r="G1587" s="20">
        <v>43.995925962599998</v>
      </c>
      <c r="H1587" s="22">
        <v>8</v>
      </c>
      <c r="I1587" s="22">
        <v>48</v>
      </c>
      <c r="J1587" s="21"/>
      <c r="K1587" s="21"/>
      <c r="L1587" s="21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>
        <v>8</v>
      </c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21"/>
      <c r="AH1587" s="21">
        <v>8</v>
      </c>
      <c r="AI1587" s="21"/>
      <c r="AJ1587" s="21"/>
      <c r="AK1587" s="21"/>
      <c r="AL1587" s="21"/>
      <c r="AM1587" s="21">
        <v>8</v>
      </c>
      <c r="AN1587" s="21"/>
      <c r="AO1587" s="21"/>
      <c r="AP1587" s="21"/>
      <c r="AQ1587" s="21"/>
      <c r="AR1587" s="21"/>
      <c r="AS1587" s="21"/>
      <c r="AT1587" s="12" t="str">
        <f>HYPERLINK("http://www.openstreetmap.org/?mlat=32.6298&amp;mlon=43.9959&amp;zoom=12#map=12/32.6298/43.9959","Maplink1")</f>
        <v>Maplink1</v>
      </c>
      <c r="AU1587" s="12" t="str">
        <f>HYPERLINK("https://www.google.iq/maps/search/+32.6298,43.9959/@32.6298,43.9959,14z?hl=en","Maplink2")</f>
        <v>Maplink2</v>
      </c>
      <c r="AV1587" s="12" t="str">
        <f>HYPERLINK("http://www.bing.com/maps/?lvl=14&amp;sty=h&amp;cp=32.6298~43.9959&amp;sp=point.32.6298_43.9959","Maplink3")</f>
        <v>Maplink3</v>
      </c>
    </row>
    <row r="1588" spans="1:48" ht="15" customHeight="1" x14ac:dyDescent="0.25">
      <c r="A1588" s="19">
        <v>25781</v>
      </c>
      <c r="B1588" s="20" t="s">
        <v>16</v>
      </c>
      <c r="C1588" s="20" t="s">
        <v>16</v>
      </c>
      <c r="D1588" s="20" t="s">
        <v>2980</v>
      </c>
      <c r="E1588" s="20" t="s">
        <v>2981</v>
      </c>
      <c r="F1588" s="20">
        <v>32.626168105799998</v>
      </c>
      <c r="G1588" s="20">
        <v>43.994194032199999</v>
      </c>
      <c r="H1588" s="22">
        <v>5</v>
      </c>
      <c r="I1588" s="22">
        <v>30</v>
      </c>
      <c r="J1588" s="21">
        <v>5</v>
      </c>
      <c r="K1588" s="21"/>
      <c r="L1588" s="21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21"/>
      <c r="AH1588" s="21">
        <v>5</v>
      </c>
      <c r="AI1588" s="21"/>
      <c r="AJ1588" s="21"/>
      <c r="AK1588" s="21"/>
      <c r="AL1588" s="21">
        <v>5</v>
      </c>
      <c r="AM1588" s="21"/>
      <c r="AN1588" s="21"/>
      <c r="AO1588" s="21"/>
      <c r="AP1588" s="21"/>
      <c r="AQ1588" s="21"/>
      <c r="AR1588" s="21"/>
      <c r="AS1588" s="21"/>
      <c r="AT1588" s="12" t="str">
        <f>HYPERLINK("http://www.openstreetmap.org/?mlat=32.6262&amp;mlon=43.9942&amp;zoom=12#map=12/32.6262/43.9942","Maplink1")</f>
        <v>Maplink1</v>
      </c>
      <c r="AU1588" s="12" t="str">
        <f>HYPERLINK("https://www.google.iq/maps/search/+32.6262,43.9942/@32.6262,43.9942,14z?hl=en","Maplink2")</f>
        <v>Maplink2</v>
      </c>
      <c r="AV1588" s="12" t="str">
        <f>HYPERLINK("http://www.bing.com/maps/?lvl=14&amp;sty=h&amp;cp=32.6262~43.9942&amp;sp=point.32.6262_43.9942","Maplink3")</f>
        <v>Maplink3</v>
      </c>
    </row>
    <row r="1589" spans="1:48" ht="15" customHeight="1" x14ac:dyDescent="0.25">
      <c r="A1589" s="19">
        <v>25546</v>
      </c>
      <c r="B1589" s="20" t="s">
        <v>16</v>
      </c>
      <c r="C1589" s="20" t="s">
        <v>16</v>
      </c>
      <c r="D1589" s="20" t="s">
        <v>2982</v>
      </c>
      <c r="E1589" s="20" t="s">
        <v>2983</v>
      </c>
      <c r="F1589" s="20">
        <v>32.612751299999999</v>
      </c>
      <c r="G1589" s="20">
        <v>43.981500949999997</v>
      </c>
      <c r="H1589" s="22">
        <v>10</v>
      </c>
      <c r="I1589" s="22">
        <v>60</v>
      </c>
      <c r="J1589" s="21"/>
      <c r="K1589" s="21"/>
      <c r="L1589" s="21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>
        <v>10</v>
      </c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21"/>
      <c r="AH1589" s="21">
        <v>10</v>
      </c>
      <c r="AI1589" s="21"/>
      <c r="AJ1589" s="21"/>
      <c r="AK1589" s="21"/>
      <c r="AL1589" s="21"/>
      <c r="AM1589" s="21">
        <v>10</v>
      </c>
      <c r="AN1589" s="21"/>
      <c r="AO1589" s="21"/>
      <c r="AP1589" s="21"/>
      <c r="AQ1589" s="21"/>
      <c r="AR1589" s="21"/>
      <c r="AS1589" s="21"/>
      <c r="AT1589" s="12" t="str">
        <f>HYPERLINK("http://www.openstreetmap.org/?mlat=32.6128&amp;mlon=43.9815&amp;zoom=12#map=12/32.6128/43.9815","Maplink1")</f>
        <v>Maplink1</v>
      </c>
      <c r="AU1589" s="12" t="str">
        <f>HYPERLINK("https://www.google.iq/maps/search/+32.6128,43.9815/@32.6128,43.9815,14z?hl=en","Maplink2")</f>
        <v>Maplink2</v>
      </c>
      <c r="AV1589" s="12" t="str">
        <f>HYPERLINK("http://www.bing.com/maps/?lvl=14&amp;sty=h&amp;cp=32.6128~43.9815&amp;sp=point.32.6128_43.9815","Maplink3")</f>
        <v>Maplink3</v>
      </c>
    </row>
    <row r="1590" spans="1:48" ht="15" customHeight="1" x14ac:dyDescent="0.25">
      <c r="A1590" s="19">
        <v>25938</v>
      </c>
      <c r="B1590" s="20" t="s">
        <v>16</v>
      </c>
      <c r="C1590" s="20" t="s">
        <v>16</v>
      </c>
      <c r="D1590" s="20" t="s">
        <v>2984</v>
      </c>
      <c r="E1590" s="20" t="s">
        <v>2985</v>
      </c>
      <c r="F1590" s="20">
        <v>32.710448159999999</v>
      </c>
      <c r="G1590" s="20">
        <v>44.18489881</v>
      </c>
      <c r="H1590" s="22">
        <v>25</v>
      </c>
      <c r="I1590" s="22">
        <v>150</v>
      </c>
      <c r="J1590" s="21"/>
      <c r="K1590" s="21">
        <v>11</v>
      </c>
      <c r="L1590" s="21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>
        <v>14</v>
      </c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21">
        <v>19</v>
      </c>
      <c r="AH1590" s="21">
        <v>6</v>
      </c>
      <c r="AI1590" s="21"/>
      <c r="AJ1590" s="21"/>
      <c r="AK1590" s="21"/>
      <c r="AL1590" s="21">
        <v>11</v>
      </c>
      <c r="AM1590" s="21">
        <v>14</v>
      </c>
      <c r="AN1590" s="21"/>
      <c r="AO1590" s="21"/>
      <c r="AP1590" s="21"/>
      <c r="AQ1590" s="21"/>
      <c r="AR1590" s="21"/>
      <c r="AS1590" s="21"/>
      <c r="AT1590" s="12" t="str">
        <f>HYPERLINK("http://www.openstreetmap.org/?mlat=32.7104&amp;mlon=44.1849&amp;zoom=12#map=12/32.7104/44.1849","Maplink1")</f>
        <v>Maplink1</v>
      </c>
      <c r="AU1590" s="12" t="str">
        <f>HYPERLINK("https://www.google.iq/maps/search/+32.7104,44.1849/@32.7104,44.1849,14z?hl=en","Maplink2")</f>
        <v>Maplink2</v>
      </c>
      <c r="AV1590" s="12" t="str">
        <f>HYPERLINK("http://www.bing.com/maps/?lvl=14&amp;sty=h&amp;cp=32.7104~44.1849&amp;sp=point.32.7104_44.1849","Maplink3")</f>
        <v>Maplink3</v>
      </c>
    </row>
    <row r="1591" spans="1:48" ht="15" customHeight="1" x14ac:dyDescent="0.25">
      <c r="A1591" s="19">
        <v>14167</v>
      </c>
      <c r="B1591" s="20" t="s">
        <v>16</v>
      </c>
      <c r="C1591" s="20" t="s">
        <v>16</v>
      </c>
      <c r="D1591" s="20" t="s">
        <v>5764</v>
      </c>
      <c r="E1591" s="20" t="s">
        <v>5765</v>
      </c>
      <c r="F1591" s="20">
        <v>32.659972000000003</v>
      </c>
      <c r="G1591" s="20">
        <v>44.140329000000001</v>
      </c>
      <c r="H1591" s="22">
        <v>35</v>
      </c>
      <c r="I1591" s="22">
        <v>210</v>
      </c>
      <c r="J1591" s="21"/>
      <c r="K1591" s="21"/>
      <c r="L1591" s="21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>
        <v>35</v>
      </c>
      <c r="W1591" s="21"/>
      <c r="X1591" s="21"/>
      <c r="Y1591" s="21"/>
      <c r="Z1591" s="21"/>
      <c r="AA1591" s="21"/>
      <c r="AB1591" s="21"/>
      <c r="AC1591" s="21">
        <v>4</v>
      </c>
      <c r="AD1591" s="21"/>
      <c r="AE1591" s="21"/>
      <c r="AF1591" s="21"/>
      <c r="AG1591" s="21">
        <v>15</v>
      </c>
      <c r="AH1591" s="21">
        <v>16</v>
      </c>
      <c r="AI1591" s="21"/>
      <c r="AJ1591" s="21"/>
      <c r="AK1591" s="21"/>
      <c r="AL1591" s="21"/>
      <c r="AM1591" s="21">
        <v>35</v>
      </c>
      <c r="AN1591" s="21"/>
      <c r="AO1591" s="21"/>
      <c r="AP1591" s="21"/>
      <c r="AQ1591" s="21"/>
      <c r="AR1591" s="21"/>
      <c r="AS1591" s="21"/>
      <c r="AT1591" s="12" t="str">
        <f>HYPERLINK("http://www.openstreetmap.org/?mlat=32.66&amp;mlon=44.1403&amp;zoom=12#map=12/32.66/44.1403","Maplink1")</f>
        <v>Maplink1</v>
      </c>
      <c r="AU1591" s="12" t="str">
        <f>HYPERLINK("https://www.google.iq/maps/search/+32.66,44.1403/@32.66,44.1403,14z?hl=en","Maplink2")</f>
        <v>Maplink2</v>
      </c>
      <c r="AV1591" s="12" t="str">
        <f>HYPERLINK("http://www.bing.com/maps/?lvl=14&amp;sty=h&amp;cp=32.66~44.1403&amp;sp=point.32.66_44.1403","Maplink3")</f>
        <v>Maplink3</v>
      </c>
    </row>
    <row r="1592" spans="1:48" ht="15" customHeight="1" x14ac:dyDescent="0.25">
      <c r="A1592" s="19">
        <v>14302</v>
      </c>
      <c r="B1592" s="20" t="s">
        <v>16</v>
      </c>
      <c r="C1592" s="20" t="s">
        <v>16</v>
      </c>
      <c r="D1592" s="20" t="s">
        <v>2987</v>
      </c>
      <c r="E1592" s="20" t="s">
        <v>2988</v>
      </c>
      <c r="F1592" s="20">
        <v>32.6224676</v>
      </c>
      <c r="G1592" s="20">
        <v>43.973235549999998</v>
      </c>
      <c r="H1592" s="22">
        <v>6</v>
      </c>
      <c r="I1592" s="22">
        <v>36</v>
      </c>
      <c r="J1592" s="21"/>
      <c r="K1592" s="21"/>
      <c r="L1592" s="21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>
        <v>4</v>
      </c>
      <c r="W1592" s="21"/>
      <c r="X1592" s="21">
        <v>2</v>
      </c>
      <c r="Y1592" s="21"/>
      <c r="Z1592" s="21"/>
      <c r="AA1592" s="21"/>
      <c r="AB1592" s="21"/>
      <c r="AC1592" s="21"/>
      <c r="AD1592" s="21"/>
      <c r="AE1592" s="21"/>
      <c r="AF1592" s="21"/>
      <c r="AG1592" s="21"/>
      <c r="AH1592" s="21">
        <v>6</v>
      </c>
      <c r="AI1592" s="21"/>
      <c r="AJ1592" s="21"/>
      <c r="AK1592" s="21"/>
      <c r="AL1592" s="21"/>
      <c r="AM1592" s="21">
        <v>4</v>
      </c>
      <c r="AN1592" s="21">
        <v>2</v>
      </c>
      <c r="AO1592" s="21"/>
      <c r="AP1592" s="21"/>
      <c r="AQ1592" s="21"/>
      <c r="AR1592" s="21"/>
      <c r="AS1592" s="21"/>
      <c r="AT1592" s="12" t="str">
        <f>HYPERLINK("http://www.openstreetmap.org/?mlat=32.6225&amp;mlon=43.9732&amp;zoom=12#map=12/32.6225/43.9732","Maplink1")</f>
        <v>Maplink1</v>
      </c>
      <c r="AU1592" s="12" t="str">
        <f>HYPERLINK("https://www.google.iq/maps/search/+32.6225,43.9732/@32.6225,43.9732,14z?hl=en","Maplink2")</f>
        <v>Maplink2</v>
      </c>
      <c r="AV1592" s="12" t="str">
        <f>HYPERLINK("http://www.bing.com/maps/?lvl=14&amp;sty=h&amp;cp=32.6225~43.9732&amp;sp=point.32.6225_43.9732","Maplink3")</f>
        <v>Maplink3</v>
      </c>
    </row>
    <row r="1593" spans="1:48" ht="15" customHeight="1" x14ac:dyDescent="0.25">
      <c r="A1593" s="19">
        <v>14282</v>
      </c>
      <c r="B1593" s="20" t="s">
        <v>16</v>
      </c>
      <c r="C1593" s="20" t="s">
        <v>16</v>
      </c>
      <c r="D1593" s="20" t="s">
        <v>2989</v>
      </c>
      <c r="E1593" s="20" t="s">
        <v>2990</v>
      </c>
      <c r="F1593" s="20">
        <v>32.624802095500002</v>
      </c>
      <c r="G1593" s="20">
        <v>43.967016547999997</v>
      </c>
      <c r="H1593" s="22">
        <v>9</v>
      </c>
      <c r="I1593" s="22">
        <v>54</v>
      </c>
      <c r="J1593" s="21"/>
      <c r="K1593" s="21"/>
      <c r="L1593" s="21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>
        <v>9</v>
      </c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21"/>
      <c r="AH1593" s="21">
        <v>9</v>
      </c>
      <c r="AI1593" s="21"/>
      <c r="AJ1593" s="21"/>
      <c r="AK1593" s="21"/>
      <c r="AL1593" s="21"/>
      <c r="AM1593" s="21">
        <v>9</v>
      </c>
      <c r="AN1593" s="21"/>
      <c r="AO1593" s="21"/>
      <c r="AP1593" s="21"/>
      <c r="AQ1593" s="21"/>
      <c r="AR1593" s="21"/>
      <c r="AS1593" s="21"/>
      <c r="AT1593" s="12" t="str">
        <f>HYPERLINK("http://www.openstreetmap.org/?mlat=32.6248&amp;mlon=43.967&amp;zoom=12#map=12/32.6248/43.967","Maplink1")</f>
        <v>Maplink1</v>
      </c>
      <c r="AU1593" s="12" t="str">
        <f>HYPERLINK("https://www.google.iq/maps/search/+32.6248,43.967/@32.6248,43.967,14z?hl=en","Maplink2")</f>
        <v>Maplink2</v>
      </c>
      <c r="AV1593" s="12" t="str">
        <f>HYPERLINK("http://www.bing.com/maps/?lvl=14&amp;sty=h&amp;cp=32.6248~43.967&amp;sp=point.32.6248_43.967","Maplink3")</f>
        <v>Maplink3</v>
      </c>
    </row>
    <row r="1594" spans="1:48" ht="15" customHeight="1" x14ac:dyDescent="0.25">
      <c r="A1594" s="19">
        <v>14254</v>
      </c>
      <c r="B1594" s="20" t="s">
        <v>16</v>
      </c>
      <c r="C1594" s="20" t="s">
        <v>16</v>
      </c>
      <c r="D1594" s="20" t="s">
        <v>5766</v>
      </c>
      <c r="E1594" s="20" t="s">
        <v>5767</v>
      </c>
      <c r="F1594" s="20">
        <v>32.681111000000001</v>
      </c>
      <c r="G1594" s="20">
        <v>44.205832999999998</v>
      </c>
      <c r="H1594" s="22">
        <v>3</v>
      </c>
      <c r="I1594" s="22">
        <v>18</v>
      </c>
      <c r="J1594" s="21"/>
      <c r="K1594" s="21">
        <v>3</v>
      </c>
      <c r="L1594" s="21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21"/>
      <c r="AH1594" s="21">
        <v>3</v>
      </c>
      <c r="AI1594" s="21"/>
      <c r="AJ1594" s="21"/>
      <c r="AK1594" s="21"/>
      <c r="AL1594" s="21">
        <v>3</v>
      </c>
      <c r="AM1594" s="21"/>
      <c r="AN1594" s="21"/>
      <c r="AO1594" s="21"/>
      <c r="AP1594" s="21"/>
      <c r="AQ1594" s="21"/>
      <c r="AR1594" s="21"/>
      <c r="AS1594" s="21"/>
      <c r="AT1594" s="12" t="str">
        <f>HYPERLINK("http://www.openstreetmap.org/?mlat=32.6811&amp;mlon=44.2058&amp;zoom=12#map=12/32.6811/44.2058","Maplink1")</f>
        <v>Maplink1</v>
      </c>
      <c r="AU1594" s="12" t="str">
        <f>HYPERLINK("https://www.google.iq/maps/search/+32.6811,44.2058/@32.6811,44.2058,14z?hl=en","Maplink2")</f>
        <v>Maplink2</v>
      </c>
      <c r="AV1594" s="12" t="str">
        <f>HYPERLINK("http://www.bing.com/maps/?lvl=14&amp;sty=h&amp;cp=32.6811~44.2058&amp;sp=point.32.6811_44.2058","Maplink3")</f>
        <v>Maplink3</v>
      </c>
    </row>
    <row r="1595" spans="1:48" ht="15" customHeight="1" x14ac:dyDescent="0.25">
      <c r="A1595" s="19">
        <v>14287</v>
      </c>
      <c r="B1595" s="20" t="s">
        <v>16</v>
      </c>
      <c r="C1595" s="20" t="s">
        <v>16</v>
      </c>
      <c r="D1595" s="20" t="s">
        <v>2991</v>
      </c>
      <c r="E1595" s="20" t="s">
        <v>2992</v>
      </c>
      <c r="F1595" s="20">
        <v>32.637815281599998</v>
      </c>
      <c r="G1595" s="20">
        <v>44.0071876923</v>
      </c>
      <c r="H1595" s="22">
        <v>49</v>
      </c>
      <c r="I1595" s="22">
        <v>294</v>
      </c>
      <c r="J1595" s="21"/>
      <c r="K1595" s="21"/>
      <c r="L1595" s="21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>
        <v>49</v>
      </c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21"/>
      <c r="AH1595" s="21">
        <v>49</v>
      </c>
      <c r="AI1595" s="21"/>
      <c r="AJ1595" s="21"/>
      <c r="AK1595" s="21"/>
      <c r="AL1595" s="21"/>
      <c r="AM1595" s="21">
        <v>49</v>
      </c>
      <c r="AN1595" s="21"/>
      <c r="AO1595" s="21"/>
      <c r="AP1595" s="21"/>
      <c r="AQ1595" s="21"/>
      <c r="AR1595" s="21"/>
      <c r="AS1595" s="21"/>
      <c r="AT1595" s="12" t="str">
        <f>HYPERLINK("http://www.openstreetmap.org/?mlat=32.6378&amp;mlon=44.0072&amp;zoom=12#map=12/32.6378/44.0072","Maplink1")</f>
        <v>Maplink1</v>
      </c>
      <c r="AU1595" s="12" t="str">
        <f>HYPERLINK("https://www.google.iq/maps/search/+32.6378,44.0072/@32.6378,44.0072,14z?hl=en","Maplink2")</f>
        <v>Maplink2</v>
      </c>
      <c r="AV1595" s="12" t="str">
        <f>HYPERLINK("http://www.bing.com/maps/?lvl=14&amp;sty=h&amp;cp=32.6378~44.0072&amp;sp=point.32.6378_44.0072","Maplink3")</f>
        <v>Maplink3</v>
      </c>
    </row>
    <row r="1596" spans="1:48" ht="15" customHeight="1" x14ac:dyDescent="0.25">
      <c r="A1596" s="19">
        <v>25735</v>
      </c>
      <c r="B1596" s="20" t="s">
        <v>16</v>
      </c>
      <c r="C1596" s="20" t="s">
        <v>16</v>
      </c>
      <c r="D1596" s="20" t="s">
        <v>2993</v>
      </c>
      <c r="E1596" s="20" t="s">
        <v>2994</v>
      </c>
      <c r="F1596" s="20">
        <v>32.598866909999998</v>
      </c>
      <c r="G1596" s="20">
        <v>44.038731319999997</v>
      </c>
      <c r="H1596" s="22">
        <v>39</v>
      </c>
      <c r="I1596" s="22">
        <v>234</v>
      </c>
      <c r="J1596" s="21"/>
      <c r="K1596" s="21"/>
      <c r="L1596" s="21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>
        <v>39</v>
      </c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21"/>
      <c r="AH1596" s="21">
        <v>39</v>
      </c>
      <c r="AI1596" s="21"/>
      <c r="AJ1596" s="21"/>
      <c r="AK1596" s="21"/>
      <c r="AL1596" s="21"/>
      <c r="AM1596" s="21">
        <v>39</v>
      </c>
      <c r="AN1596" s="21"/>
      <c r="AO1596" s="21"/>
      <c r="AP1596" s="21"/>
      <c r="AQ1596" s="21"/>
      <c r="AR1596" s="21"/>
      <c r="AS1596" s="21"/>
      <c r="AT1596" s="12" t="str">
        <f>HYPERLINK("http://www.openstreetmap.org/?mlat=32.5989&amp;mlon=44.0387&amp;zoom=12#map=12/32.5989/44.0387","Maplink1")</f>
        <v>Maplink1</v>
      </c>
      <c r="AU1596" s="12" t="str">
        <f>HYPERLINK("https://www.google.iq/maps/search/+32.5989,44.0387/@32.5989,44.0387,14z?hl=en","Maplink2")</f>
        <v>Maplink2</v>
      </c>
      <c r="AV1596" s="12" t="str">
        <f>HYPERLINK("http://www.bing.com/maps/?lvl=14&amp;sty=h&amp;cp=32.5989~44.0387&amp;sp=point.32.5989_44.0387","Maplink3")</f>
        <v>Maplink3</v>
      </c>
    </row>
    <row r="1597" spans="1:48" ht="15" customHeight="1" x14ac:dyDescent="0.25">
      <c r="A1597" s="19">
        <v>25060</v>
      </c>
      <c r="B1597" s="20" t="s">
        <v>16</v>
      </c>
      <c r="C1597" s="20" t="s">
        <v>16</v>
      </c>
      <c r="D1597" s="20" t="s">
        <v>2995</v>
      </c>
      <c r="E1597" s="20" t="s">
        <v>2996</v>
      </c>
      <c r="F1597" s="20">
        <v>32.643411209999996</v>
      </c>
      <c r="G1597" s="20">
        <v>43.994038930000002</v>
      </c>
      <c r="H1597" s="22">
        <v>13</v>
      </c>
      <c r="I1597" s="22">
        <v>78</v>
      </c>
      <c r="J1597" s="21"/>
      <c r="K1597" s="21"/>
      <c r="L1597" s="21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>
        <v>13</v>
      </c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21"/>
      <c r="AH1597" s="21">
        <v>13</v>
      </c>
      <c r="AI1597" s="21"/>
      <c r="AJ1597" s="21"/>
      <c r="AK1597" s="21"/>
      <c r="AL1597" s="21"/>
      <c r="AM1597" s="21">
        <v>13</v>
      </c>
      <c r="AN1597" s="21"/>
      <c r="AO1597" s="21"/>
      <c r="AP1597" s="21"/>
      <c r="AQ1597" s="21"/>
      <c r="AR1597" s="21"/>
      <c r="AS1597" s="21"/>
      <c r="AT1597" s="12" t="str">
        <f>HYPERLINK("http://www.openstreetmap.org/?mlat=32.6434&amp;mlon=43.994&amp;zoom=12#map=12/32.6434/43.994","Maplink1")</f>
        <v>Maplink1</v>
      </c>
      <c r="AU1597" s="12" t="str">
        <f>HYPERLINK("https://www.google.iq/maps/search/+32.6434,43.994/@32.6434,43.994,14z?hl=en","Maplink2")</f>
        <v>Maplink2</v>
      </c>
      <c r="AV1597" s="12" t="str">
        <f>HYPERLINK("http://www.bing.com/maps/?lvl=14&amp;sty=h&amp;cp=32.6434~43.994&amp;sp=point.32.6434_43.994","Maplink3")</f>
        <v>Maplink3</v>
      </c>
    </row>
    <row r="1598" spans="1:48" ht="15" customHeight="1" x14ac:dyDescent="0.25">
      <c r="A1598" s="19">
        <v>21587</v>
      </c>
      <c r="B1598" s="20" t="s">
        <v>16</v>
      </c>
      <c r="C1598" s="20" t="s">
        <v>16</v>
      </c>
      <c r="D1598" s="20" t="s">
        <v>2997</v>
      </c>
      <c r="E1598" s="20" t="s">
        <v>2998</v>
      </c>
      <c r="F1598" s="20">
        <v>32.680862849999997</v>
      </c>
      <c r="G1598" s="20">
        <v>44.161557639999998</v>
      </c>
      <c r="H1598" s="22">
        <v>65</v>
      </c>
      <c r="I1598" s="22">
        <v>390</v>
      </c>
      <c r="J1598" s="21"/>
      <c r="K1598" s="21">
        <v>65</v>
      </c>
      <c r="L1598" s="21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21"/>
      <c r="AH1598" s="21">
        <v>65</v>
      </c>
      <c r="AI1598" s="21"/>
      <c r="AJ1598" s="21"/>
      <c r="AK1598" s="21"/>
      <c r="AL1598" s="21">
        <v>65</v>
      </c>
      <c r="AM1598" s="21"/>
      <c r="AN1598" s="21"/>
      <c r="AO1598" s="21"/>
      <c r="AP1598" s="21"/>
      <c r="AQ1598" s="21"/>
      <c r="AR1598" s="21"/>
      <c r="AS1598" s="21"/>
      <c r="AT1598" s="12" t="str">
        <f>HYPERLINK("http://www.openstreetmap.org/?mlat=32.6809&amp;mlon=44.1616&amp;zoom=12#map=12/32.6809/44.1616","Maplink1")</f>
        <v>Maplink1</v>
      </c>
      <c r="AU1598" s="12" t="str">
        <f>HYPERLINK("https://www.google.iq/maps/search/+32.6809,44.1616/@32.6809,44.1616,14z?hl=en","Maplink2")</f>
        <v>Maplink2</v>
      </c>
      <c r="AV1598" s="12" t="str">
        <f>HYPERLINK("http://www.bing.com/maps/?lvl=14&amp;sty=h&amp;cp=32.6809~44.1616&amp;sp=point.32.6809_44.1616","Maplink3")</f>
        <v>Maplink3</v>
      </c>
    </row>
    <row r="1599" spans="1:48" ht="15" customHeight="1" x14ac:dyDescent="0.25">
      <c r="A1599" s="19">
        <v>21682</v>
      </c>
      <c r="B1599" s="20" t="s">
        <v>16</v>
      </c>
      <c r="C1599" s="20" t="s">
        <v>16</v>
      </c>
      <c r="D1599" s="20" t="s">
        <v>2999</v>
      </c>
      <c r="E1599" s="20" t="s">
        <v>3000</v>
      </c>
      <c r="F1599" s="20">
        <v>32.687118390000002</v>
      </c>
      <c r="G1599" s="20">
        <v>44.165904070000003</v>
      </c>
      <c r="H1599" s="22">
        <v>25</v>
      </c>
      <c r="I1599" s="22">
        <v>150</v>
      </c>
      <c r="J1599" s="21"/>
      <c r="K1599" s="21">
        <v>25</v>
      </c>
      <c r="L1599" s="21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21"/>
      <c r="AH1599" s="21">
        <v>25</v>
      </c>
      <c r="AI1599" s="21"/>
      <c r="AJ1599" s="21"/>
      <c r="AK1599" s="21"/>
      <c r="AL1599" s="21">
        <v>25</v>
      </c>
      <c r="AM1599" s="21"/>
      <c r="AN1599" s="21"/>
      <c r="AO1599" s="21"/>
      <c r="AP1599" s="21"/>
      <c r="AQ1599" s="21"/>
      <c r="AR1599" s="21"/>
      <c r="AS1599" s="21"/>
      <c r="AT1599" s="12" t="str">
        <f>HYPERLINK("http://www.openstreetmap.org/?mlat=32.6871&amp;mlon=44.1659&amp;zoom=12#map=12/32.6871/44.1659","Maplink1")</f>
        <v>Maplink1</v>
      </c>
      <c r="AU1599" s="12" t="str">
        <f>HYPERLINK("https://www.google.iq/maps/search/+32.6871,44.1659/@32.6871,44.1659,14z?hl=en","Maplink2")</f>
        <v>Maplink2</v>
      </c>
      <c r="AV1599" s="12" t="str">
        <f>HYPERLINK("http://www.bing.com/maps/?lvl=14&amp;sty=h&amp;cp=32.6871~44.1659&amp;sp=point.32.6871_44.1659","Maplink3")</f>
        <v>Maplink3</v>
      </c>
    </row>
    <row r="1600" spans="1:48" ht="15" customHeight="1" x14ac:dyDescent="0.25">
      <c r="A1600" s="19">
        <v>24140</v>
      </c>
      <c r="B1600" s="20" t="s">
        <v>16</v>
      </c>
      <c r="C1600" s="20" t="s">
        <v>16</v>
      </c>
      <c r="D1600" s="20" t="s">
        <v>3001</v>
      </c>
      <c r="E1600" s="20" t="s">
        <v>3002</v>
      </c>
      <c r="F1600" s="20">
        <v>32.683706409999999</v>
      </c>
      <c r="G1600" s="20">
        <v>44.171369239999997</v>
      </c>
      <c r="H1600" s="22">
        <v>15</v>
      </c>
      <c r="I1600" s="22">
        <v>90</v>
      </c>
      <c r="J1600" s="21"/>
      <c r="K1600" s="21">
        <v>15</v>
      </c>
      <c r="L1600" s="21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21"/>
      <c r="AH1600" s="21">
        <v>15</v>
      </c>
      <c r="AI1600" s="21"/>
      <c r="AJ1600" s="21"/>
      <c r="AK1600" s="21"/>
      <c r="AL1600" s="21">
        <v>15</v>
      </c>
      <c r="AM1600" s="21"/>
      <c r="AN1600" s="21"/>
      <c r="AO1600" s="21"/>
      <c r="AP1600" s="21"/>
      <c r="AQ1600" s="21"/>
      <c r="AR1600" s="21"/>
      <c r="AS1600" s="21"/>
      <c r="AT1600" s="12" t="str">
        <f>HYPERLINK("http://www.openstreetmap.org/?mlat=32.6837&amp;mlon=44.1714&amp;zoom=12#map=12/32.6837/44.1714","Maplink1")</f>
        <v>Maplink1</v>
      </c>
      <c r="AU1600" s="12" t="str">
        <f>HYPERLINK("https://www.google.iq/maps/search/+32.6837,44.1714/@32.6837,44.1714,14z?hl=en","Maplink2")</f>
        <v>Maplink2</v>
      </c>
      <c r="AV1600" s="12" t="str">
        <f>HYPERLINK("http://www.bing.com/maps/?lvl=14&amp;sty=h&amp;cp=32.6837~44.1714&amp;sp=point.32.6837_44.1714","Maplink3")</f>
        <v>Maplink3</v>
      </c>
    </row>
    <row r="1601" spans="1:48" ht="15" customHeight="1" x14ac:dyDescent="0.25">
      <c r="A1601" s="19">
        <v>14120</v>
      </c>
      <c r="B1601" s="20" t="s">
        <v>16</v>
      </c>
      <c r="C1601" s="20" t="s">
        <v>16</v>
      </c>
      <c r="D1601" s="20" t="s">
        <v>3003</v>
      </c>
      <c r="E1601" s="20" t="s">
        <v>3004</v>
      </c>
      <c r="F1601" s="20">
        <v>32.681997180000003</v>
      </c>
      <c r="G1601" s="20">
        <v>44.169291029999997</v>
      </c>
      <c r="H1601" s="22">
        <v>5</v>
      </c>
      <c r="I1601" s="22">
        <v>30</v>
      </c>
      <c r="J1601" s="21"/>
      <c r="K1601" s="21">
        <v>5</v>
      </c>
      <c r="L1601" s="21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21"/>
      <c r="AH1601" s="21">
        <v>5</v>
      </c>
      <c r="AI1601" s="21"/>
      <c r="AJ1601" s="21"/>
      <c r="AK1601" s="21"/>
      <c r="AL1601" s="21">
        <v>5</v>
      </c>
      <c r="AM1601" s="21"/>
      <c r="AN1601" s="21"/>
      <c r="AO1601" s="21"/>
      <c r="AP1601" s="21"/>
      <c r="AQ1601" s="21"/>
      <c r="AR1601" s="21"/>
      <c r="AS1601" s="21"/>
      <c r="AT1601" s="12" t="str">
        <f>HYPERLINK("http://www.openstreetmap.org/?mlat=32.682&amp;mlon=44.1693&amp;zoom=12#map=12/32.682/44.1693","Maplink1")</f>
        <v>Maplink1</v>
      </c>
      <c r="AU1601" s="12" t="str">
        <f>HYPERLINK("https://www.google.iq/maps/search/+32.682,44.1693/@32.682,44.1693,14z?hl=en","Maplink2")</f>
        <v>Maplink2</v>
      </c>
      <c r="AV1601" s="12" t="str">
        <f>HYPERLINK("http://www.bing.com/maps/?lvl=14&amp;sty=h&amp;cp=32.682~44.1693&amp;sp=point.32.682_44.1693","Maplink3")</f>
        <v>Maplink3</v>
      </c>
    </row>
    <row r="1602" spans="1:48" ht="15" customHeight="1" x14ac:dyDescent="0.25">
      <c r="A1602" s="19">
        <v>14191</v>
      </c>
      <c r="B1602" s="20" t="s">
        <v>16</v>
      </c>
      <c r="C1602" s="20" t="s">
        <v>16</v>
      </c>
      <c r="D1602" s="20" t="s">
        <v>3005</v>
      </c>
      <c r="E1602" s="20" t="s">
        <v>3006</v>
      </c>
      <c r="F1602" s="20">
        <v>32.696501310000002</v>
      </c>
      <c r="G1602" s="20">
        <v>44.140029640000002</v>
      </c>
      <c r="H1602" s="22">
        <v>33</v>
      </c>
      <c r="I1602" s="22">
        <v>198</v>
      </c>
      <c r="J1602" s="21"/>
      <c r="K1602" s="21">
        <v>11</v>
      </c>
      <c r="L1602" s="21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>
        <v>22</v>
      </c>
      <c r="W1602" s="21"/>
      <c r="X1602" s="21"/>
      <c r="Y1602" s="21"/>
      <c r="Z1602" s="21"/>
      <c r="AA1602" s="21"/>
      <c r="AB1602" s="21"/>
      <c r="AC1602" s="21">
        <v>11</v>
      </c>
      <c r="AD1602" s="21"/>
      <c r="AE1602" s="21"/>
      <c r="AF1602" s="21"/>
      <c r="AG1602" s="21">
        <v>4</v>
      </c>
      <c r="AH1602" s="21">
        <v>18</v>
      </c>
      <c r="AI1602" s="21"/>
      <c r="AJ1602" s="21"/>
      <c r="AK1602" s="21"/>
      <c r="AL1602" s="21">
        <v>11</v>
      </c>
      <c r="AM1602" s="21">
        <v>22</v>
      </c>
      <c r="AN1602" s="21"/>
      <c r="AO1602" s="21"/>
      <c r="AP1602" s="21"/>
      <c r="AQ1602" s="21"/>
      <c r="AR1602" s="21"/>
      <c r="AS1602" s="21"/>
      <c r="AT1602" s="12" t="str">
        <f>HYPERLINK("http://www.openstreetmap.org/?mlat=32.6965&amp;mlon=44.14&amp;zoom=12#map=12/32.6965/44.14","Maplink1")</f>
        <v>Maplink1</v>
      </c>
      <c r="AU1602" s="12" t="str">
        <f>HYPERLINK("https://www.google.iq/maps/search/+32.6965,44.14/@32.6965,44.14,14z?hl=en","Maplink2")</f>
        <v>Maplink2</v>
      </c>
      <c r="AV1602" s="12" t="str">
        <f>HYPERLINK("http://www.bing.com/maps/?lvl=14&amp;sty=h&amp;cp=32.6965~44.14&amp;sp=point.32.6965_44.14","Maplink3")</f>
        <v>Maplink3</v>
      </c>
    </row>
    <row r="1603" spans="1:48" ht="15" customHeight="1" x14ac:dyDescent="0.25">
      <c r="A1603" s="19">
        <v>14319</v>
      </c>
      <c r="B1603" s="20" t="s">
        <v>16</v>
      </c>
      <c r="C1603" s="20" t="s">
        <v>16</v>
      </c>
      <c r="D1603" s="20" t="s">
        <v>3008</v>
      </c>
      <c r="E1603" s="20" t="s">
        <v>440</v>
      </c>
      <c r="F1603" s="20">
        <v>32.590572154900002</v>
      </c>
      <c r="G1603" s="20">
        <v>44.031082855599998</v>
      </c>
      <c r="H1603" s="22">
        <v>5</v>
      </c>
      <c r="I1603" s="22">
        <v>30</v>
      </c>
      <c r="J1603" s="21">
        <v>1</v>
      </c>
      <c r="K1603" s="21"/>
      <c r="L1603" s="21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>
        <v>4</v>
      </c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21"/>
      <c r="AH1603" s="21">
        <v>5</v>
      </c>
      <c r="AI1603" s="21"/>
      <c r="AJ1603" s="21"/>
      <c r="AK1603" s="21"/>
      <c r="AL1603" s="21">
        <v>1</v>
      </c>
      <c r="AM1603" s="21">
        <v>4</v>
      </c>
      <c r="AN1603" s="21"/>
      <c r="AO1603" s="21"/>
      <c r="AP1603" s="21"/>
      <c r="AQ1603" s="21"/>
      <c r="AR1603" s="21"/>
      <c r="AS1603" s="21"/>
      <c r="AT1603" s="12" t="str">
        <f>HYPERLINK("http://www.openstreetmap.org/?mlat=32.5906&amp;mlon=44.0311&amp;zoom=12#map=12/32.5906/44.0311","Maplink1")</f>
        <v>Maplink1</v>
      </c>
      <c r="AU1603" s="12" t="str">
        <f>HYPERLINK("https://www.google.iq/maps/search/+32.5906,44.0311/@32.5906,44.0311,14z?hl=en","Maplink2")</f>
        <v>Maplink2</v>
      </c>
      <c r="AV1603" s="12" t="str">
        <f>HYPERLINK("http://www.bing.com/maps/?lvl=14&amp;sty=h&amp;cp=32.5906~44.0311&amp;sp=point.32.5906_44.0311","Maplink3")</f>
        <v>Maplink3</v>
      </c>
    </row>
    <row r="1604" spans="1:48" ht="15" customHeight="1" x14ac:dyDescent="0.25">
      <c r="A1604" s="19">
        <v>14286</v>
      </c>
      <c r="B1604" s="20" t="s">
        <v>16</v>
      </c>
      <c r="C1604" s="20" t="s">
        <v>16</v>
      </c>
      <c r="D1604" s="20" t="s">
        <v>3009</v>
      </c>
      <c r="E1604" s="20" t="s">
        <v>3010</v>
      </c>
      <c r="F1604" s="20">
        <v>32.603958378900003</v>
      </c>
      <c r="G1604" s="20">
        <v>43.980819845299997</v>
      </c>
      <c r="H1604" s="22">
        <v>18</v>
      </c>
      <c r="I1604" s="22">
        <v>108</v>
      </c>
      <c r="J1604" s="21"/>
      <c r="K1604" s="21"/>
      <c r="L1604" s="21"/>
      <c r="M1604" s="21"/>
      <c r="N1604" s="21"/>
      <c r="O1604" s="21">
        <v>2</v>
      </c>
      <c r="P1604" s="21"/>
      <c r="Q1604" s="21"/>
      <c r="R1604" s="21"/>
      <c r="S1604" s="21"/>
      <c r="T1604" s="21"/>
      <c r="U1604" s="21"/>
      <c r="V1604" s="21">
        <v>16</v>
      </c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21"/>
      <c r="AH1604" s="21">
        <v>18</v>
      </c>
      <c r="AI1604" s="21"/>
      <c r="AJ1604" s="21"/>
      <c r="AK1604" s="21"/>
      <c r="AL1604" s="21"/>
      <c r="AM1604" s="21">
        <v>18</v>
      </c>
      <c r="AN1604" s="21"/>
      <c r="AO1604" s="21"/>
      <c r="AP1604" s="21"/>
      <c r="AQ1604" s="21"/>
      <c r="AR1604" s="21"/>
      <c r="AS1604" s="21"/>
      <c r="AT1604" s="12" t="str">
        <f>HYPERLINK("http://www.openstreetmap.org/?mlat=32.604&amp;mlon=43.9808&amp;zoom=12#map=12/32.604/43.9808","Maplink1")</f>
        <v>Maplink1</v>
      </c>
      <c r="AU1604" s="12" t="str">
        <f>HYPERLINK("https://www.google.iq/maps/search/+32.604,43.9808/@32.604,43.9808,14z?hl=en","Maplink2")</f>
        <v>Maplink2</v>
      </c>
      <c r="AV1604" s="12" t="str">
        <f>HYPERLINK("http://www.bing.com/maps/?lvl=14&amp;sty=h&amp;cp=32.604~43.9808&amp;sp=point.32.604_43.9808","Maplink3")</f>
        <v>Maplink3</v>
      </c>
    </row>
    <row r="1605" spans="1:48" ht="15" customHeight="1" x14ac:dyDescent="0.25">
      <c r="A1605" s="19">
        <v>24285</v>
      </c>
      <c r="B1605" s="20" t="s">
        <v>16</v>
      </c>
      <c r="C1605" s="20" t="s">
        <v>16</v>
      </c>
      <c r="D1605" s="20" t="s">
        <v>3011</v>
      </c>
      <c r="E1605" s="20" t="s">
        <v>3012</v>
      </c>
      <c r="F1605" s="20">
        <v>32.656378689999997</v>
      </c>
      <c r="G1605" s="20">
        <v>44.040852030000003</v>
      </c>
      <c r="H1605" s="22">
        <v>490</v>
      </c>
      <c r="I1605" s="22">
        <v>2940</v>
      </c>
      <c r="J1605" s="21"/>
      <c r="K1605" s="21"/>
      <c r="L1605" s="21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>
        <v>490</v>
      </c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21"/>
      <c r="AH1605" s="21">
        <v>490</v>
      </c>
      <c r="AI1605" s="21"/>
      <c r="AJ1605" s="21"/>
      <c r="AK1605" s="21"/>
      <c r="AL1605" s="21"/>
      <c r="AM1605" s="21">
        <v>490</v>
      </c>
      <c r="AN1605" s="21"/>
      <c r="AO1605" s="21"/>
      <c r="AP1605" s="21"/>
      <c r="AQ1605" s="21"/>
      <c r="AR1605" s="21"/>
      <c r="AS1605" s="21"/>
      <c r="AT1605" s="12" t="str">
        <f>HYPERLINK("http://www.openstreetmap.org/?mlat=32.6564&amp;mlon=44.0409&amp;zoom=12#map=12/32.6564/44.0409","Maplink1")</f>
        <v>Maplink1</v>
      </c>
      <c r="AU1605" s="12" t="str">
        <f>HYPERLINK("https://www.google.iq/maps/search/+32.6564,44.0409/@32.6564,44.0409,14z?hl=en","Maplink2")</f>
        <v>Maplink2</v>
      </c>
      <c r="AV1605" s="12" t="str">
        <f>HYPERLINK("http://www.bing.com/maps/?lvl=14&amp;sty=h&amp;cp=32.6564~44.0409&amp;sp=point.32.6564_44.0409","Maplink3")</f>
        <v>Maplink3</v>
      </c>
    </row>
    <row r="1606" spans="1:48" ht="15" customHeight="1" x14ac:dyDescent="0.25">
      <c r="A1606" s="19">
        <v>21683</v>
      </c>
      <c r="B1606" s="20" t="s">
        <v>16</v>
      </c>
      <c r="C1606" s="20" t="s">
        <v>16</v>
      </c>
      <c r="D1606" s="20" t="s">
        <v>3013</v>
      </c>
      <c r="E1606" s="20" t="s">
        <v>3014</v>
      </c>
      <c r="F1606" s="20">
        <v>32.5881348407</v>
      </c>
      <c r="G1606" s="20">
        <v>44.06357654</v>
      </c>
      <c r="H1606" s="22">
        <v>6</v>
      </c>
      <c r="I1606" s="22">
        <v>36</v>
      </c>
      <c r="J1606" s="21"/>
      <c r="K1606" s="21"/>
      <c r="L1606" s="21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>
        <v>6</v>
      </c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21"/>
      <c r="AH1606" s="21">
        <v>6</v>
      </c>
      <c r="AI1606" s="21"/>
      <c r="AJ1606" s="21"/>
      <c r="AK1606" s="21"/>
      <c r="AL1606" s="21"/>
      <c r="AM1606" s="21">
        <v>6</v>
      </c>
      <c r="AN1606" s="21"/>
      <c r="AO1606" s="21"/>
      <c r="AP1606" s="21"/>
      <c r="AQ1606" s="21"/>
      <c r="AR1606" s="21"/>
      <c r="AS1606" s="21"/>
      <c r="AT1606" s="12" t="str">
        <f>HYPERLINK("http://www.openstreetmap.org/?mlat=32.5881&amp;mlon=44.0636&amp;zoom=12#map=12/32.5881/44.0636","Maplink1")</f>
        <v>Maplink1</v>
      </c>
      <c r="AU1606" s="12" t="str">
        <f>HYPERLINK("https://www.google.iq/maps/search/+32.5881,44.0636/@32.5881,44.0636,14z?hl=en","Maplink2")</f>
        <v>Maplink2</v>
      </c>
      <c r="AV1606" s="12" t="str">
        <f>HYPERLINK("http://www.bing.com/maps/?lvl=14&amp;sty=h&amp;cp=32.5881~44.0636&amp;sp=point.32.5881_44.0636","Maplink3")</f>
        <v>Maplink3</v>
      </c>
    </row>
    <row r="1607" spans="1:48" ht="15" customHeight="1" x14ac:dyDescent="0.25">
      <c r="A1607" s="19">
        <v>14186</v>
      </c>
      <c r="B1607" s="20" t="s">
        <v>16</v>
      </c>
      <c r="C1607" s="20" t="s">
        <v>16</v>
      </c>
      <c r="D1607" s="20" t="s">
        <v>3015</v>
      </c>
      <c r="E1607" s="20" t="s">
        <v>3016</v>
      </c>
      <c r="F1607" s="20">
        <v>32.661575478400003</v>
      </c>
      <c r="G1607" s="20">
        <v>43.985871955999997</v>
      </c>
      <c r="H1607" s="22">
        <v>28</v>
      </c>
      <c r="I1607" s="22">
        <v>168</v>
      </c>
      <c r="J1607" s="21">
        <v>8</v>
      </c>
      <c r="K1607" s="21"/>
      <c r="L1607" s="21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>
        <v>20</v>
      </c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21"/>
      <c r="AH1607" s="21">
        <v>28</v>
      </c>
      <c r="AI1607" s="21"/>
      <c r="AJ1607" s="21"/>
      <c r="AK1607" s="21"/>
      <c r="AL1607" s="21">
        <v>5</v>
      </c>
      <c r="AM1607" s="21">
        <v>20</v>
      </c>
      <c r="AN1607" s="21"/>
      <c r="AO1607" s="21">
        <v>3</v>
      </c>
      <c r="AP1607" s="21"/>
      <c r="AQ1607" s="21"/>
      <c r="AR1607" s="21"/>
      <c r="AS1607" s="21"/>
      <c r="AT1607" s="12" t="str">
        <f>HYPERLINK("http://www.openstreetmap.org/?mlat=32.6616&amp;mlon=43.9859&amp;zoom=12#map=12/32.6616/43.9859","Maplink1")</f>
        <v>Maplink1</v>
      </c>
      <c r="AU1607" s="12" t="str">
        <f>HYPERLINK("https://www.google.iq/maps/search/+32.6616,43.9859/@32.6616,43.9859,14z?hl=en","Maplink2")</f>
        <v>Maplink2</v>
      </c>
      <c r="AV1607" s="12" t="str">
        <f>HYPERLINK("http://www.bing.com/maps/?lvl=14&amp;sty=h&amp;cp=32.6616~43.9859&amp;sp=point.32.6616_43.9859","Maplink3")</f>
        <v>Maplink3</v>
      </c>
    </row>
    <row r="1608" spans="1:48" ht="15" customHeight="1" x14ac:dyDescent="0.25">
      <c r="A1608" s="19">
        <v>21142</v>
      </c>
      <c r="B1608" s="20" t="s">
        <v>16</v>
      </c>
      <c r="C1608" s="20" t="s">
        <v>16</v>
      </c>
      <c r="D1608" s="20" t="s">
        <v>3017</v>
      </c>
      <c r="E1608" s="20" t="s">
        <v>3018</v>
      </c>
      <c r="F1608" s="20">
        <v>32.609078310000001</v>
      </c>
      <c r="G1608" s="20">
        <v>44.007740839999997</v>
      </c>
      <c r="H1608" s="22">
        <v>8</v>
      </c>
      <c r="I1608" s="22">
        <v>48</v>
      </c>
      <c r="J1608" s="21">
        <v>4</v>
      </c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>
        <v>4</v>
      </c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21"/>
      <c r="AH1608" s="21">
        <v>8</v>
      </c>
      <c r="AI1608" s="21"/>
      <c r="AJ1608" s="21"/>
      <c r="AK1608" s="21"/>
      <c r="AL1608" s="21"/>
      <c r="AM1608" s="21">
        <v>4</v>
      </c>
      <c r="AN1608" s="21">
        <v>4</v>
      </c>
      <c r="AO1608" s="21"/>
      <c r="AP1608" s="21"/>
      <c r="AQ1608" s="21"/>
      <c r="AR1608" s="21"/>
      <c r="AS1608" s="21"/>
      <c r="AT1608" s="12" t="str">
        <f>HYPERLINK("http://www.openstreetmap.org/?mlat=32.6091&amp;mlon=44.0077&amp;zoom=12#map=12/32.6091/44.0077","Maplink1")</f>
        <v>Maplink1</v>
      </c>
      <c r="AU1608" s="12" t="str">
        <f>HYPERLINK("https://www.google.iq/maps/search/+32.6091,44.0077/@32.6091,44.0077,14z?hl=en","Maplink2")</f>
        <v>Maplink2</v>
      </c>
      <c r="AV1608" s="12" t="str">
        <f>HYPERLINK("http://www.bing.com/maps/?lvl=14&amp;sty=h&amp;cp=32.6091~44.0077&amp;sp=point.32.6091_44.0077","Maplink3")</f>
        <v>Maplink3</v>
      </c>
    </row>
    <row r="1609" spans="1:48" ht="15" customHeight="1" x14ac:dyDescent="0.25">
      <c r="A1609" s="19">
        <v>14023</v>
      </c>
      <c r="B1609" s="20" t="s">
        <v>16</v>
      </c>
      <c r="C1609" s="20" t="s">
        <v>16</v>
      </c>
      <c r="D1609" s="20" t="s">
        <v>5848</v>
      </c>
      <c r="E1609" s="20" t="s">
        <v>3067</v>
      </c>
      <c r="F1609" s="20">
        <v>32.581567980000003</v>
      </c>
      <c r="G1609" s="20">
        <v>44.020130880000004</v>
      </c>
      <c r="H1609" s="22">
        <v>4</v>
      </c>
      <c r="I1609" s="22">
        <v>24</v>
      </c>
      <c r="J1609" s="21"/>
      <c r="K1609" s="21"/>
      <c r="L1609" s="21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>
        <v>4</v>
      </c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21"/>
      <c r="AH1609" s="21">
        <v>4</v>
      </c>
      <c r="AI1609" s="21"/>
      <c r="AJ1609" s="21"/>
      <c r="AK1609" s="21"/>
      <c r="AL1609" s="21"/>
      <c r="AM1609" s="21">
        <v>4</v>
      </c>
      <c r="AN1609" s="21"/>
      <c r="AO1609" s="21"/>
      <c r="AP1609" s="21"/>
      <c r="AQ1609" s="21"/>
      <c r="AR1609" s="21"/>
      <c r="AS1609" s="21"/>
      <c r="AT1609" s="12" t="str">
        <f>HYPERLINK("http://www.openstreetmap.org/?mlat=32.5816&amp;mlon=44.0201&amp;zoom=12#map=12/32.5816/44.0201","Maplink1")</f>
        <v>Maplink1</v>
      </c>
      <c r="AU1609" s="12" t="str">
        <f>HYPERLINK("https://www.google.iq/maps/search/+32.5816,44.0201/@32.5816,44.0201,14z?hl=en","Maplink2")</f>
        <v>Maplink2</v>
      </c>
      <c r="AV1609" s="12" t="str">
        <f>HYPERLINK("http://www.bing.com/maps/?lvl=14&amp;sty=h&amp;cp=32.5816~44.0201&amp;sp=point.32.5816_44.0201","Maplink3")</f>
        <v>Maplink3</v>
      </c>
    </row>
    <row r="1610" spans="1:48" ht="15" customHeight="1" x14ac:dyDescent="0.25">
      <c r="A1610" s="19">
        <v>21111</v>
      </c>
      <c r="B1610" s="20" t="s">
        <v>16</v>
      </c>
      <c r="C1610" s="20" t="s">
        <v>16</v>
      </c>
      <c r="D1610" s="20" t="s">
        <v>3019</v>
      </c>
      <c r="E1610" s="20" t="s">
        <v>3020</v>
      </c>
      <c r="F1610" s="20">
        <v>32.637412498400003</v>
      </c>
      <c r="G1610" s="20">
        <v>43.965065450399997</v>
      </c>
      <c r="H1610" s="22">
        <v>10</v>
      </c>
      <c r="I1610" s="22">
        <v>60</v>
      </c>
      <c r="J1610" s="21"/>
      <c r="K1610" s="21"/>
      <c r="L1610" s="21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>
        <v>10</v>
      </c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21"/>
      <c r="AH1610" s="21">
        <v>10</v>
      </c>
      <c r="AI1610" s="21"/>
      <c r="AJ1610" s="21"/>
      <c r="AK1610" s="21"/>
      <c r="AL1610" s="21"/>
      <c r="AM1610" s="21">
        <v>10</v>
      </c>
      <c r="AN1610" s="21"/>
      <c r="AO1610" s="21"/>
      <c r="AP1610" s="21"/>
      <c r="AQ1610" s="21"/>
      <c r="AR1610" s="21"/>
      <c r="AS1610" s="21"/>
      <c r="AT1610" s="12" t="str">
        <f>HYPERLINK("http://www.openstreetmap.org/?mlat=32.6374&amp;mlon=43.9651&amp;zoom=12#map=12/32.6374/43.9651","Maplink1")</f>
        <v>Maplink1</v>
      </c>
      <c r="AU1610" s="12" t="str">
        <f>HYPERLINK("https://www.google.iq/maps/search/+32.6374,43.9651/@32.6374,43.9651,14z?hl=en","Maplink2")</f>
        <v>Maplink2</v>
      </c>
      <c r="AV1610" s="12" t="str">
        <f>HYPERLINK("http://www.bing.com/maps/?lvl=14&amp;sty=h&amp;cp=32.6374~43.9651&amp;sp=point.32.6374_43.9651","Maplink3")</f>
        <v>Maplink3</v>
      </c>
    </row>
    <row r="1611" spans="1:48" ht="15" customHeight="1" x14ac:dyDescent="0.25">
      <c r="A1611" s="19">
        <v>14037</v>
      </c>
      <c r="B1611" s="20" t="s">
        <v>16</v>
      </c>
      <c r="C1611" s="20" t="s">
        <v>16</v>
      </c>
      <c r="D1611" s="20" t="s">
        <v>3021</v>
      </c>
      <c r="E1611" s="20" t="s">
        <v>3022</v>
      </c>
      <c r="F1611" s="20">
        <v>32.598679760300001</v>
      </c>
      <c r="G1611" s="20">
        <v>44.111626357799999</v>
      </c>
      <c r="H1611" s="22">
        <v>53</v>
      </c>
      <c r="I1611" s="22">
        <v>318</v>
      </c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>
        <v>53</v>
      </c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21"/>
      <c r="AH1611" s="21">
        <v>53</v>
      </c>
      <c r="AI1611" s="21"/>
      <c r="AJ1611" s="21"/>
      <c r="AK1611" s="21"/>
      <c r="AL1611" s="21"/>
      <c r="AM1611" s="21">
        <v>53</v>
      </c>
      <c r="AN1611" s="21"/>
      <c r="AO1611" s="21"/>
      <c r="AP1611" s="21"/>
      <c r="AQ1611" s="21"/>
      <c r="AR1611" s="21"/>
      <c r="AS1611" s="21"/>
      <c r="AT1611" s="12" t="str">
        <f>HYPERLINK("http://www.openstreetmap.org/?mlat=32.5987&amp;mlon=44.1116&amp;zoom=12#map=12/32.5987/44.1116","Maplink1")</f>
        <v>Maplink1</v>
      </c>
      <c r="AU1611" s="12" t="str">
        <f>HYPERLINK("https://www.google.iq/maps/search/+32.5987,44.1116/@32.5987,44.1116,14z?hl=en","Maplink2")</f>
        <v>Maplink2</v>
      </c>
      <c r="AV1611" s="12" t="str">
        <f>HYPERLINK("http://www.bing.com/maps/?lvl=14&amp;sty=h&amp;cp=32.5987~44.1116&amp;sp=point.32.5987_44.1116","Maplink3")</f>
        <v>Maplink3</v>
      </c>
    </row>
    <row r="1612" spans="1:48" ht="15" customHeight="1" x14ac:dyDescent="0.25">
      <c r="A1612" s="19">
        <v>13785</v>
      </c>
      <c r="B1612" s="20" t="s">
        <v>16</v>
      </c>
      <c r="C1612" s="20" t="s">
        <v>16</v>
      </c>
      <c r="D1612" s="20" t="s">
        <v>3023</v>
      </c>
      <c r="E1612" s="20" t="s">
        <v>1416</v>
      </c>
      <c r="F1612" s="20">
        <v>32.640706564399999</v>
      </c>
      <c r="G1612" s="20">
        <v>44.048903757399998</v>
      </c>
      <c r="H1612" s="22">
        <v>25</v>
      </c>
      <c r="I1612" s="22">
        <v>150</v>
      </c>
      <c r="J1612" s="21"/>
      <c r="K1612" s="21"/>
      <c r="L1612" s="21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>
        <v>25</v>
      </c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21"/>
      <c r="AH1612" s="21">
        <v>25</v>
      </c>
      <c r="AI1612" s="21"/>
      <c r="AJ1612" s="21"/>
      <c r="AK1612" s="21"/>
      <c r="AL1612" s="21"/>
      <c r="AM1612" s="21">
        <v>25</v>
      </c>
      <c r="AN1612" s="21"/>
      <c r="AO1612" s="21"/>
      <c r="AP1612" s="21"/>
      <c r="AQ1612" s="21"/>
      <c r="AR1612" s="21"/>
      <c r="AS1612" s="21"/>
      <c r="AT1612" s="12" t="str">
        <f>HYPERLINK("http://www.openstreetmap.org/?mlat=32.6407&amp;mlon=44.0489&amp;zoom=12#map=12/32.6407/44.0489","Maplink1")</f>
        <v>Maplink1</v>
      </c>
      <c r="AU1612" s="12" t="str">
        <f>HYPERLINK("https://www.google.iq/maps/search/+32.6407,44.0489/@32.6407,44.0489,14z?hl=en","Maplink2")</f>
        <v>Maplink2</v>
      </c>
      <c r="AV1612" s="12" t="str">
        <f>HYPERLINK("http://www.bing.com/maps/?lvl=14&amp;sty=h&amp;cp=32.6407~44.0489&amp;sp=point.32.6407_44.0489","Maplink3")</f>
        <v>Maplink3</v>
      </c>
    </row>
    <row r="1613" spans="1:48" ht="15" customHeight="1" x14ac:dyDescent="0.25">
      <c r="A1613" s="19">
        <v>26068</v>
      </c>
      <c r="B1613" s="20" t="s">
        <v>16</v>
      </c>
      <c r="C1613" s="20" t="s">
        <v>16</v>
      </c>
      <c r="D1613" s="20" t="s">
        <v>3024</v>
      </c>
      <c r="E1613" s="20" t="s">
        <v>3025</v>
      </c>
      <c r="F1613" s="20">
        <v>32.667287060299998</v>
      </c>
      <c r="G1613" s="20">
        <v>44.069605104899999</v>
      </c>
      <c r="H1613" s="22">
        <v>13</v>
      </c>
      <c r="I1613" s="22">
        <v>78</v>
      </c>
      <c r="J1613" s="21"/>
      <c r="K1613" s="21"/>
      <c r="L1613" s="21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>
        <v>13</v>
      </c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21"/>
      <c r="AH1613" s="21">
        <v>13</v>
      </c>
      <c r="AI1613" s="21"/>
      <c r="AJ1613" s="21"/>
      <c r="AK1613" s="21"/>
      <c r="AL1613" s="21"/>
      <c r="AM1613" s="21">
        <v>13</v>
      </c>
      <c r="AN1613" s="21"/>
      <c r="AO1613" s="21"/>
      <c r="AP1613" s="21"/>
      <c r="AQ1613" s="21"/>
      <c r="AR1613" s="21"/>
      <c r="AS1613" s="21"/>
      <c r="AT1613" s="12" t="str">
        <f>HYPERLINK("http://www.openstreetmap.org/?mlat=32.6673&amp;mlon=44.0696&amp;zoom=12#map=12/32.6673/44.0696","Maplink1")</f>
        <v>Maplink1</v>
      </c>
      <c r="AU1613" s="12" t="str">
        <f>HYPERLINK("https://www.google.iq/maps/search/+32.6673,44.0696/@32.6673,44.0696,14z?hl=en","Maplink2")</f>
        <v>Maplink2</v>
      </c>
      <c r="AV1613" s="12" t="str">
        <f>HYPERLINK("http://www.bing.com/maps/?lvl=14&amp;sty=h&amp;cp=32.6673~44.0696&amp;sp=point.32.6673_44.0696","Maplink3")</f>
        <v>Maplink3</v>
      </c>
    </row>
    <row r="1614" spans="1:48" ht="15" customHeight="1" x14ac:dyDescent="0.25">
      <c r="A1614" s="19">
        <v>26065</v>
      </c>
      <c r="B1614" s="20" t="s">
        <v>16</v>
      </c>
      <c r="C1614" s="20" t="s">
        <v>16</v>
      </c>
      <c r="D1614" s="20" t="s">
        <v>3026</v>
      </c>
      <c r="E1614" s="20" t="s">
        <v>3027</v>
      </c>
      <c r="F1614" s="20">
        <v>32.682872182300002</v>
      </c>
      <c r="G1614" s="20">
        <v>44.076465440100002</v>
      </c>
      <c r="H1614" s="22">
        <v>52</v>
      </c>
      <c r="I1614" s="22">
        <v>312</v>
      </c>
      <c r="J1614" s="21"/>
      <c r="K1614" s="21">
        <v>3</v>
      </c>
      <c r="L1614" s="21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>
        <v>49</v>
      </c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>
        <v>9</v>
      </c>
      <c r="AG1614" s="21">
        <v>11</v>
      </c>
      <c r="AH1614" s="21">
        <v>32</v>
      </c>
      <c r="AI1614" s="21"/>
      <c r="AJ1614" s="21"/>
      <c r="AK1614" s="21"/>
      <c r="AL1614" s="21">
        <v>3</v>
      </c>
      <c r="AM1614" s="21">
        <v>49</v>
      </c>
      <c r="AN1614" s="21"/>
      <c r="AO1614" s="21"/>
      <c r="AP1614" s="21"/>
      <c r="AQ1614" s="21"/>
      <c r="AR1614" s="21"/>
      <c r="AS1614" s="21"/>
      <c r="AT1614" s="12" t="str">
        <f>HYPERLINK("http://www.openstreetmap.org/?mlat=32.6829&amp;mlon=44.0765&amp;zoom=12#map=12/32.6829/44.0765","Maplink1")</f>
        <v>Maplink1</v>
      </c>
      <c r="AU1614" s="12" t="str">
        <f>HYPERLINK("https://www.google.iq/maps/search/+32.6829,44.0765/@32.6829,44.0765,14z?hl=en","Maplink2")</f>
        <v>Maplink2</v>
      </c>
      <c r="AV1614" s="12" t="str">
        <f>HYPERLINK("http://www.bing.com/maps/?lvl=14&amp;sty=h&amp;cp=32.6829~44.0765&amp;sp=point.32.6829_44.0765","Maplink3")</f>
        <v>Maplink3</v>
      </c>
    </row>
    <row r="1615" spans="1:48" ht="15" customHeight="1" x14ac:dyDescent="0.25">
      <c r="A1615" s="19">
        <v>25901</v>
      </c>
      <c r="B1615" s="20" t="s">
        <v>16</v>
      </c>
      <c r="C1615" s="20" t="s">
        <v>16</v>
      </c>
      <c r="D1615" s="20" t="s">
        <v>3028</v>
      </c>
      <c r="E1615" s="20" t="s">
        <v>3029</v>
      </c>
      <c r="F1615" s="20">
        <v>32.668108093199997</v>
      </c>
      <c r="G1615" s="20">
        <v>44.067280440499999</v>
      </c>
      <c r="H1615" s="22">
        <v>3</v>
      </c>
      <c r="I1615" s="22">
        <v>18</v>
      </c>
      <c r="J1615" s="21"/>
      <c r="K1615" s="21">
        <v>3</v>
      </c>
      <c r="L1615" s="21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>
        <v>3</v>
      </c>
      <c r="AD1615" s="21"/>
      <c r="AE1615" s="21"/>
      <c r="AF1615" s="21"/>
      <c r="AG1615" s="21"/>
      <c r="AH1615" s="21"/>
      <c r="AI1615" s="21"/>
      <c r="AJ1615" s="21"/>
      <c r="AK1615" s="21"/>
      <c r="AL1615" s="21">
        <v>3</v>
      </c>
      <c r="AM1615" s="21"/>
      <c r="AN1615" s="21"/>
      <c r="AO1615" s="21"/>
      <c r="AP1615" s="21"/>
      <c r="AQ1615" s="21"/>
      <c r="AR1615" s="21"/>
      <c r="AS1615" s="21"/>
      <c r="AT1615" s="12" t="str">
        <f>HYPERLINK("http://www.openstreetmap.org/?mlat=32.6681&amp;mlon=44.0673&amp;zoom=12#map=12/32.6681/44.0673","Maplink1")</f>
        <v>Maplink1</v>
      </c>
      <c r="AU1615" s="12" t="str">
        <f>HYPERLINK("https://www.google.iq/maps/search/+32.6681,44.0673/@32.6681,44.0673,14z?hl=en","Maplink2")</f>
        <v>Maplink2</v>
      </c>
      <c r="AV1615" s="12" t="str">
        <f>HYPERLINK("http://www.bing.com/maps/?lvl=14&amp;sty=h&amp;cp=32.6681~44.0673&amp;sp=point.32.6681_44.0673","Maplink3")</f>
        <v>Maplink3</v>
      </c>
    </row>
    <row r="1616" spans="1:48" ht="15" customHeight="1" x14ac:dyDescent="0.25">
      <c r="A1616" s="19">
        <v>26061</v>
      </c>
      <c r="B1616" s="20" t="s">
        <v>16</v>
      </c>
      <c r="C1616" s="20" t="s">
        <v>16</v>
      </c>
      <c r="D1616" s="20" t="s">
        <v>6144</v>
      </c>
      <c r="E1616" s="20" t="s">
        <v>6145</v>
      </c>
      <c r="F1616" s="20">
        <v>32.668775269999998</v>
      </c>
      <c r="G1616" s="20">
        <v>44.071174659999997</v>
      </c>
      <c r="H1616" s="22">
        <v>15</v>
      </c>
      <c r="I1616" s="22">
        <v>90</v>
      </c>
      <c r="J1616" s="21"/>
      <c r="K1616" s="21"/>
      <c r="L1616" s="21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>
        <v>15</v>
      </c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>
        <v>9</v>
      </c>
      <c r="AG1616" s="21"/>
      <c r="AH1616" s="21">
        <v>6</v>
      </c>
      <c r="AI1616" s="21"/>
      <c r="AJ1616" s="21"/>
      <c r="AK1616" s="21"/>
      <c r="AL1616" s="21"/>
      <c r="AM1616" s="21">
        <v>15</v>
      </c>
      <c r="AN1616" s="21"/>
      <c r="AO1616" s="21"/>
      <c r="AP1616" s="21"/>
      <c r="AQ1616" s="21"/>
      <c r="AR1616" s="21"/>
      <c r="AS1616" s="21"/>
      <c r="AT1616" s="12" t="str">
        <f>HYPERLINK("http://www.openstreetmap.org/?mlat=32.6688&amp;mlon=44.0712&amp;zoom=12#map=12/32.6688/44.0712","Maplink1")</f>
        <v>Maplink1</v>
      </c>
      <c r="AU1616" s="12" t="str">
        <f>HYPERLINK("https://www.google.iq/maps/search/+32.6688,44.0712/@32.6688,44.0712,14z?hl=en","Maplink2")</f>
        <v>Maplink2</v>
      </c>
      <c r="AV1616" s="12" t="str">
        <f>HYPERLINK("http://www.bing.com/maps/?lvl=14&amp;sty=h&amp;cp=32.6688~44.0712&amp;sp=point.32.6688_44.0712","Maplink3")</f>
        <v>Maplink3</v>
      </c>
    </row>
    <row r="1617" spans="1:48" ht="15" customHeight="1" x14ac:dyDescent="0.25">
      <c r="A1617" s="19">
        <v>14133</v>
      </c>
      <c r="B1617" s="20" t="s">
        <v>16</v>
      </c>
      <c r="C1617" s="20" t="s">
        <v>16</v>
      </c>
      <c r="D1617" s="20" t="s">
        <v>3030</v>
      </c>
      <c r="E1617" s="20" t="s">
        <v>3031</v>
      </c>
      <c r="F1617" s="20">
        <v>32.620374220800002</v>
      </c>
      <c r="G1617" s="20">
        <v>44.035325741199998</v>
      </c>
      <c r="H1617" s="22">
        <v>15</v>
      </c>
      <c r="I1617" s="22">
        <v>90</v>
      </c>
      <c r="J1617" s="21"/>
      <c r="K1617" s="21"/>
      <c r="L1617" s="21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>
        <v>15</v>
      </c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21"/>
      <c r="AH1617" s="21">
        <v>15</v>
      </c>
      <c r="AI1617" s="21"/>
      <c r="AJ1617" s="21"/>
      <c r="AK1617" s="21"/>
      <c r="AL1617" s="21"/>
      <c r="AM1617" s="21">
        <v>15</v>
      </c>
      <c r="AN1617" s="21"/>
      <c r="AO1617" s="21"/>
      <c r="AP1617" s="21"/>
      <c r="AQ1617" s="21"/>
      <c r="AR1617" s="21"/>
      <c r="AS1617" s="21"/>
      <c r="AT1617" s="12" t="str">
        <f>HYPERLINK("http://www.openstreetmap.org/?mlat=32.6204&amp;mlon=44.0353&amp;zoom=12#map=12/32.6204/44.0353","Maplink1")</f>
        <v>Maplink1</v>
      </c>
      <c r="AU1617" s="12" t="str">
        <f>HYPERLINK("https://www.google.iq/maps/search/+32.6204,44.0353/@32.6204,44.0353,14z?hl=en","Maplink2")</f>
        <v>Maplink2</v>
      </c>
      <c r="AV1617" s="12" t="str">
        <f>HYPERLINK("http://www.bing.com/maps/?lvl=14&amp;sty=h&amp;cp=32.6204~44.0353&amp;sp=point.32.6204_44.0353","Maplink3")</f>
        <v>Maplink3</v>
      </c>
    </row>
    <row r="1618" spans="1:48" ht="15" customHeight="1" x14ac:dyDescent="0.25">
      <c r="A1618" s="19">
        <v>25850</v>
      </c>
      <c r="B1618" s="20" t="s">
        <v>16</v>
      </c>
      <c r="C1618" s="20" t="s">
        <v>16</v>
      </c>
      <c r="D1618" s="20" t="s">
        <v>3032</v>
      </c>
      <c r="E1618" s="20" t="s">
        <v>3033</v>
      </c>
      <c r="F1618" s="20">
        <v>32.606118610000003</v>
      </c>
      <c r="G1618" s="20">
        <v>44.021643730000001</v>
      </c>
      <c r="H1618" s="22">
        <v>5</v>
      </c>
      <c r="I1618" s="22">
        <v>30</v>
      </c>
      <c r="J1618" s="21"/>
      <c r="K1618" s="21"/>
      <c r="L1618" s="21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>
        <v>5</v>
      </c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21"/>
      <c r="AH1618" s="21">
        <v>5</v>
      </c>
      <c r="AI1618" s="21"/>
      <c r="AJ1618" s="21"/>
      <c r="AK1618" s="21"/>
      <c r="AL1618" s="21"/>
      <c r="AM1618" s="21">
        <v>5</v>
      </c>
      <c r="AN1618" s="21"/>
      <c r="AO1618" s="21"/>
      <c r="AP1618" s="21"/>
      <c r="AQ1618" s="21"/>
      <c r="AR1618" s="21"/>
      <c r="AS1618" s="21"/>
      <c r="AT1618" s="12" t="str">
        <f>HYPERLINK("http://www.openstreetmap.org/?mlat=32.6061&amp;mlon=44.0216&amp;zoom=12#map=12/32.6061/44.0216","Maplink1")</f>
        <v>Maplink1</v>
      </c>
      <c r="AU1618" s="12" t="str">
        <f>HYPERLINK("https://www.google.iq/maps/search/+32.6061,44.0216/@32.6061,44.0216,14z?hl=en","Maplink2")</f>
        <v>Maplink2</v>
      </c>
      <c r="AV1618" s="12" t="str">
        <f>HYPERLINK("http://www.bing.com/maps/?lvl=14&amp;sty=h&amp;cp=32.6061~44.0216&amp;sp=point.32.6061_44.0216","Maplink3")</f>
        <v>Maplink3</v>
      </c>
    </row>
    <row r="1619" spans="1:48" ht="15" customHeight="1" x14ac:dyDescent="0.25">
      <c r="A1619" s="19">
        <v>25268</v>
      </c>
      <c r="B1619" s="20" t="s">
        <v>16</v>
      </c>
      <c r="C1619" s="20" t="s">
        <v>16</v>
      </c>
      <c r="D1619" s="20" t="s">
        <v>3034</v>
      </c>
      <c r="E1619" s="20" t="s">
        <v>3035</v>
      </c>
      <c r="F1619" s="20">
        <v>32.610732179999999</v>
      </c>
      <c r="G1619" s="20">
        <v>44.011602459999999</v>
      </c>
      <c r="H1619" s="22">
        <v>2</v>
      </c>
      <c r="I1619" s="22">
        <v>12</v>
      </c>
      <c r="J1619" s="21"/>
      <c r="K1619" s="21"/>
      <c r="L1619" s="21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>
        <v>2</v>
      </c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21"/>
      <c r="AH1619" s="21">
        <v>2</v>
      </c>
      <c r="AI1619" s="21"/>
      <c r="AJ1619" s="21"/>
      <c r="AK1619" s="21"/>
      <c r="AL1619" s="21"/>
      <c r="AM1619" s="21">
        <v>2</v>
      </c>
      <c r="AN1619" s="21"/>
      <c r="AO1619" s="21"/>
      <c r="AP1619" s="21"/>
      <c r="AQ1619" s="21"/>
      <c r="AR1619" s="21"/>
      <c r="AS1619" s="21"/>
      <c r="AT1619" s="12" t="str">
        <f>HYPERLINK("http://www.openstreetmap.org/?mlat=32.6107&amp;mlon=44.0116&amp;zoom=12#map=12/32.6107/44.0116","Maplink1")</f>
        <v>Maplink1</v>
      </c>
      <c r="AU1619" s="12" t="str">
        <f>HYPERLINK("https://www.google.iq/maps/search/+32.6107,44.0116/@32.6107,44.0116,14z?hl=en","Maplink2")</f>
        <v>Maplink2</v>
      </c>
      <c r="AV1619" s="12" t="str">
        <f>HYPERLINK("http://www.bing.com/maps/?lvl=14&amp;sty=h&amp;cp=32.6107~44.0116&amp;sp=point.32.6107_44.0116","Maplink3")</f>
        <v>Maplink3</v>
      </c>
    </row>
    <row r="1620" spans="1:48" ht="15" customHeight="1" x14ac:dyDescent="0.25">
      <c r="A1620" s="19">
        <v>22396</v>
      </c>
      <c r="B1620" s="20" t="s">
        <v>16</v>
      </c>
      <c r="C1620" s="20" t="s">
        <v>16</v>
      </c>
      <c r="D1620" s="20" t="s">
        <v>366</v>
      </c>
      <c r="E1620" s="20" t="s">
        <v>3036</v>
      </c>
      <c r="F1620" s="20">
        <v>32.627875940000003</v>
      </c>
      <c r="G1620" s="20">
        <v>43.976988380000002</v>
      </c>
      <c r="H1620" s="22">
        <v>5</v>
      </c>
      <c r="I1620" s="22">
        <v>30</v>
      </c>
      <c r="J1620" s="21"/>
      <c r="K1620" s="21"/>
      <c r="L1620" s="21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>
        <v>5</v>
      </c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21"/>
      <c r="AH1620" s="21">
        <v>5</v>
      </c>
      <c r="AI1620" s="21"/>
      <c r="AJ1620" s="21"/>
      <c r="AK1620" s="21"/>
      <c r="AL1620" s="21"/>
      <c r="AM1620" s="21">
        <v>5</v>
      </c>
      <c r="AN1620" s="21"/>
      <c r="AO1620" s="21"/>
      <c r="AP1620" s="21"/>
      <c r="AQ1620" s="21"/>
      <c r="AR1620" s="21"/>
      <c r="AS1620" s="21"/>
      <c r="AT1620" s="12" t="str">
        <f>HYPERLINK("http://www.openstreetmap.org/?mlat=32.6279&amp;mlon=43.977&amp;zoom=12#map=12/32.6279/43.977","Maplink1")</f>
        <v>Maplink1</v>
      </c>
      <c r="AU1620" s="12" t="str">
        <f>HYPERLINK("https://www.google.iq/maps/search/+32.6279,43.977/@32.6279,43.977,14z?hl=en","Maplink2")</f>
        <v>Maplink2</v>
      </c>
      <c r="AV1620" s="12" t="str">
        <f>HYPERLINK("http://www.bing.com/maps/?lvl=14&amp;sty=h&amp;cp=32.6279~43.977&amp;sp=point.32.6279_43.977","Maplink3")</f>
        <v>Maplink3</v>
      </c>
    </row>
    <row r="1621" spans="1:48" ht="15" customHeight="1" x14ac:dyDescent="0.25">
      <c r="A1621" s="19">
        <v>25351</v>
      </c>
      <c r="B1621" s="20" t="s">
        <v>16</v>
      </c>
      <c r="C1621" s="20" t="s">
        <v>16</v>
      </c>
      <c r="D1621" s="20" t="s">
        <v>3037</v>
      </c>
      <c r="E1621" s="20" t="s">
        <v>3038</v>
      </c>
      <c r="F1621" s="20">
        <v>32.626459359999998</v>
      </c>
      <c r="G1621" s="20">
        <v>43.985735820000002</v>
      </c>
      <c r="H1621" s="22">
        <v>8</v>
      </c>
      <c r="I1621" s="22">
        <v>48</v>
      </c>
      <c r="J1621" s="21">
        <v>3</v>
      </c>
      <c r="K1621" s="21"/>
      <c r="L1621" s="21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>
        <v>5</v>
      </c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21"/>
      <c r="AH1621" s="21">
        <v>8</v>
      </c>
      <c r="AI1621" s="21"/>
      <c r="AJ1621" s="21"/>
      <c r="AK1621" s="21"/>
      <c r="AL1621" s="21"/>
      <c r="AM1621" s="21">
        <v>5</v>
      </c>
      <c r="AN1621" s="21">
        <v>3</v>
      </c>
      <c r="AO1621" s="21"/>
      <c r="AP1621" s="21"/>
      <c r="AQ1621" s="21"/>
      <c r="AR1621" s="21"/>
      <c r="AS1621" s="21"/>
      <c r="AT1621" s="12" t="str">
        <f>HYPERLINK("http://www.openstreetmap.org/?mlat=32.6265&amp;mlon=43.9857&amp;zoom=12#map=12/32.6265/43.9857","Maplink1")</f>
        <v>Maplink1</v>
      </c>
      <c r="AU1621" s="12" t="str">
        <f>HYPERLINK("https://www.google.iq/maps/search/+32.6265,43.9857/@32.6265,43.9857,14z?hl=en","Maplink2")</f>
        <v>Maplink2</v>
      </c>
      <c r="AV1621" s="12" t="str">
        <f>HYPERLINK("http://www.bing.com/maps/?lvl=14&amp;sty=h&amp;cp=32.6265~43.9857&amp;sp=point.32.6265_43.9857","Maplink3")</f>
        <v>Maplink3</v>
      </c>
    </row>
    <row r="1622" spans="1:48" ht="15" customHeight="1" x14ac:dyDescent="0.25">
      <c r="A1622" s="19">
        <v>25353</v>
      </c>
      <c r="B1622" s="20" t="s">
        <v>16</v>
      </c>
      <c r="C1622" s="20" t="s">
        <v>16</v>
      </c>
      <c r="D1622" s="20" t="s">
        <v>3039</v>
      </c>
      <c r="E1622" s="20" t="s">
        <v>3040</v>
      </c>
      <c r="F1622" s="20">
        <v>32.630384479999996</v>
      </c>
      <c r="G1622" s="20">
        <v>43.98199271</v>
      </c>
      <c r="H1622" s="22">
        <v>3</v>
      </c>
      <c r="I1622" s="22">
        <v>18</v>
      </c>
      <c r="J1622" s="21"/>
      <c r="K1622" s="21"/>
      <c r="L1622" s="21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>
        <v>3</v>
      </c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21"/>
      <c r="AH1622" s="21">
        <v>3</v>
      </c>
      <c r="AI1622" s="21"/>
      <c r="AJ1622" s="21"/>
      <c r="AK1622" s="21"/>
      <c r="AL1622" s="21"/>
      <c r="AM1622" s="21">
        <v>3</v>
      </c>
      <c r="AN1622" s="21"/>
      <c r="AO1622" s="21"/>
      <c r="AP1622" s="21"/>
      <c r="AQ1622" s="21"/>
      <c r="AR1622" s="21"/>
      <c r="AS1622" s="21"/>
      <c r="AT1622" s="12" t="str">
        <f>HYPERLINK("http://www.openstreetmap.org/?mlat=32.6304&amp;mlon=43.982&amp;zoom=12#map=12/32.6304/43.982","Maplink1")</f>
        <v>Maplink1</v>
      </c>
      <c r="AU1622" s="12" t="str">
        <f>HYPERLINK("https://www.google.iq/maps/search/+32.6304,43.982/@32.6304,43.982,14z?hl=en","Maplink2")</f>
        <v>Maplink2</v>
      </c>
      <c r="AV1622" s="12" t="str">
        <f>HYPERLINK("http://www.bing.com/maps/?lvl=14&amp;sty=h&amp;cp=32.6304~43.982&amp;sp=point.32.6304_43.982","Maplink3")</f>
        <v>Maplink3</v>
      </c>
    </row>
    <row r="1623" spans="1:48" ht="15" customHeight="1" x14ac:dyDescent="0.25">
      <c r="A1623" s="19">
        <v>23594</v>
      </c>
      <c r="B1623" s="20" t="s">
        <v>16</v>
      </c>
      <c r="C1623" s="20" t="s">
        <v>16</v>
      </c>
      <c r="D1623" s="20" t="s">
        <v>3041</v>
      </c>
      <c r="E1623" s="20" t="s">
        <v>3042</v>
      </c>
      <c r="F1623" s="20">
        <v>32.582828939999999</v>
      </c>
      <c r="G1623" s="20">
        <v>44.001810949999999</v>
      </c>
      <c r="H1623" s="22">
        <v>5</v>
      </c>
      <c r="I1623" s="22">
        <v>30</v>
      </c>
      <c r="J1623" s="21"/>
      <c r="K1623" s="21"/>
      <c r="L1623" s="21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>
        <v>5</v>
      </c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>
        <v>2</v>
      </c>
      <c r="AG1623" s="21"/>
      <c r="AH1623" s="21">
        <v>3</v>
      </c>
      <c r="AI1623" s="21"/>
      <c r="AJ1623" s="21"/>
      <c r="AK1623" s="21"/>
      <c r="AL1623" s="21"/>
      <c r="AM1623" s="21">
        <v>5</v>
      </c>
      <c r="AN1623" s="21"/>
      <c r="AO1623" s="21"/>
      <c r="AP1623" s="21"/>
      <c r="AQ1623" s="21"/>
      <c r="AR1623" s="21"/>
      <c r="AS1623" s="21"/>
      <c r="AT1623" s="12" t="str">
        <f>HYPERLINK("http://www.openstreetmap.org/?mlat=32.5828&amp;mlon=44.0018&amp;zoom=12#map=12/32.5828/44.0018","Maplink1")</f>
        <v>Maplink1</v>
      </c>
      <c r="AU1623" s="12" t="str">
        <f>HYPERLINK("https://www.google.iq/maps/search/+32.5828,44.0018/@32.5828,44.0018,14z?hl=en","Maplink2")</f>
        <v>Maplink2</v>
      </c>
      <c r="AV1623" s="12" t="str">
        <f>HYPERLINK("http://www.bing.com/maps/?lvl=14&amp;sty=h&amp;cp=32.5828~44.0018&amp;sp=point.32.5828_44.0018","Maplink3")</f>
        <v>Maplink3</v>
      </c>
    </row>
    <row r="1624" spans="1:48" ht="15" customHeight="1" x14ac:dyDescent="0.25">
      <c r="A1624" s="19">
        <v>25063</v>
      </c>
      <c r="B1624" s="20" t="s">
        <v>16</v>
      </c>
      <c r="C1624" s="20" t="s">
        <v>16</v>
      </c>
      <c r="D1624" s="20" t="s">
        <v>3043</v>
      </c>
      <c r="E1624" s="20" t="s">
        <v>318</v>
      </c>
      <c r="F1624" s="20">
        <v>32.600840239999997</v>
      </c>
      <c r="G1624" s="20">
        <v>44.017047259999998</v>
      </c>
      <c r="H1624" s="22">
        <v>10</v>
      </c>
      <c r="I1624" s="22">
        <v>60</v>
      </c>
      <c r="J1624" s="21">
        <v>2</v>
      </c>
      <c r="K1624" s="21"/>
      <c r="L1624" s="21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>
        <v>8</v>
      </c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21"/>
      <c r="AH1624" s="21">
        <v>10</v>
      </c>
      <c r="AI1624" s="21"/>
      <c r="AJ1624" s="21"/>
      <c r="AK1624" s="21"/>
      <c r="AL1624" s="21">
        <v>2</v>
      </c>
      <c r="AM1624" s="21">
        <v>8</v>
      </c>
      <c r="AN1624" s="21"/>
      <c r="AO1624" s="21"/>
      <c r="AP1624" s="21"/>
      <c r="AQ1624" s="21"/>
      <c r="AR1624" s="21"/>
      <c r="AS1624" s="21"/>
      <c r="AT1624" s="12" t="str">
        <f>HYPERLINK("http://www.openstreetmap.org/?mlat=32.6008&amp;mlon=44.017&amp;zoom=12#map=12/32.6008/44.017","Maplink1")</f>
        <v>Maplink1</v>
      </c>
      <c r="AU1624" s="12" t="str">
        <f>HYPERLINK("https://www.google.iq/maps/search/+32.6008,44.017/@32.6008,44.017,14z?hl=en","Maplink2")</f>
        <v>Maplink2</v>
      </c>
      <c r="AV1624" s="12" t="str">
        <f>HYPERLINK("http://www.bing.com/maps/?lvl=14&amp;sty=h&amp;cp=32.6008~44.017&amp;sp=point.32.6008_44.017","Maplink3")</f>
        <v>Maplink3</v>
      </c>
    </row>
    <row r="1625" spans="1:48" ht="15" customHeight="1" x14ac:dyDescent="0.25">
      <c r="A1625" s="19">
        <v>25266</v>
      </c>
      <c r="B1625" s="20" t="s">
        <v>16</v>
      </c>
      <c r="C1625" s="20" t="s">
        <v>16</v>
      </c>
      <c r="D1625" s="20" t="s">
        <v>3044</v>
      </c>
      <c r="E1625" s="20" t="s">
        <v>1914</v>
      </c>
      <c r="F1625" s="20">
        <v>32.61530424</v>
      </c>
      <c r="G1625" s="20">
        <v>44.046295360000002</v>
      </c>
      <c r="H1625" s="22">
        <v>30</v>
      </c>
      <c r="I1625" s="22">
        <v>180</v>
      </c>
      <c r="J1625" s="21"/>
      <c r="K1625" s="21"/>
      <c r="L1625" s="21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>
        <v>30</v>
      </c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21"/>
      <c r="AH1625" s="21">
        <v>30</v>
      </c>
      <c r="AI1625" s="21"/>
      <c r="AJ1625" s="21"/>
      <c r="AK1625" s="21"/>
      <c r="AL1625" s="21"/>
      <c r="AM1625" s="21">
        <v>30</v>
      </c>
      <c r="AN1625" s="21"/>
      <c r="AO1625" s="21"/>
      <c r="AP1625" s="21"/>
      <c r="AQ1625" s="21"/>
      <c r="AR1625" s="21"/>
      <c r="AS1625" s="21"/>
      <c r="AT1625" s="12" t="str">
        <f>HYPERLINK("http://www.openstreetmap.org/?mlat=32.6153&amp;mlon=44.0463&amp;zoom=12#map=12/32.6153/44.0463","Maplink1")</f>
        <v>Maplink1</v>
      </c>
      <c r="AU1625" s="12" t="str">
        <f>HYPERLINK("https://www.google.iq/maps/search/+32.6153,44.0463/@32.6153,44.0463,14z?hl=en","Maplink2")</f>
        <v>Maplink2</v>
      </c>
      <c r="AV1625" s="12" t="str">
        <f>HYPERLINK("http://www.bing.com/maps/?lvl=14&amp;sty=h&amp;cp=32.6153~44.0463&amp;sp=point.32.6153_44.0463","Maplink3")</f>
        <v>Maplink3</v>
      </c>
    </row>
    <row r="1626" spans="1:48" ht="15" customHeight="1" x14ac:dyDescent="0.25">
      <c r="A1626" s="19">
        <v>22087</v>
      </c>
      <c r="B1626" s="20" t="s">
        <v>16</v>
      </c>
      <c r="C1626" s="20" t="s">
        <v>16</v>
      </c>
      <c r="D1626" s="20" t="s">
        <v>3045</v>
      </c>
      <c r="E1626" s="20" t="s">
        <v>305</v>
      </c>
      <c r="F1626" s="20">
        <v>32.591736900000001</v>
      </c>
      <c r="G1626" s="20">
        <v>44.04660973</v>
      </c>
      <c r="H1626" s="22">
        <v>15</v>
      </c>
      <c r="I1626" s="22">
        <v>90</v>
      </c>
      <c r="J1626" s="21"/>
      <c r="K1626" s="21"/>
      <c r="L1626" s="21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>
        <v>15</v>
      </c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21"/>
      <c r="AH1626" s="21">
        <v>15</v>
      </c>
      <c r="AI1626" s="21"/>
      <c r="AJ1626" s="21"/>
      <c r="AK1626" s="21"/>
      <c r="AL1626" s="21"/>
      <c r="AM1626" s="21">
        <v>15</v>
      </c>
      <c r="AN1626" s="21"/>
      <c r="AO1626" s="21"/>
      <c r="AP1626" s="21"/>
      <c r="AQ1626" s="21"/>
      <c r="AR1626" s="21"/>
      <c r="AS1626" s="21"/>
      <c r="AT1626" s="12" t="str">
        <f>HYPERLINK("http://www.openstreetmap.org/?mlat=32.5917&amp;mlon=44.0466&amp;zoom=12#map=12/32.5917/44.0466","Maplink1")</f>
        <v>Maplink1</v>
      </c>
      <c r="AU1626" s="12" t="str">
        <f>HYPERLINK("https://www.google.iq/maps/search/+32.5917,44.0466/@32.5917,44.0466,14z?hl=en","Maplink2")</f>
        <v>Maplink2</v>
      </c>
      <c r="AV1626" s="12" t="str">
        <f>HYPERLINK("http://www.bing.com/maps/?lvl=14&amp;sty=h&amp;cp=32.5917~44.0466&amp;sp=point.32.5917_44.0466","Maplink3")</f>
        <v>Maplink3</v>
      </c>
    </row>
    <row r="1627" spans="1:48" ht="15" customHeight="1" x14ac:dyDescent="0.25">
      <c r="A1627" s="19">
        <v>25888</v>
      </c>
      <c r="B1627" s="20" t="s">
        <v>16</v>
      </c>
      <c r="C1627" s="20" t="s">
        <v>16</v>
      </c>
      <c r="D1627" s="20" t="s">
        <v>3046</v>
      </c>
      <c r="E1627" s="20" t="s">
        <v>3047</v>
      </c>
      <c r="F1627" s="20">
        <v>32.602060469999998</v>
      </c>
      <c r="G1627" s="20">
        <v>43.979311850000002</v>
      </c>
      <c r="H1627" s="22">
        <v>7</v>
      </c>
      <c r="I1627" s="22">
        <v>42</v>
      </c>
      <c r="J1627" s="21">
        <v>1</v>
      </c>
      <c r="K1627" s="21"/>
      <c r="L1627" s="21"/>
      <c r="M1627" s="21"/>
      <c r="N1627" s="21"/>
      <c r="O1627" s="21"/>
      <c r="P1627" s="21"/>
      <c r="Q1627" s="21"/>
      <c r="R1627" s="21">
        <v>1</v>
      </c>
      <c r="S1627" s="21"/>
      <c r="T1627" s="21"/>
      <c r="U1627" s="21"/>
      <c r="V1627" s="21">
        <v>4</v>
      </c>
      <c r="W1627" s="21"/>
      <c r="X1627" s="21">
        <v>1</v>
      </c>
      <c r="Y1627" s="21"/>
      <c r="Z1627" s="21"/>
      <c r="AA1627" s="21"/>
      <c r="AB1627" s="21"/>
      <c r="AC1627" s="21"/>
      <c r="AD1627" s="21"/>
      <c r="AE1627" s="21">
        <v>2</v>
      </c>
      <c r="AF1627" s="21"/>
      <c r="AG1627" s="21"/>
      <c r="AH1627" s="21">
        <v>5</v>
      </c>
      <c r="AI1627" s="21"/>
      <c r="AJ1627" s="21"/>
      <c r="AK1627" s="21"/>
      <c r="AL1627" s="21">
        <v>1</v>
      </c>
      <c r="AM1627" s="21">
        <v>4</v>
      </c>
      <c r="AN1627" s="21">
        <v>2</v>
      </c>
      <c r="AO1627" s="21"/>
      <c r="AP1627" s="21"/>
      <c r="AQ1627" s="21"/>
      <c r="AR1627" s="21"/>
      <c r="AS1627" s="21"/>
      <c r="AT1627" s="12" t="str">
        <f>HYPERLINK("http://www.openstreetmap.org/?mlat=32.6021&amp;mlon=43.9793&amp;zoom=12#map=12/32.6021/43.9793","Maplink1")</f>
        <v>Maplink1</v>
      </c>
      <c r="AU1627" s="12" t="str">
        <f>HYPERLINK("https://www.google.iq/maps/search/+32.6021,43.9793/@32.6021,43.9793,14z?hl=en","Maplink2")</f>
        <v>Maplink2</v>
      </c>
      <c r="AV1627" s="12" t="str">
        <f>HYPERLINK("http://www.bing.com/maps/?lvl=14&amp;sty=h&amp;cp=32.6021~43.9793&amp;sp=point.32.6021_43.9793","Maplink3")</f>
        <v>Maplink3</v>
      </c>
    </row>
    <row r="1628" spans="1:48" ht="15" customHeight="1" x14ac:dyDescent="0.25">
      <c r="A1628" s="19">
        <v>25062</v>
      </c>
      <c r="B1628" s="20" t="s">
        <v>16</v>
      </c>
      <c r="C1628" s="20" t="s">
        <v>16</v>
      </c>
      <c r="D1628" s="20" t="s">
        <v>3048</v>
      </c>
      <c r="E1628" s="20" t="s">
        <v>233</v>
      </c>
      <c r="F1628" s="20">
        <v>32.649604979999999</v>
      </c>
      <c r="G1628" s="20">
        <v>43.987473469999998</v>
      </c>
      <c r="H1628" s="22">
        <v>10</v>
      </c>
      <c r="I1628" s="22">
        <v>60</v>
      </c>
      <c r="J1628" s="21"/>
      <c r="K1628" s="21"/>
      <c r="L1628" s="21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>
        <v>10</v>
      </c>
      <c r="W1628" s="21"/>
      <c r="X1628" s="21"/>
      <c r="Y1628" s="21"/>
      <c r="Z1628" s="21"/>
      <c r="AA1628" s="21"/>
      <c r="AB1628" s="21"/>
      <c r="AC1628" s="21">
        <v>2</v>
      </c>
      <c r="AD1628" s="21"/>
      <c r="AE1628" s="21"/>
      <c r="AF1628" s="21"/>
      <c r="AG1628" s="21"/>
      <c r="AH1628" s="21">
        <v>8</v>
      </c>
      <c r="AI1628" s="21"/>
      <c r="AJ1628" s="21"/>
      <c r="AK1628" s="21"/>
      <c r="AL1628" s="21"/>
      <c r="AM1628" s="21">
        <v>10</v>
      </c>
      <c r="AN1628" s="21"/>
      <c r="AO1628" s="21"/>
      <c r="AP1628" s="21"/>
      <c r="AQ1628" s="21"/>
      <c r="AR1628" s="21"/>
      <c r="AS1628" s="21"/>
      <c r="AT1628" s="12" t="str">
        <f>HYPERLINK("http://www.openstreetmap.org/?mlat=32.6496&amp;mlon=43.9875&amp;zoom=12#map=12/32.6496/43.9875","Maplink1")</f>
        <v>Maplink1</v>
      </c>
      <c r="AU1628" s="12" t="str">
        <f>HYPERLINK("https://www.google.iq/maps/search/+32.6496,43.9875/@32.6496,43.9875,14z?hl=en","Maplink2")</f>
        <v>Maplink2</v>
      </c>
      <c r="AV1628" s="12" t="str">
        <f>HYPERLINK("http://www.bing.com/maps/?lvl=14&amp;sty=h&amp;cp=32.6496~43.9875&amp;sp=point.32.6496_43.9875","Maplink3")</f>
        <v>Maplink3</v>
      </c>
    </row>
    <row r="1629" spans="1:48" ht="15" customHeight="1" x14ac:dyDescent="0.25">
      <c r="A1629" s="19">
        <v>25555</v>
      </c>
      <c r="B1629" s="20" t="s">
        <v>16</v>
      </c>
      <c r="C1629" s="20" t="s">
        <v>16</v>
      </c>
      <c r="D1629" s="20" t="s">
        <v>3049</v>
      </c>
      <c r="E1629" s="20" t="s">
        <v>3050</v>
      </c>
      <c r="F1629" s="20">
        <v>32.604945488799999</v>
      </c>
      <c r="G1629" s="20">
        <v>43.979890082799997</v>
      </c>
      <c r="H1629" s="22">
        <v>10</v>
      </c>
      <c r="I1629" s="22">
        <v>60</v>
      </c>
      <c r="J1629" s="21">
        <v>1</v>
      </c>
      <c r="K1629" s="21"/>
      <c r="L1629" s="21"/>
      <c r="M1629" s="21"/>
      <c r="N1629" s="21"/>
      <c r="O1629" s="21"/>
      <c r="P1629" s="21"/>
      <c r="Q1629" s="21"/>
      <c r="R1629" s="21">
        <v>8</v>
      </c>
      <c r="S1629" s="21"/>
      <c r="T1629" s="21"/>
      <c r="U1629" s="21"/>
      <c r="V1629" s="21"/>
      <c r="W1629" s="21"/>
      <c r="X1629" s="21">
        <v>1</v>
      </c>
      <c r="Y1629" s="21"/>
      <c r="Z1629" s="21"/>
      <c r="AA1629" s="21"/>
      <c r="AB1629" s="21"/>
      <c r="AC1629" s="21"/>
      <c r="AD1629" s="21"/>
      <c r="AE1629" s="21"/>
      <c r="AF1629" s="21">
        <v>8</v>
      </c>
      <c r="AG1629" s="21"/>
      <c r="AH1629" s="21">
        <v>2</v>
      </c>
      <c r="AI1629" s="21"/>
      <c r="AJ1629" s="21"/>
      <c r="AK1629" s="21"/>
      <c r="AL1629" s="21">
        <v>1</v>
      </c>
      <c r="AM1629" s="21">
        <v>1</v>
      </c>
      <c r="AN1629" s="21">
        <v>8</v>
      </c>
      <c r="AO1629" s="21"/>
      <c r="AP1629" s="21"/>
      <c r="AQ1629" s="21"/>
      <c r="AR1629" s="21"/>
      <c r="AS1629" s="21"/>
      <c r="AT1629" s="12" t="str">
        <f>HYPERLINK("http://www.openstreetmap.org/?mlat=32.6049&amp;mlon=43.9799&amp;zoom=12#map=12/32.6049/43.9799","Maplink1")</f>
        <v>Maplink1</v>
      </c>
      <c r="AU1629" s="12" t="str">
        <f>HYPERLINK("https://www.google.iq/maps/search/+32.6049,43.9799/@32.6049,43.9799,14z?hl=en","Maplink2")</f>
        <v>Maplink2</v>
      </c>
      <c r="AV1629" s="12" t="str">
        <f>HYPERLINK("http://www.bing.com/maps/?lvl=14&amp;sty=h&amp;cp=32.6049~43.9799&amp;sp=point.32.6049_43.9799","Maplink3")</f>
        <v>Maplink3</v>
      </c>
    </row>
    <row r="1630" spans="1:48" ht="15" customHeight="1" x14ac:dyDescent="0.25">
      <c r="A1630" s="19">
        <v>14134</v>
      </c>
      <c r="B1630" s="20" t="s">
        <v>16</v>
      </c>
      <c r="C1630" s="20" t="s">
        <v>16</v>
      </c>
      <c r="D1630" s="20" t="s">
        <v>3051</v>
      </c>
      <c r="E1630" s="20" t="s">
        <v>312</v>
      </c>
      <c r="F1630" s="20">
        <v>32.633054744399999</v>
      </c>
      <c r="G1630" s="20">
        <v>44.045494081500003</v>
      </c>
      <c r="H1630" s="22">
        <v>24</v>
      </c>
      <c r="I1630" s="22">
        <v>144</v>
      </c>
      <c r="J1630" s="21"/>
      <c r="K1630" s="21"/>
      <c r="L1630" s="21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>
        <v>19</v>
      </c>
      <c r="W1630" s="21"/>
      <c r="X1630" s="21">
        <v>5</v>
      </c>
      <c r="Y1630" s="21"/>
      <c r="Z1630" s="21"/>
      <c r="AA1630" s="21"/>
      <c r="AB1630" s="21"/>
      <c r="AC1630" s="21"/>
      <c r="AD1630" s="21">
        <v>4</v>
      </c>
      <c r="AE1630" s="21"/>
      <c r="AF1630" s="21"/>
      <c r="AG1630" s="21"/>
      <c r="AH1630" s="21">
        <v>20</v>
      </c>
      <c r="AI1630" s="21"/>
      <c r="AJ1630" s="21"/>
      <c r="AK1630" s="21"/>
      <c r="AL1630" s="21"/>
      <c r="AM1630" s="21">
        <v>19</v>
      </c>
      <c r="AN1630" s="21">
        <v>5</v>
      </c>
      <c r="AO1630" s="21"/>
      <c r="AP1630" s="21"/>
      <c r="AQ1630" s="21"/>
      <c r="AR1630" s="21"/>
      <c r="AS1630" s="21"/>
      <c r="AT1630" s="12" t="str">
        <f>HYPERLINK("http://www.openstreetmap.org/?mlat=32.6331&amp;mlon=44.0455&amp;zoom=12#map=12/32.6331/44.0455","Maplink1")</f>
        <v>Maplink1</v>
      </c>
      <c r="AU1630" s="12" t="str">
        <f>HYPERLINK("https://www.google.iq/maps/search/+32.6331,44.0455/@32.6331,44.0455,14z?hl=en","Maplink2")</f>
        <v>Maplink2</v>
      </c>
      <c r="AV1630" s="12" t="str">
        <f>HYPERLINK("http://www.bing.com/maps/?lvl=14&amp;sty=h&amp;cp=32.6331~44.0455&amp;sp=point.32.6331_44.0455","Maplink3")</f>
        <v>Maplink3</v>
      </c>
    </row>
    <row r="1631" spans="1:48" ht="15" customHeight="1" x14ac:dyDescent="0.25">
      <c r="A1631" s="19">
        <v>14138</v>
      </c>
      <c r="B1631" s="20" t="s">
        <v>16</v>
      </c>
      <c r="C1631" s="20" t="s">
        <v>16</v>
      </c>
      <c r="D1631" s="20" t="s">
        <v>3052</v>
      </c>
      <c r="E1631" s="20" t="s">
        <v>3053</v>
      </c>
      <c r="F1631" s="20">
        <v>32.626890301400003</v>
      </c>
      <c r="G1631" s="20">
        <v>43.962955989299999</v>
      </c>
      <c r="H1631" s="22">
        <v>16</v>
      </c>
      <c r="I1631" s="22">
        <v>96</v>
      </c>
      <c r="J1631" s="21">
        <v>2</v>
      </c>
      <c r="K1631" s="21"/>
      <c r="L1631" s="21"/>
      <c r="M1631" s="21"/>
      <c r="N1631" s="21"/>
      <c r="O1631" s="21"/>
      <c r="P1631" s="21"/>
      <c r="Q1631" s="21"/>
      <c r="R1631" s="21">
        <v>5</v>
      </c>
      <c r="S1631" s="21"/>
      <c r="T1631" s="21"/>
      <c r="U1631" s="21"/>
      <c r="V1631" s="21">
        <v>9</v>
      </c>
      <c r="W1631" s="21"/>
      <c r="X1631" s="21"/>
      <c r="Y1631" s="21"/>
      <c r="Z1631" s="21"/>
      <c r="AA1631" s="21"/>
      <c r="AB1631" s="21"/>
      <c r="AC1631" s="21"/>
      <c r="AD1631" s="21">
        <v>5</v>
      </c>
      <c r="AE1631" s="21"/>
      <c r="AF1631" s="21"/>
      <c r="AG1631" s="21"/>
      <c r="AH1631" s="21">
        <v>11</v>
      </c>
      <c r="AI1631" s="21"/>
      <c r="AJ1631" s="21"/>
      <c r="AK1631" s="21"/>
      <c r="AL1631" s="21">
        <v>1</v>
      </c>
      <c r="AM1631" s="21">
        <v>9</v>
      </c>
      <c r="AN1631" s="21">
        <v>6</v>
      </c>
      <c r="AO1631" s="21"/>
      <c r="AP1631" s="21"/>
      <c r="AQ1631" s="21"/>
      <c r="AR1631" s="21"/>
      <c r="AS1631" s="21"/>
      <c r="AT1631" s="12" t="str">
        <f>HYPERLINK("http://www.openstreetmap.org/?mlat=32.6269&amp;mlon=43.963&amp;zoom=12#map=12/32.6269/43.963","Maplink1")</f>
        <v>Maplink1</v>
      </c>
      <c r="AU1631" s="12" t="str">
        <f>HYPERLINK("https://www.google.iq/maps/search/+32.6269,43.963/@32.6269,43.963,14z?hl=en","Maplink2")</f>
        <v>Maplink2</v>
      </c>
      <c r="AV1631" s="12" t="str">
        <f>HYPERLINK("http://www.bing.com/maps/?lvl=14&amp;sty=h&amp;cp=32.6269~43.963&amp;sp=point.32.6269_43.963","Maplink3")</f>
        <v>Maplink3</v>
      </c>
    </row>
    <row r="1632" spans="1:48" ht="15" customHeight="1" x14ac:dyDescent="0.25">
      <c r="A1632" s="19">
        <v>24138</v>
      </c>
      <c r="B1632" s="20" t="s">
        <v>16</v>
      </c>
      <c r="C1632" s="20" t="s">
        <v>16</v>
      </c>
      <c r="D1632" s="20" t="s">
        <v>3055</v>
      </c>
      <c r="E1632" s="20" t="s">
        <v>365</v>
      </c>
      <c r="F1632" s="20">
        <v>32.60689971</v>
      </c>
      <c r="G1632" s="20">
        <v>43.997051079999999</v>
      </c>
      <c r="H1632" s="22">
        <v>7</v>
      </c>
      <c r="I1632" s="22">
        <v>42</v>
      </c>
      <c r="J1632" s="21"/>
      <c r="K1632" s="21"/>
      <c r="L1632" s="21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>
        <v>7</v>
      </c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21"/>
      <c r="AH1632" s="21">
        <v>7</v>
      </c>
      <c r="AI1632" s="21"/>
      <c r="AJ1632" s="21"/>
      <c r="AK1632" s="21"/>
      <c r="AL1632" s="21"/>
      <c r="AM1632" s="21">
        <v>7</v>
      </c>
      <c r="AN1632" s="21"/>
      <c r="AO1632" s="21"/>
      <c r="AP1632" s="21"/>
      <c r="AQ1632" s="21"/>
      <c r="AR1632" s="21"/>
      <c r="AS1632" s="21"/>
      <c r="AT1632" s="12" t="str">
        <f>HYPERLINK("http://www.openstreetmap.org/?mlat=32.6069&amp;mlon=43.9971&amp;zoom=12#map=12/32.6069/43.9971","Maplink1")</f>
        <v>Maplink1</v>
      </c>
      <c r="AU1632" s="12" t="str">
        <f>HYPERLINK("https://www.google.iq/maps/search/+32.6069,43.9971/@32.6069,43.9971,14z?hl=en","Maplink2")</f>
        <v>Maplink2</v>
      </c>
      <c r="AV1632" s="12" t="str">
        <f>HYPERLINK("http://www.bing.com/maps/?lvl=14&amp;sty=h&amp;cp=32.6069~43.9971&amp;sp=point.32.6069_43.9971","Maplink3")</f>
        <v>Maplink3</v>
      </c>
    </row>
    <row r="1633" spans="1:48" ht="15" customHeight="1" x14ac:dyDescent="0.25">
      <c r="A1633" s="19">
        <v>25344</v>
      </c>
      <c r="B1633" s="20" t="s">
        <v>16</v>
      </c>
      <c r="C1633" s="20" t="s">
        <v>16</v>
      </c>
      <c r="D1633" s="20" t="s">
        <v>3056</v>
      </c>
      <c r="E1633" s="20" t="s">
        <v>3057</v>
      </c>
      <c r="F1633" s="20">
        <v>32.608074739999999</v>
      </c>
      <c r="G1633" s="20">
        <v>43.989933229999998</v>
      </c>
      <c r="H1633" s="22">
        <v>7</v>
      </c>
      <c r="I1633" s="22">
        <v>42</v>
      </c>
      <c r="J1633" s="21"/>
      <c r="K1633" s="21"/>
      <c r="L1633" s="21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>
        <v>7</v>
      </c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21"/>
      <c r="AH1633" s="21">
        <v>7</v>
      </c>
      <c r="AI1633" s="21"/>
      <c r="AJ1633" s="21"/>
      <c r="AK1633" s="21"/>
      <c r="AL1633" s="21"/>
      <c r="AM1633" s="21">
        <v>7</v>
      </c>
      <c r="AN1633" s="21"/>
      <c r="AO1633" s="21"/>
      <c r="AP1633" s="21"/>
      <c r="AQ1633" s="21"/>
      <c r="AR1633" s="21"/>
      <c r="AS1633" s="21"/>
      <c r="AT1633" s="12" t="str">
        <f>HYPERLINK("http://www.openstreetmap.org/?mlat=32.6081&amp;mlon=43.9899&amp;zoom=12#map=12/32.6081/43.9899","Maplink1")</f>
        <v>Maplink1</v>
      </c>
      <c r="AU1633" s="12" t="str">
        <f>HYPERLINK("https://www.google.iq/maps/search/+32.6081,43.9899/@32.6081,43.9899,14z?hl=en","Maplink2")</f>
        <v>Maplink2</v>
      </c>
      <c r="AV1633" s="12" t="str">
        <f>HYPERLINK("http://www.bing.com/maps/?lvl=14&amp;sty=h&amp;cp=32.6081~43.9899&amp;sp=point.32.6081_43.9899","Maplink3")</f>
        <v>Maplink3</v>
      </c>
    </row>
    <row r="1634" spans="1:48" ht="15" customHeight="1" x14ac:dyDescent="0.25">
      <c r="A1634" s="19">
        <v>25345</v>
      </c>
      <c r="B1634" s="20" t="s">
        <v>16</v>
      </c>
      <c r="C1634" s="20" t="s">
        <v>16</v>
      </c>
      <c r="D1634" s="20" t="s">
        <v>3058</v>
      </c>
      <c r="E1634" s="20" t="s">
        <v>3059</v>
      </c>
      <c r="F1634" s="20">
        <v>32.606845069999999</v>
      </c>
      <c r="G1634" s="20">
        <v>43.987796340000003</v>
      </c>
      <c r="H1634" s="22">
        <v>10</v>
      </c>
      <c r="I1634" s="22">
        <v>60</v>
      </c>
      <c r="J1634" s="21"/>
      <c r="K1634" s="21"/>
      <c r="L1634" s="21">
        <v>1</v>
      </c>
      <c r="M1634" s="21"/>
      <c r="N1634" s="21"/>
      <c r="O1634" s="21"/>
      <c r="P1634" s="21"/>
      <c r="Q1634" s="21"/>
      <c r="R1634" s="21"/>
      <c r="S1634" s="21"/>
      <c r="T1634" s="21"/>
      <c r="U1634" s="21"/>
      <c r="V1634" s="21">
        <v>9</v>
      </c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21"/>
      <c r="AH1634" s="21">
        <v>10</v>
      </c>
      <c r="AI1634" s="21"/>
      <c r="AJ1634" s="21"/>
      <c r="AK1634" s="21"/>
      <c r="AL1634" s="21"/>
      <c r="AM1634" s="21">
        <v>10</v>
      </c>
      <c r="AN1634" s="21"/>
      <c r="AO1634" s="21"/>
      <c r="AP1634" s="21"/>
      <c r="AQ1634" s="21"/>
      <c r="AR1634" s="21"/>
      <c r="AS1634" s="21"/>
      <c r="AT1634" s="12" t="str">
        <f>HYPERLINK("http://www.openstreetmap.org/?mlat=32.6068&amp;mlon=43.9878&amp;zoom=12#map=12/32.6068/43.9878","Maplink1")</f>
        <v>Maplink1</v>
      </c>
      <c r="AU1634" s="12" t="str">
        <f>HYPERLINK("https://www.google.iq/maps/search/+32.6068,43.9878/@32.6068,43.9878,14z?hl=en","Maplink2")</f>
        <v>Maplink2</v>
      </c>
      <c r="AV1634" s="12" t="str">
        <f>HYPERLINK("http://www.bing.com/maps/?lvl=14&amp;sty=h&amp;cp=32.6068~43.9878&amp;sp=point.32.6068_43.9878","Maplink3")</f>
        <v>Maplink3</v>
      </c>
    </row>
    <row r="1635" spans="1:48" ht="15" customHeight="1" x14ac:dyDescent="0.25">
      <c r="A1635" s="19">
        <v>14018</v>
      </c>
      <c r="B1635" s="20" t="s">
        <v>16</v>
      </c>
      <c r="C1635" s="20" t="s">
        <v>16</v>
      </c>
      <c r="D1635" s="20" t="s">
        <v>3060</v>
      </c>
      <c r="E1635" s="20" t="s">
        <v>3061</v>
      </c>
      <c r="F1635" s="20">
        <v>32.581831566300004</v>
      </c>
      <c r="G1635" s="20">
        <v>44.004736615299997</v>
      </c>
      <c r="H1635" s="22">
        <v>16</v>
      </c>
      <c r="I1635" s="22">
        <v>96</v>
      </c>
      <c r="J1635" s="21">
        <v>3</v>
      </c>
      <c r="K1635" s="21"/>
      <c r="L1635" s="21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>
        <v>13</v>
      </c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21"/>
      <c r="AH1635" s="21">
        <v>16</v>
      </c>
      <c r="AI1635" s="21"/>
      <c r="AJ1635" s="21"/>
      <c r="AK1635" s="21"/>
      <c r="AL1635" s="21">
        <v>3</v>
      </c>
      <c r="AM1635" s="21">
        <v>13</v>
      </c>
      <c r="AN1635" s="21"/>
      <c r="AO1635" s="21"/>
      <c r="AP1635" s="21"/>
      <c r="AQ1635" s="21"/>
      <c r="AR1635" s="21"/>
      <c r="AS1635" s="21"/>
      <c r="AT1635" s="12" t="str">
        <f>HYPERLINK("http://www.openstreetmap.org/?mlat=32.5818&amp;mlon=44.0047&amp;zoom=12#map=12/32.5818/44.0047","Maplink1")</f>
        <v>Maplink1</v>
      </c>
      <c r="AU1635" s="12" t="str">
        <f>HYPERLINK("https://www.google.iq/maps/search/+32.5818,44.0047/@32.5818,44.0047,14z?hl=en","Maplink2")</f>
        <v>Maplink2</v>
      </c>
      <c r="AV1635" s="12" t="str">
        <f>HYPERLINK("http://www.bing.com/maps/?lvl=14&amp;sty=h&amp;cp=32.5818~44.0047&amp;sp=point.32.5818_44.0047","Maplink3")</f>
        <v>Maplink3</v>
      </c>
    </row>
    <row r="1636" spans="1:48" ht="15" customHeight="1" x14ac:dyDescent="0.25">
      <c r="A1636" s="19">
        <v>25780</v>
      </c>
      <c r="B1636" s="20" t="s">
        <v>16</v>
      </c>
      <c r="C1636" s="20" t="s">
        <v>16</v>
      </c>
      <c r="D1636" s="20" t="s">
        <v>3062</v>
      </c>
      <c r="E1636" s="20" t="s">
        <v>3063</v>
      </c>
      <c r="F1636" s="20">
        <v>32.579743450000002</v>
      </c>
      <c r="G1636" s="20">
        <v>44.000652840000001</v>
      </c>
      <c r="H1636" s="22">
        <v>6</v>
      </c>
      <c r="I1636" s="22">
        <v>36</v>
      </c>
      <c r="J1636" s="21">
        <v>2</v>
      </c>
      <c r="K1636" s="21"/>
      <c r="L1636" s="21"/>
      <c r="M1636" s="21"/>
      <c r="N1636" s="21"/>
      <c r="O1636" s="21"/>
      <c r="P1636" s="21"/>
      <c r="Q1636" s="21"/>
      <c r="R1636" s="21">
        <v>2</v>
      </c>
      <c r="S1636" s="21"/>
      <c r="T1636" s="21"/>
      <c r="U1636" s="21"/>
      <c r="V1636" s="21">
        <v>2</v>
      </c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21"/>
      <c r="AH1636" s="21">
        <v>6</v>
      </c>
      <c r="AI1636" s="21"/>
      <c r="AJ1636" s="21"/>
      <c r="AK1636" s="21"/>
      <c r="AL1636" s="21"/>
      <c r="AM1636" s="21">
        <v>2</v>
      </c>
      <c r="AN1636" s="21">
        <v>4</v>
      </c>
      <c r="AO1636" s="21"/>
      <c r="AP1636" s="21"/>
      <c r="AQ1636" s="21"/>
      <c r="AR1636" s="21"/>
      <c r="AS1636" s="21"/>
      <c r="AT1636" s="12" t="str">
        <f>HYPERLINK("http://www.openstreetmap.org/?mlat=32.5797&amp;mlon=44.0007&amp;zoom=12#map=12/32.5797/44.0007","Maplink1")</f>
        <v>Maplink1</v>
      </c>
      <c r="AU1636" s="12" t="str">
        <f>HYPERLINK("https://www.google.iq/maps/search/+32.5797,44.0007/@32.5797,44.0007,14z?hl=en","Maplink2")</f>
        <v>Maplink2</v>
      </c>
      <c r="AV1636" s="12" t="str">
        <f>HYPERLINK("http://www.bing.com/maps/?lvl=14&amp;sty=h&amp;cp=32.5797~44.0007&amp;sp=point.32.5797_44.0007","Maplink3")</f>
        <v>Maplink3</v>
      </c>
    </row>
    <row r="1637" spans="1:48" ht="15" customHeight="1" x14ac:dyDescent="0.25">
      <c r="A1637" s="19">
        <v>26112</v>
      </c>
      <c r="B1637" s="20" t="s">
        <v>16</v>
      </c>
      <c r="C1637" s="20" t="s">
        <v>16</v>
      </c>
      <c r="D1637" s="20" t="s">
        <v>3064</v>
      </c>
      <c r="E1637" s="20" t="s">
        <v>3065</v>
      </c>
      <c r="F1637" s="20">
        <v>32.596635874299999</v>
      </c>
      <c r="G1637" s="20">
        <v>44.0483638332</v>
      </c>
      <c r="H1637" s="22">
        <v>15</v>
      </c>
      <c r="I1637" s="22">
        <v>90</v>
      </c>
      <c r="J1637" s="21"/>
      <c r="K1637" s="21"/>
      <c r="L1637" s="21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>
        <v>15</v>
      </c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21"/>
      <c r="AH1637" s="21">
        <v>15</v>
      </c>
      <c r="AI1637" s="21"/>
      <c r="AJ1637" s="21"/>
      <c r="AK1637" s="21"/>
      <c r="AL1637" s="21"/>
      <c r="AM1637" s="21">
        <v>15</v>
      </c>
      <c r="AN1637" s="21"/>
      <c r="AO1637" s="21"/>
      <c r="AP1637" s="21"/>
      <c r="AQ1637" s="21"/>
      <c r="AR1637" s="21"/>
      <c r="AS1637" s="21"/>
      <c r="AT1637" s="12" t="str">
        <f>HYPERLINK("http://www.openstreetmap.org/?mlat=32.5966&amp;mlon=44.0484&amp;zoom=12#map=12/32.5966/44.0484","Maplink1")</f>
        <v>Maplink1</v>
      </c>
      <c r="AU1637" s="12" t="str">
        <f>HYPERLINK("https://www.google.iq/maps/search/+32.5966,44.0484/@32.5966,44.0484,14z?hl=en","Maplink2")</f>
        <v>Maplink2</v>
      </c>
      <c r="AV1637" s="12" t="str">
        <f>HYPERLINK("http://www.bing.com/maps/?lvl=14&amp;sty=h&amp;cp=32.5966~44.0484&amp;sp=point.32.5966_44.0484","Maplink3")</f>
        <v>Maplink3</v>
      </c>
    </row>
    <row r="1638" spans="1:48" ht="15" customHeight="1" x14ac:dyDescent="0.25">
      <c r="A1638" s="19">
        <v>14273</v>
      </c>
      <c r="B1638" s="20" t="s">
        <v>16</v>
      </c>
      <c r="C1638" s="20" t="s">
        <v>16</v>
      </c>
      <c r="D1638" s="20" t="s">
        <v>3066</v>
      </c>
      <c r="E1638" s="20" t="s">
        <v>216</v>
      </c>
      <c r="F1638" s="20">
        <v>32.574492999999997</v>
      </c>
      <c r="G1638" s="20">
        <v>44.014499000000001</v>
      </c>
      <c r="H1638" s="22">
        <v>31</v>
      </c>
      <c r="I1638" s="22">
        <v>186</v>
      </c>
      <c r="J1638" s="21"/>
      <c r="K1638" s="21"/>
      <c r="L1638" s="21"/>
      <c r="M1638" s="21"/>
      <c r="N1638" s="21"/>
      <c r="O1638" s="21">
        <v>2</v>
      </c>
      <c r="P1638" s="21"/>
      <c r="Q1638" s="21"/>
      <c r="R1638" s="21"/>
      <c r="S1638" s="21"/>
      <c r="T1638" s="21"/>
      <c r="U1638" s="21"/>
      <c r="V1638" s="21">
        <v>29</v>
      </c>
      <c r="W1638" s="21"/>
      <c r="X1638" s="21"/>
      <c r="Y1638" s="21"/>
      <c r="Z1638" s="21"/>
      <c r="AA1638" s="21"/>
      <c r="AB1638" s="21"/>
      <c r="AC1638" s="21"/>
      <c r="AD1638" s="21">
        <v>7</v>
      </c>
      <c r="AE1638" s="21"/>
      <c r="AF1638" s="21">
        <v>6</v>
      </c>
      <c r="AG1638" s="21"/>
      <c r="AH1638" s="21">
        <v>18</v>
      </c>
      <c r="AI1638" s="21"/>
      <c r="AJ1638" s="21"/>
      <c r="AK1638" s="21"/>
      <c r="AL1638" s="21"/>
      <c r="AM1638" s="21">
        <v>31</v>
      </c>
      <c r="AN1638" s="21"/>
      <c r="AO1638" s="21"/>
      <c r="AP1638" s="21"/>
      <c r="AQ1638" s="21"/>
      <c r="AR1638" s="21"/>
      <c r="AS1638" s="21"/>
      <c r="AT1638" s="12" t="str">
        <f>HYPERLINK("http://www.openstreetmap.org/?mlat=32.5745&amp;mlon=44.0145&amp;zoom=12#map=12/32.5745/44.0145","Maplink1")</f>
        <v>Maplink1</v>
      </c>
      <c r="AU1638" s="12" t="str">
        <f>HYPERLINK("https://www.google.iq/maps/search/+32.5745,44.0145/@32.5745,44.0145,14z?hl=en","Maplink2")</f>
        <v>Maplink2</v>
      </c>
      <c r="AV1638" s="12" t="str">
        <f>HYPERLINK("http://www.bing.com/maps/?lvl=14&amp;sty=h&amp;cp=32.5745~44.0145&amp;sp=point.32.5745_44.0145","Maplink3")</f>
        <v>Maplink3</v>
      </c>
    </row>
    <row r="1639" spans="1:48" ht="15" customHeight="1" x14ac:dyDescent="0.25">
      <c r="A1639" s="19">
        <v>14067</v>
      </c>
      <c r="B1639" s="20" t="s">
        <v>16</v>
      </c>
      <c r="C1639" s="20" t="s">
        <v>16</v>
      </c>
      <c r="D1639" s="20" t="s">
        <v>377</v>
      </c>
      <c r="E1639" s="20" t="s">
        <v>3068</v>
      </c>
      <c r="F1639" s="20">
        <v>32.596013480000003</v>
      </c>
      <c r="G1639" s="20">
        <v>44.006841119999997</v>
      </c>
      <c r="H1639" s="22">
        <v>15</v>
      </c>
      <c r="I1639" s="22">
        <v>90</v>
      </c>
      <c r="J1639" s="21"/>
      <c r="K1639" s="21"/>
      <c r="L1639" s="21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>
        <v>15</v>
      </c>
      <c r="W1639" s="21"/>
      <c r="X1639" s="21"/>
      <c r="Y1639" s="21"/>
      <c r="Z1639" s="21"/>
      <c r="AA1639" s="21"/>
      <c r="AB1639" s="21"/>
      <c r="AC1639" s="21"/>
      <c r="AD1639" s="21">
        <v>10</v>
      </c>
      <c r="AE1639" s="21"/>
      <c r="AF1639" s="21"/>
      <c r="AG1639" s="21"/>
      <c r="AH1639" s="21">
        <v>5</v>
      </c>
      <c r="AI1639" s="21"/>
      <c r="AJ1639" s="21"/>
      <c r="AK1639" s="21"/>
      <c r="AL1639" s="21"/>
      <c r="AM1639" s="21">
        <v>15</v>
      </c>
      <c r="AN1639" s="21"/>
      <c r="AO1639" s="21"/>
      <c r="AP1639" s="21"/>
      <c r="AQ1639" s="21"/>
      <c r="AR1639" s="21"/>
      <c r="AS1639" s="21"/>
      <c r="AT1639" s="12" t="str">
        <f>HYPERLINK("http://www.openstreetmap.org/?mlat=32.596&amp;mlon=44.0068&amp;zoom=12#map=12/32.596/44.0068","Maplink1")</f>
        <v>Maplink1</v>
      </c>
      <c r="AU1639" s="12" t="str">
        <f>HYPERLINK("https://www.google.iq/maps/search/+32.596,44.0068/@32.596,44.0068,14z?hl=en","Maplink2")</f>
        <v>Maplink2</v>
      </c>
      <c r="AV1639" s="12" t="str">
        <f>HYPERLINK("http://www.bing.com/maps/?lvl=14&amp;sty=h&amp;cp=32.596~44.0068&amp;sp=point.32.596_44.0068","Maplink3")</f>
        <v>Maplink3</v>
      </c>
    </row>
    <row r="1640" spans="1:48" ht="15" customHeight="1" x14ac:dyDescent="0.25">
      <c r="A1640" s="19">
        <v>14005</v>
      </c>
      <c r="B1640" s="20" t="s">
        <v>16</v>
      </c>
      <c r="C1640" s="20" t="s">
        <v>16</v>
      </c>
      <c r="D1640" s="20" t="s">
        <v>3069</v>
      </c>
      <c r="E1640" s="20" t="s">
        <v>3070</v>
      </c>
      <c r="F1640" s="20">
        <v>32.563201842799998</v>
      </c>
      <c r="G1640" s="20">
        <v>44.023038684500001</v>
      </c>
      <c r="H1640" s="22">
        <v>9</v>
      </c>
      <c r="I1640" s="22">
        <v>54</v>
      </c>
      <c r="J1640" s="21">
        <v>1</v>
      </c>
      <c r="K1640" s="21"/>
      <c r="L1640" s="21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>
        <v>8</v>
      </c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21"/>
      <c r="AH1640" s="21">
        <v>9</v>
      </c>
      <c r="AI1640" s="21"/>
      <c r="AJ1640" s="21"/>
      <c r="AK1640" s="21"/>
      <c r="AL1640" s="21">
        <v>1</v>
      </c>
      <c r="AM1640" s="21">
        <v>8</v>
      </c>
      <c r="AN1640" s="21"/>
      <c r="AO1640" s="21"/>
      <c r="AP1640" s="21"/>
      <c r="AQ1640" s="21"/>
      <c r="AR1640" s="21"/>
      <c r="AS1640" s="21"/>
      <c r="AT1640" s="12" t="str">
        <f>HYPERLINK("http://www.openstreetmap.org/?mlat=32.5632&amp;mlon=44.023&amp;zoom=12#map=12/32.5632/44.023","Maplink1")</f>
        <v>Maplink1</v>
      </c>
      <c r="AU1640" s="12" t="str">
        <f>HYPERLINK("https://www.google.iq/maps/search/+32.5632,44.023/@32.5632,44.023,14z?hl=en","Maplink2")</f>
        <v>Maplink2</v>
      </c>
      <c r="AV1640" s="12" t="str">
        <f>HYPERLINK("http://www.bing.com/maps/?lvl=14&amp;sty=h&amp;cp=32.5632~44.023&amp;sp=point.32.5632_44.023","Maplink3")</f>
        <v>Maplink3</v>
      </c>
    </row>
    <row r="1641" spans="1:48" ht="15" customHeight="1" x14ac:dyDescent="0.25">
      <c r="A1641" s="19">
        <v>25272</v>
      </c>
      <c r="B1641" s="20" t="s">
        <v>16</v>
      </c>
      <c r="C1641" s="20" t="s">
        <v>16</v>
      </c>
      <c r="D1641" s="20" t="s">
        <v>3071</v>
      </c>
      <c r="E1641" s="20" t="s">
        <v>3072</v>
      </c>
      <c r="F1641" s="20">
        <v>32.584794170000002</v>
      </c>
      <c r="G1641" s="20">
        <v>44.010045849999997</v>
      </c>
      <c r="H1641" s="22">
        <v>4</v>
      </c>
      <c r="I1641" s="22">
        <v>24</v>
      </c>
      <c r="J1641" s="21"/>
      <c r="K1641" s="21"/>
      <c r="L1641" s="21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>
        <v>4</v>
      </c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21"/>
      <c r="AH1641" s="21">
        <v>4</v>
      </c>
      <c r="AI1641" s="21"/>
      <c r="AJ1641" s="21"/>
      <c r="AK1641" s="21"/>
      <c r="AL1641" s="21"/>
      <c r="AM1641" s="21">
        <v>4</v>
      </c>
      <c r="AN1641" s="21"/>
      <c r="AO1641" s="21"/>
      <c r="AP1641" s="21"/>
      <c r="AQ1641" s="21"/>
      <c r="AR1641" s="21"/>
      <c r="AS1641" s="21"/>
      <c r="AT1641" s="12" t="str">
        <f>HYPERLINK("http://www.openstreetmap.org/?mlat=32.5848&amp;mlon=44.01&amp;zoom=12#map=12/32.5848/44.01","Maplink1")</f>
        <v>Maplink1</v>
      </c>
      <c r="AU1641" s="12" t="str">
        <f>HYPERLINK("https://www.google.iq/maps/search/+32.5848,44.01/@32.5848,44.01,14z?hl=en","Maplink2")</f>
        <v>Maplink2</v>
      </c>
      <c r="AV1641" s="12" t="str">
        <f>HYPERLINK("http://www.bing.com/maps/?lvl=14&amp;sty=h&amp;cp=32.5848~44.01&amp;sp=point.32.5848_44.01","Maplink3")</f>
        <v>Maplink3</v>
      </c>
    </row>
    <row r="1642" spans="1:48" ht="15" customHeight="1" x14ac:dyDescent="0.25">
      <c r="A1642" s="19">
        <v>27266</v>
      </c>
      <c r="B1642" s="20" t="s">
        <v>16</v>
      </c>
      <c r="C1642" s="20" t="s">
        <v>16</v>
      </c>
      <c r="D1642" s="20" t="s">
        <v>3073</v>
      </c>
      <c r="E1642" s="20" t="s">
        <v>3074</v>
      </c>
      <c r="F1642" s="20">
        <v>32.581101740000001</v>
      </c>
      <c r="G1642" s="20">
        <v>44.013938500000002</v>
      </c>
      <c r="H1642" s="22">
        <v>10</v>
      </c>
      <c r="I1642" s="22">
        <v>60</v>
      </c>
      <c r="J1642" s="21"/>
      <c r="K1642" s="21"/>
      <c r="L1642" s="21"/>
      <c r="M1642" s="21"/>
      <c r="N1642" s="21"/>
      <c r="O1642" s="21">
        <v>1</v>
      </c>
      <c r="P1642" s="21"/>
      <c r="Q1642" s="21"/>
      <c r="R1642" s="21">
        <v>2</v>
      </c>
      <c r="S1642" s="21"/>
      <c r="T1642" s="21"/>
      <c r="U1642" s="21"/>
      <c r="V1642" s="21">
        <v>7</v>
      </c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21"/>
      <c r="AH1642" s="21">
        <v>10</v>
      </c>
      <c r="AI1642" s="21"/>
      <c r="AJ1642" s="21"/>
      <c r="AK1642" s="21"/>
      <c r="AL1642" s="21"/>
      <c r="AM1642" s="21">
        <v>7</v>
      </c>
      <c r="AN1642" s="21">
        <v>3</v>
      </c>
      <c r="AO1642" s="21"/>
      <c r="AP1642" s="21"/>
      <c r="AQ1642" s="21"/>
      <c r="AR1642" s="21"/>
      <c r="AS1642" s="21"/>
      <c r="AT1642" s="12" t="str">
        <f>HYPERLINK("http://www.openstreetmap.org/?mlat=32.5811&amp;mlon=44.0139&amp;zoom=12#map=12/32.5811/44.0139","Maplink1")</f>
        <v>Maplink1</v>
      </c>
      <c r="AU1642" s="12" t="str">
        <f>HYPERLINK("https://www.google.iq/maps/search/+32.5811,44.0139/@32.5811,44.0139,14z?hl=en","Maplink2")</f>
        <v>Maplink2</v>
      </c>
      <c r="AV1642" s="12" t="str">
        <f>HYPERLINK("http://www.bing.com/maps/?lvl=14&amp;sty=h&amp;cp=32.5811~44.0139&amp;sp=point.32.5811_44.0139","Maplink3")</f>
        <v>Maplink3</v>
      </c>
    </row>
    <row r="1643" spans="1:48" ht="15" customHeight="1" x14ac:dyDescent="0.25">
      <c r="A1643" s="19">
        <v>25263</v>
      </c>
      <c r="B1643" s="20" t="s">
        <v>16</v>
      </c>
      <c r="C1643" s="20" t="s">
        <v>16</v>
      </c>
      <c r="D1643" s="20" t="s">
        <v>3077</v>
      </c>
      <c r="E1643" s="20" t="s">
        <v>3078</v>
      </c>
      <c r="F1643" s="20">
        <v>32.606074739999997</v>
      </c>
      <c r="G1643" s="20">
        <v>44.05981508</v>
      </c>
      <c r="H1643" s="22">
        <v>48</v>
      </c>
      <c r="I1643" s="22">
        <v>288</v>
      </c>
      <c r="J1643" s="21"/>
      <c r="K1643" s="21"/>
      <c r="L1643" s="21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>
        <v>48</v>
      </c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21"/>
      <c r="AH1643" s="21">
        <v>48</v>
      </c>
      <c r="AI1643" s="21"/>
      <c r="AJ1643" s="21"/>
      <c r="AK1643" s="21"/>
      <c r="AL1643" s="21"/>
      <c r="AM1643" s="21">
        <v>48</v>
      </c>
      <c r="AN1643" s="21"/>
      <c r="AO1643" s="21"/>
      <c r="AP1643" s="21"/>
      <c r="AQ1643" s="21"/>
      <c r="AR1643" s="21"/>
      <c r="AS1643" s="21"/>
      <c r="AT1643" s="12" t="str">
        <f>HYPERLINK("http://www.openstreetmap.org/?mlat=32.6061&amp;mlon=44.0598&amp;zoom=12#map=12/32.6061/44.0598","Maplink1")</f>
        <v>Maplink1</v>
      </c>
      <c r="AU1643" s="12" t="str">
        <f>HYPERLINK("https://www.google.iq/maps/search/+32.6061,44.0598/@32.6061,44.0598,14z?hl=en","Maplink2")</f>
        <v>Maplink2</v>
      </c>
      <c r="AV1643" s="12" t="str">
        <f>HYPERLINK("http://www.bing.com/maps/?lvl=14&amp;sty=h&amp;cp=32.6061~44.0598&amp;sp=point.32.6061_44.0598","Maplink3")</f>
        <v>Maplink3</v>
      </c>
    </row>
    <row r="1644" spans="1:48" ht="15" customHeight="1" x14ac:dyDescent="0.25">
      <c r="A1644" s="19">
        <v>25847</v>
      </c>
      <c r="B1644" s="20" t="s">
        <v>16</v>
      </c>
      <c r="C1644" s="20" t="s">
        <v>16</v>
      </c>
      <c r="D1644" s="20" t="s">
        <v>3079</v>
      </c>
      <c r="E1644" s="20" t="s">
        <v>3080</v>
      </c>
      <c r="F1644" s="20">
        <v>32.601124856399998</v>
      </c>
      <c r="G1644" s="20">
        <v>44.048303936099998</v>
      </c>
      <c r="H1644" s="22">
        <v>7</v>
      </c>
      <c r="I1644" s="22">
        <v>42</v>
      </c>
      <c r="J1644" s="21"/>
      <c r="K1644" s="21"/>
      <c r="L1644" s="21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>
        <v>7</v>
      </c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21"/>
      <c r="AH1644" s="21">
        <v>7</v>
      </c>
      <c r="AI1644" s="21"/>
      <c r="AJ1644" s="21"/>
      <c r="AK1644" s="21"/>
      <c r="AL1644" s="21"/>
      <c r="AM1644" s="21">
        <v>7</v>
      </c>
      <c r="AN1644" s="21"/>
      <c r="AO1644" s="21"/>
      <c r="AP1644" s="21"/>
      <c r="AQ1644" s="21"/>
      <c r="AR1644" s="21"/>
      <c r="AS1644" s="21"/>
      <c r="AT1644" s="12" t="str">
        <f>HYPERLINK("http://www.openstreetmap.org/?mlat=32.6011&amp;mlon=44.0483&amp;zoom=12#map=12/32.6011/44.0483","Maplink1")</f>
        <v>Maplink1</v>
      </c>
      <c r="AU1644" s="12" t="str">
        <f>HYPERLINK("https://www.google.iq/maps/search/+32.6011,44.0483/@32.6011,44.0483,14z?hl=en","Maplink2")</f>
        <v>Maplink2</v>
      </c>
      <c r="AV1644" s="12" t="str">
        <f>HYPERLINK("http://www.bing.com/maps/?lvl=14&amp;sty=h&amp;cp=32.6011~44.0483&amp;sp=point.32.6011_44.0483","Maplink3")</f>
        <v>Maplink3</v>
      </c>
    </row>
    <row r="1645" spans="1:48" ht="15" customHeight="1" x14ac:dyDescent="0.25">
      <c r="A1645" s="19">
        <v>24137</v>
      </c>
      <c r="B1645" s="20" t="s">
        <v>16</v>
      </c>
      <c r="C1645" s="20" t="s">
        <v>16</v>
      </c>
      <c r="D1645" s="20" t="s">
        <v>3081</v>
      </c>
      <c r="E1645" s="20" t="s">
        <v>3082</v>
      </c>
      <c r="F1645" s="20">
        <v>32.618691339999998</v>
      </c>
      <c r="G1645" s="20">
        <v>44.042440149999997</v>
      </c>
      <c r="H1645" s="22">
        <v>30</v>
      </c>
      <c r="I1645" s="22">
        <v>180</v>
      </c>
      <c r="J1645" s="21"/>
      <c r="K1645" s="21"/>
      <c r="L1645" s="21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>
        <v>30</v>
      </c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21"/>
      <c r="AH1645" s="21">
        <v>30</v>
      </c>
      <c r="AI1645" s="21"/>
      <c r="AJ1645" s="21"/>
      <c r="AK1645" s="21"/>
      <c r="AL1645" s="21"/>
      <c r="AM1645" s="21">
        <v>30</v>
      </c>
      <c r="AN1645" s="21"/>
      <c r="AO1645" s="21"/>
      <c r="AP1645" s="21"/>
      <c r="AQ1645" s="21"/>
      <c r="AR1645" s="21"/>
      <c r="AS1645" s="21"/>
      <c r="AT1645" s="12" t="str">
        <f>HYPERLINK("http://www.openstreetmap.org/?mlat=32.6187&amp;mlon=44.0424&amp;zoom=12#map=12/32.6187/44.0424","Maplink1")</f>
        <v>Maplink1</v>
      </c>
      <c r="AU1645" s="12" t="str">
        <f>HYPERLINK("https://www.google.iq/maps/search/+32.6187,44.0424/@32.6187,44.0424,14z?hl=en","Maplink2")</f>
        <v>Maplink2</v>
      </c>
      <c r="AV1645" s="12" t="str">
        <f>HYPERLINK("http://www.bing.com/maps/?lvl=14&amp;sty=h&amp;cp=32.6187~44.0424&amp;sp=point.32.6187_44.0424","Maplink3")</f>
        <v>Maplink3</v>
      </c>
    </row>
    <row r="1646" spans="1:48" ht="15" customHeight="1" x14ac:dyDescent="0.25">
      <c r="A1646" s="19">
        <v>24578</v>
      </c>
      <c r="B1646" s="20" t="s">
        <v>16</v>
      </c>
      <c r="C1646" s="20" t="s">
        <v>16</v>
      </c>
      <c r="D1646" s="20" t="s">
        <v>3083</v>
      </c>
      <c r="E1646" s="20" t="s">
        <v>3084</v>
      </c>
      <c r="F1646" s="20">
        <v>32.603522608500001</v>
      </c>
      <c r="G1646" s="20">
        <v>43.999706205599999</v>
      </c>
      <c r="H1646" s="22">
        <v>16</v>
      </c>
      <c r="I1646" s="22">
        <v>96</v>
      </c>
      <c r="J1646" s="21"/>
      <c r="K1646" s="21"/>
      <c r="L1646" s="21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>
        <v>16</v>
      </c>
      <c r="W1646" s="21"/>
      <c r="X1646" s="21"/>
      <c r="Y1646" s="21"/>
      <c r="Z1646" s="21"/>
      <c r="AA1646" s="21"/>
      <c r="AB1646" s="21"/>
      <c r="AC1646" s="21"/>
      <c r="AD1646" s="21">
        <v>4</v>
      </c>
      <c r="AE1646" s="21"/>
      <c r="AF1646" s="21"/>
      <c r="AG1646" s="21"/>
      <c r="AH1646" s="21">
        <v>12</v>
      </c>
      <c r="AI1646" s="21"/>
      <c r="AJ1646" s="21"/>
      <c r="AK1646" s="21"/>
      <c r="AL1646" s="21"/>
      <c r="AM1646" s="21">
        <v>16</v>
      </c>
      <c r="AN1646" s="21"/>
      <c r="AO1646" s="21"/>
      <c r="AP1646" s="21"/>
      <c r="AQ1646" s="21"/>
      <c r="AR1646" s="21"/>
      <c r="AS1646" s="21"/>
      <c r="AT1646" s="12" t="str">
        <f>HYPERLINK("http://www.openstreetmap.org/?mlat=32.6035&amp;mlon=43.9997&amp;zoom=12#map=12/32.6035/43.9997","Maplink1")</f>
        <v>Maplink1</v>
      </c>
      <c r="AU1646" s="12" t="str">
        <f>HYPERLINK("https://www.google.iq/maps/search/+32.6035,43.9997/@32.6035,43.9997,14z?hl=en","Maplink2")</f>
        <v>Maplink2</v>
      </c>
      <c r="AV1646" s="12" t="str">
        <f>HYPERLINK("http://www.bing.com/maps/?lvl=14&amp;sty=h&amp;cp=32.6035~43.9997&amp;sp=point.32.6035_43.9997","Maplink3")</f>
        <v>Maplink3</v>
      </c>
    </row>
    <row r="1647" spans="1:48" ht="15" customHeight="1" x14ac:dyDescent="0.25">
      <c r="A1647" s="19">
        <v>25846</v>
      </c>
      <c r="B1647" s="20" t="s">
        <v>16</v>
      </c>
      <c r="C1647" s="20" t="s">
        <v>16</v>
      </c>
      <c r="D1647" s="20" t="s">
        <v>3085</v>
      </c>
      <c r="E1647" s="20" t="s">
        <v>3086</v>
      </c>
      <c r="F1647" s="20">
        <v>32.603998539999999</v>
      </c>
      <c r="G1647" s="20">
        <v>44.093309499999997</v>
      </c>
      <c r="H1647" s="22">
        <v>18</v>
      </c>
      <c r="I1647" s="22">
        <v>108</v>
      </c>
      <c r="J1647" s="21"/>
      <c r="K1647" s="21"/>
      <c r="L1647" s="21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>
        <v>18</v>
      </c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21"/>
      <c r="AH1647" s="21">
        <v>18</v>
      </c>
      <c r="AI1647" s="21"/>
      <c r="AJ1647" s="21"/>
      <c r="AK1647" s="21"/>
      <c r="AL1647" s="21"/>
      <c r="AM1647" s="21">
        <v>18</v>
      </c>
      <c r="AN1647" s="21"/>
      <c r="AO1647" s="21"/>
      <c r="AP1647" s="21"/>
      <c r="AQ1647" s="21"/>
      <c r="AR1647" s="21"/>
      <c r="AS1647" s="21"/>
      <c r="AT1647" s="12" t="str">
        <f>HYPERLINK("http://www.openstreetmap.org/?mlat=32.604&amp;mlon=44.0933&amp;zoom=12#map=12/32.604/44.0933","Maplink1")</f>
        <v>Maplink1</v>
      </c>
      <c r="AU1647" s="12" t="str">
        <f>HYPERLINK("https://www.google.iq/maps/search/+32.604,44.0933/@32.604,44.0933,14z?hl=en","Maplink2")</f>
        <v>Maplink2</v>
      </c>
      <c r="AV1647" s="12" t="str">
        <f>HYPERLINK("http://www.bing.com/maps/?lvl=14&amp;sty=h&amp;cp=32.604~44.0933&amp;sp=point.32.604_44.0933","Maplink3")</f>
        <v>Maplink3</v>
      </c>
    </row>
    <row r="1648" spans="1:48" ht="15" customHeight="1" x14ac:dyDescent="0.25">
      <c r="A1648" s="19">
        <v>25363</v>
      </c>
      <c r="B1648" s="20" t="s">
        <v>16</v>
      </c>
      <c r="C1648" s="20" t="s">
        <v>16</v>
      </c>
      <c r="D1648" s="20" t="s">
        <v>3087</v>
      </c>
      <c r="E1648" s="20" t="s">
        <v>3088</v>
      </c>
      <c r="F1648" s="20">
        <v>32.580888539999997</v>
      </c>
      <c r="G1648" s="20">
        <v>43.992062560000001</v>
      </c>
      <c r="H1648" s="22">
        <v>9</v>
      </c>
      <c r="I1648" s="22">
        <v>54</v>
      </c>
      <c r="J1648" s="21">
        <v>3</v>
      </c>
      <c r="K1648" s="21"/>
      <c r="L1648" s="21"/>
      <c r="M1648" s="21"/>
      <c r="N1648" s="21"/>
      <c r="O1648" s="21">
        <v>3</v>
      </c>
      <c r="P1648" s="21"/>
      <c r="Q1648" s="21"/>
      <c r="R1648" s="21">
        <v>1</v>
      </c>
      <c r="S1648" s="21"/>
      <c r="T1648" s="21"/>
      <c r="U1648" s="21"/>
      <c r="V1648" s="21">
        <v>2</v>
      </c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21"/>
      <c r="AH1648" s="21">
        <v>9</v>
      </c>
      <c r="AI1648" s="21"/>
      <c r="AJ1648" s="21"/>
      <c r="AK1648" s="21"/>
      <c r="AL1648" s="21">
        <v>3</v>
      </c>
      <c r="AM1648" s="21">
        <v>6</v>
      </c>
      <c r="AN1648" s="21"/>
      <c r="AO1648" s="21"/>
      <c r="AP1648" s="21"/>
      <c r="AQ1648" s="21"/>
      <c r="AR1648" s="21"/>
      <c r="AS1648" s="21"/>
      <c r="AT1648" s="12" t="str">
        <f>HYPERLINK("http://www.openstreetmap.org/?mlat=32.5809&amp;mlon=43.9921&amp;zoom=12#map=12/32.5809/43.9921","Maplink1")</f>
        <v>Maplink1</v>
      </c>
      <c r="AU1648" s="12" t="str">
        <f>HYPERLINK("https://www.google.iq/maps/search/+32.5809,43.9921/@32.5809,43.9921,14z?hl=en","Maplink2")</f>
        <v>Maplink2</v>
      </c>
      <c r="AV1648" s="12" t="str">
        <f>HYPERLINK("http://www.bing.com/maps/?lvl=14&amp;sty=h&amp;cp=32.5809~43.9921&amp;sp=point.32.5809_43.9921","Maplink3")</f>
        <v>Maplink3</v>
      </c>
    </row>
    <row r="1649" spans="1:48" ht="15" customHeight="1" x14ac:dyDescent="0.25">
      <c r="A1649" s="19">
        <v>25536</v>
      </c>
      <c r="B1649" s="20" t="s">
        <v>16</v>
      </c>
      <c r="C1649" s="20" t="s">
        <v>16</v>
      </c>
      <c r="D1649" s="20" t="s">
        <v>3089</v>
      </c>
      <c r="E1649" s="20" t="s">
        <v>3090</v>
      </c>
      <c r="F1649" s="20">
        <v>32.583501586399997</v>
      </c>
      <c r="G1649" s="20">
        <v>43.994946592200002</v>
      </c>
      <c r="H1649" s="22">
        <v>5</v>
      </c>
      <c r="I1649" s="22">
        <v>30</v>
      </c>
      <c r="J1649" s="21"/>
      <c r="K1649" s="21"/>
      <c r="L1649" s="21"/>
      <c r="M1649" s="21"/>
      <c r="N1649" s="21"/>
      <c r="O1649" s="21">
        <v>2</v>
      </c>
      <c r="P1649" s="21"/>
      <c r="Q1649" s="21"/>
      <c r="R1649" s="21">
        <v>3</v>
      </c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21"/>
      <c r="AH1649" s="21">
        <v>5</v>
      </c>
      <c r="AI1649" s="21"/>
      <c r="AJ1649" s="21"/>
      <c r="AK1649" s="21"/>
      <c r="AL1649" s="21"/>
      <c r="AM1649" s="21">
        <v>5</v>
      </c>
      <c r="AN1649" s="21"/>
      <c r="AO1649" s="21"/>
      <c r="AP1649" s="21"/>
      <c r="AQ1649" s="21"/>
      <c r="AR1649" s="21"/>
      <c r="AS1649" s="21"/>
      <c r="AT1649" s="12" t="str">
        <f>HYPERLINK("http://www.openstreetmap.org/?mlat=32.5835&amp;mlon=43.9949&amp;zoom=12#map=12/32.5835/43.9949","Maplink1")</f>
        <v>Maplink1</v>
      </c>
      <c r="AU1649" s="12" t="str">
        <f>HYPERLINK("https://www.google.iq/maps/search/+32.5835,43.9949/@32.5835,43.9949,14z?hl=en","Maplink2")</f>
        <v>Maplink2</v>
      </c>
      <c r="AV1649" s="12" t="str">
        <f>HYPERLINK("http://www.bing.com/maps/?lvl=14&amp;sty=h&amp;cp=32.5835~43.9949&amp;sp=point.32.5835_43.9949","Maplink3")</f>
        <v>Maplink3</v>
      </c>
    </row>
    <row r="1650" spans="1:48" ht="15" customHeight="1" x14ac:dyDescent="0.25">
      <c r="A1650" s="19">
        <v>14280</v>
      </c>
      <c r="B1650" s="20" t="s">
        <v>16</v>
      </c>
      <c r="C1650" s="20" t="s">
        <v>16</v>
      </c>
      <c r="D1650" s="20" t="s">
        <v>3091</v>
      </c>
      <c r="E1650" s="20" t="s">
        <v>3092</v>
      </c>
      <c r="F1650" s="20">
        <v>32.578621569600003</v>
      </c>
      <c r="G1650" s="20">
        <v>43.994241784400003</v>
      </c>
      <c r="H1650" s="22">
        <v>22</v>
      </c>
      <c r="I1650" s="22">
        <v>132</v>
      </c>
      <c r="J1650" s="21">
        <v>4</v>
      </c>
      <c r="K1650" s="21"/>
      <c r="L1650" s="21"/>
      <c r="M1650" s="21"/>
      <c r="N1650" s="21"/>
      <c r="O1650" s="21">
        <v>4</v>
      </c>
      <c r="P1650" s="21"/>
      <c r="Q1650" s="21"/>
      <c r="R1650" s="21">
        <v>3</v>
      </c>
      <c r="S1650" s="21"/>
      <c r="T1650" s="21"/>
      <c r="U1650" s="21"/>
      <c r="V1650" s="21">
        <v>10</v>
      </c>
      <c r="W1650" s="21"/>
      <c r="X1650" s="21">
        <v>1</v>
      </c>
      <c r="Y1650" s="21"/>
      <c r="Z1650" s="21"/>
      <c r="AA1650" s="21"/>
      <c r="AB1650" s="21"/>
      <c r="AC1650" s="21"/>
      <c r="AD1650" s="21"/>
      <c r="AE1650" s="21"/>
      <c r="AF1650" s="21"/>
      <c r="AG1650" s="21"/>
      <c r="AH1650" s="21">
        <v>22</v>
      </c>
      <c r="AI1650" s="21"/>
      <c r="AJ1650" s="21"/>
      <c r="AK1650" s="21"/>
      <c r="AL1650" s="21">
        <v>4</v>
      </c>
      <c r="AM1650" s="21">
        <v>18</v>
      </c>
      <c r="AN1650" s="21"/>
      <c r="AO1650" s="21"/>
      <c r="AP1650" s="21"/>
      <c r="AQ1650" s="21"/>
      <c r="AR1650" s="21"/>
      <c r="AS1650" s="21"/>
      <c r="AT1650" s="12" t="str">
        <f>HYPERLINK("http://www.openstreetmap.org/?mlat=32.5786&amp;mlon=43.9942&amp;zoom=12#map=12/32.5786/43.9942","Maplink1")</f>
        <v>Maplink1</v>
      </c>
      <c r="AU1650" s="12" t="str">
        <f>HYPERLINK("https://www.google.iq/maps/search/+32.5786,43.9942/@32.5786,43.9942,14z?hl=en","Maplink2")</f>
        <v>Maplink2</v>
      </c>
      <c r="AV1650" s="12" t="str">
        <f>HYPERLINK("http://www.bing.com/maps/?lvl=14&amp;sty=h&amp;cp=32.5786~43.9942&amp;sp=point.32.5786_43.9942","Maplink3")</f>
        <v>Maplink3</v>
      </c>
    </row>
    <row r="1651" spans="1:48" ht="15" customHeight="1" x14ac:dyDescent="0.25">
      <c r="A1651" s="19">
        <v>25056</v>
      </c>
      <c r="B1651" s="20" t="s">
        <v>16</v>
      </c>
      <c r="C1651" s="20" t="s">
        <v>16</v>
      </c>
      <c r="D1651" s="20" t="s">
        <v>3093</v>
      </c>
      <c r="E1651" s="20" t="s">
        <v>3094</v>
      </c>
      <c r="F1651" s="20">
        <v>32.596386850000002</v>
      </c>
      <c r="G1651" s="20">
        <v>44.075806749999998</v>
      </c>
      <c r="H1651" s="22">
        <v>8</v>
      </c>
      <c r="I1651" s="22">
        <v>48</v>
      </c>
      <c r="J1651" s="21"/>
      <c r="K1651" s="21"/>
      <c r="L1651" s="21">
        <v>2</v>
      </c>
      <c r="M1651" s="21"/>
      <c r="N1651" s="21"/>
      <c r="O1651" s="21">
        <v>3</v>
      </c>
      <c r="P1651" s="21"/>
      <c r="Q1651" s="21"/>
      <c r="R1651" s="21"/>
      <c r="S1651" s="21"/>
      <c r="T1651" s="21"/>
      <c r="U1651" s="21"/>
      <c r="V1651" s="21">
        <v>3</v>
      </c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21"/>
      <c r="AH1651" s="21">
        <v>8</v>
      </c>
      <c r="AI1651" s="21"/>
      <c r="AJ1651" s="21"/>
      <c r="AK1651" s="21"/>
      <c r="AL1651" s="21"/>
      <c r="AM1651" s="21">
        <v>8</v>
      </c>
      <c r="AN1651" s="21"/>
      <c r="AO1651" s="21"/>
      <c r="AP1651" s="21"/>
      <c r="AQ1651" s="21"/>
      <c r="AR1651" s="21"/>
      <c r="AS1651" s="21"/>
      <c r="AT1651" s="12" t="str">
        <f>HYPERLINK("http://www.openstreetmap.org/?mlat=32.5964&amp;mlon=44.0758&amp;zoom=12#map=12/32.5964/44.0758","Maplink1")</f>
        <v>Maplink1</v>
      </c>
      <c r="AU1651" s="12" t="str">
        <f>HYPERLINK("https://www.google.iq/maps/search/+32.5964,44.0758/@32.5964,44.0758,14z?hl=en","Maplink2")</f>
        <v>Maplink2</v>
      </c>
      <c r="AV1651" s="12" t="str">
        <f>HYPERLINK("http://www.bing.com/maps/?lvl=14&amp;sty=h&amp;cp=32.5964~44.0758&amp;sp=point.32.5964_44.0758","Maplink3")</f>
        <v>Maplink3</v>
      </c>
    </row>
    <row r="1652" spans="1:48" ht="15" customHeight="1" x14ac:dyDescent="0.25">
      <c r="A1652" s="19">
        <v>25548</v>
      </c>
      <c r="B1652" s="20" t="s">
        <v>16</v>
      </c>
      <c r="C1652" s="20" t="s">
        <v>16</v>
      </c>
      <c r="D1652" s="20" t="s">
        <v>3095</v>
      </c>
      <c r="E1652" s="20" t="s">
        <v>3096</v>
      </c>
      <c r="F1652" s="20">
        <v>32.638131474600002</v>
      </c>
      <c r="G1652" s="20">
        <v>43.977673225399997</v>
      </c>
      <c r="H1652" s="22">
        <v>7</v>
      </c>
      <c r="I1652" s="22">
        <v>42</v>
      </c>
      <c r="J1652" s="21">
        <v>1</v>
      </c>
      <c r="K1652" s="21"/>
      <c r="L1652" s="21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>
        <v>5</v>
      </c>
      <c r="W1652" s="21"/>
      <c r="X1652" s="21">
        <v>1</v>
      </c>
      <c r="Y1652" s="21"/>
      <c r="Z1652" s="21"/>
      <c r="AA1652" s="21"/>
      <c r="AB1652" s="21"/>
      <c r="AC1652" s="21"/>
      <c r="AD1652" s="21"/>
      <c r="AE1652" s="21"/>
      <c r="AF1652" s="21"/>
      <c r="AG1652" s="21"/>
      <c r="AH1652" s="21">
        <v>7</v>
      </c>
      <c r="AI1652" s="21"/>
      <c r="AJ1652" s="21"/>
      <c r="AK1652" s="21"/>
      <c r="AL1652" s="21">
        <v>1</v>
      </c>
      <c r="AM1652" s="21">
        <v>5</v>
      </c>
      <c r="AN1652" s="21">
        <v>1</v>
      </c>
      <c r="AO1652" s="21"/>
      <c r="AP1652" s="21"/>
      <c r="AQ1652" s="21"/>
      <c r="AR1652" s="21"/>
      <c r="AS1652" s="21"/>
      <c r="AT1652" s="12" t="str">
        <f>HYPERLINK("http://www.openstreetmap.org/?mlat=32.6381&amp;mlon=43.9777&amp;zoom=12#map=12/32.6381/43.9777","Maplink1")</f>
        <v>Maplink1</v>
      </c>
      <c r="AU1652" s="12" t="str">
        <f>HYPERLINK("https://www.google.iq/maps/search/+32.6381,43.9777/@32.6381,43.9777,14z?hl=en","Maplink2")</f>
        <v>Maplink2</v>
      </c>
      <c r="AV1652" s="12" t="str">
        <f>HYPERLINK("http://www.bing.com/maps/?lvl=14&amp;sty=h&amp;cp=32.6381~43.9777&amp;sp=point.32.6381_43.9777","Maplink3")</f>
        <v>Maplink3</v>
      </c>
    </row>
    <row r="1653" spans="1:48" ht="15" customHeight="1" x14ac:dyDescent="0.25">
      <c r="A1653" s="19">
        <v>14281</v>
      </c>
      <c r="B1653" s="20" t="s">
        <v>16</v>
      </c>
      <c r="C1653" s="20" t="s">
        <v>16</v>
      </c>
      <c r="D1653" s="20" t="s">
        <v>3097</v>
      </c>
      <c r="E1653" s="20" t="s">
        <v>3098</v>
      </c>
      <c r="F1653" s="20">
        <v>32.608018790000003</v>
      </c>
      <c r="G1653" s="20">
        <v>44.039870929999999</v>
      </c>
      <c r="H1653" s="22">
        <v>53</v>
      </c>
      <c r="I1653" s="22">
        <v>318</v>
      </c>
      <c r="J1653" s="21"/>
      <c r="K1653" s="21"/>
      <c r="L1653" s="21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>
        <v>53</v>
      </c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21"/>
      <c r="AH1653" s="21">
        <v>53</v>
      </c>
      <c r="AI1653" s="21"/>
      <c r="AJ1653" s="21"/>
      <c r="AK1653" s="21"/>
      <c r="AL1653" s="21"/>
      <c r="AM1653" s="21">
        <v>53</v>
      </c>
      <c r="AN1653" s="21"/>
      <c r="AO1653" s="21"/>
      <c r="AP1653" s="21"/>
      <c r="AQ1653" s="21"/>
      <c r="AR1653" s="21"/>
      <c r="AS1653" s="21"/>
      <c r="AT1653" s="12" t="str">
        <f>HYPERLINK("http://www.openstreetmap.org/?mlat=32.608&amp;mlon=44.0399&amp;zoom=12#map=12/32.608/44.0399","Maplink1")</f>
        <v>Maplink1</v>
      </c>
      <c r="AU1653" s="12" t="str">
        <f>HYPERLINK("https://www.google.iq/maps/search/+32.608,44.0399/@32.608,44.0399,14z?hl=en","Maplink2")</f>
        <v>Maplink2</v>
      </c>
      <c r="AV1653" s="12" t="str">
        <f>HYPERLINK("http://www.bing.com/maps/?lvl=14&amp;sty=h&amp;cp=32.608~44.0399&amp;sp=point.32.608_44.0399","Maplink3")</f>
        <v>Maplink3</v>
      </c>
    </row>
    <row r="1654" spans="1:48" ht="15" customHeight="1" x14ac:dyDescent="0.25">
      <c r="A1654" s="19">
        <v>14293</v>
      </c>
      <c r="B1654" s="20" t="s">
        <v>16</v>
      </c>
      <c r="C1654" s="20" t="s">
        <v>16</v>
      </c>
      <c r="D1654" s="20" t="s">
        <v>3099</v>
      </c>
      <c r="E1654" s="20" t="s">
        <v>3100</v>
      </c>
      <c r="F1654" s="20">
        <v>32.635481500700003</v>
      </c>
      <c r="G1654" s="20">
        <v>43.9918628649</v>
      </c>
      <c r="H1654" s="22">
        <v>5</v>
      </c>
      <c r="I1654" s="22">
        <v>30</v>
      </c>
      <c r="J1654" s="21"/>
      <c r="K1654" s="21"/>
      <c r="L1654" s="21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>
        <v>5</v>
      </c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21"/>
      <c r="AH1654" s="21">
        <v>5</v>
      </c>
      <c r="AI1654" s="21"/>
      <c r="AJ1654" s="21"/>
      <c r="AK1654" s="21"/>
      <c r="AL1654" s="21"/>
      <c r="AM1654" s="21">
        <v>5</v>
      </c>
      <c r="AN1654" s="21"/>
      <c r="AO1654" s="21"/>
      <c r="AP1654" s="21"/>
      <c r="AQ1654" s="21"/>
      <c r="AR1654" s="21"/>
      <c r="AS1654" s="21"/>
      <c r="AT1654" s="12" t="str">
        <f>HYPERLINK("http://www.openstreetmap.org/?mlat=32.6355&amp;mlon=43.9919&amp;zoom=12#map=12/32.6355/43.9919","Maplink1")</f>
        <v>Maplink1</v>
      </c>
      <c r="AU1654" s="12" t="str">
        <f>HYPERLINK("https://www.google.iq/maps/search/+32.6355,43.9919/@32.6355,43.9919,14z?hl=en","Maplink2")</f>
        <v>Maplink2</v>
      </c>
      <c r="AV1654" s="12" t="str">
        <f>HYPERLINK("http://www.bing.com/maps/?lvl=14&amp;sty=h&amp;cp=32.6355~43.9919&amp;sp=point.32.6355_43.9919","Maplink3")</f>
        <v>Maplink3</v>
      </c>
    </row>
    <row r="1655" spans="1:48" ht="15" customHeight="1" x14ac:dyDescent="0.25">
      <c r="A1655" s="19">
        <v>25733</v>
      </c>
      <c r="B1655" s="20" t="s">
        <v>16</v>
      </c>
      <c r="C1655" s="20" t="s">
        <v>16</v>
      </c>
      <c r="D1655" s="20" t="s">
        <v>3101</v>
      </c>
      <c r="E1655" s="20" t="s">
        <v>3102</v>
      </c>
      <c r="F1655" s="20">
        <v>32.601577220000003</v>
      </c>
      <c r="G1655" s="20">
        <v>43.996803200000002</v>
      </c>
      <c r="H1655" s="22">
        <v>15</v>
      </c>
      <c r="I1655" s="22">
        <v>90</v>
      </c>
      <c r="J1655" s="21"/>
      <c r="K1655" s="21"/>
      <c r="L1655" s="21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>
        <v>15</v>
      </c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21"/>
      <c r="AH1655" s="21">
        <v>15</v>
      </c>
      <c r="AI1655" s="21"/>
      <c r="AJ1655" s="21"/>
      <c r="AK1655" s="21"/>
      <c r="AL1655" s="21"/>
      <c r="AM1655" s="21">
        <v>15</v>
      </c>
      <c r="AN1655" s="21"/>
      <c r="AO1655" s="21"/>
      <c r="AP1655" s="21"/>
      <c r="AQ1655" s="21"/>
      <c r="AR1655" s="21"/>
      <c r="AS1655" s="21"/>
      <c r="AT1655" s="12" t="str">
        <f>HYPERLINK("http://www.openstreetmap.org/?mlat=32.6016&amp;mlon=43.9968&amp;zoom=12#map=12/32.6016/43.9968","Maplink1")</f>
        <v>Maplink1</v>
      </c>
      <c r="AU1655" s="12" t="str">
        <f>HYPERLINK("https://www.google.iq/maps/search/+32.6016,43.9968/@32.6016,43.9968,14z?hl=en","Maplink2")</f>
        <v>Maplink2</v>
      </c>
      <c r="AV1655" s="12" t="str">
        <f>HYPERLINK("http://www.bing.com/maps/?lvl=14&amp;sty=h&amp;cp=32.6016~43.9968&amp;sp=point.32.6016_43.9968","Maplink3")</f>
        <v>Maplink3</v>
      </c>
    </row>
    <row r="1656" spans="1:48" ht="15" customHeight="1" x14ac:dyDescent="0.25">
      <c r="A1656" s="19">
        <v>25271</v>
      </c>
      <c r="B1656" s="20" t="s">
        <v>16</v>
      </c>
      <c r="C1656" s="20" t="s">
        <v>16</v>
      </c>
      <c r="D1656" s="20" t="s">
        <v>6146</v>
      </c>
      <c r="E1656" s="20" t="s">
        <v>6147</v>
      </c>
      <c r="F1656" s="20">
        <v>32.571620289999998</v>
      </c>
      <c r="G1656" s="20">
        <v>44.018910050000002</v>
      </c>
      <c r="H1656" s="22">
        <v>2</v>
      </c>
      <c r="I1656" s="22">
        <v>12</v>
      </c>
      <c r="J1656" s="21"/>
      <c r="K1656" s="21"/>
      <c r="L1656" s="21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>
        <v>2</v>
      </c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21"/>
      <c r="AH1656" s="21">
        <v>2</v>
      </c>
      <c r="AI1656" s="21"/>
      <c r="AJ1656" s="21"/>
      <c r="AK1656" s="21"/>
      <c r="AL1656" s="21"/>
      <c r="AM1656" s="21">
        <v>2</v>
      </c>
      <c r="AN1656" s="21"/>
      <c r="AO1656" s="21"/>
      <c r="AP1656" s="21"/>
      <c r="AQ1656" s="21"/>
      <c r="AR1656" s="21"/>
      <c r="AS1656" s="21"/>
      <c r="AT1656" s="12" t="str">
        <f>HYPERLINK("http://www.openstreetmap.org/?mlat=32.5716&amp;mlon=44.0189&amp;zoom=12#map=12/32.5716/44.0189","Maplink1")</f>
        <v>Maplink1</v>
      </c>
      <c r="AU1656" s="12" t="str">
        <f>HYPERLINK("https://www.google.iq/maps/search/+32.5716,44.0189/@32.5716,44.0189,14z?hl=en","Maplink2")</f>
        <v>Maplink2</v>
      </c>
      <c r="AV1656" s="12" t="str">
        <f>HYPERLINK("http://www.bing.com/maps/?lvl=14&amp;sty=h&amp;cp=32.5716~44.0189&amp;sp=point.32.5716_44.0189","Maplink3")</f>
        <v>Maplink3</v>
      </c>
    </row>
    <row r="1657" spans="1:48" ht="15" customHeight="1" x14ac:dyDescent="0.25">
      <c r="A1657" s="19">
        <v>27265</v>
      </c>
      <c r="B1657" s="20" t="s">
        <v>16</v>
      </c>
      <c r="C1657" s="20" t="s">
        <v>16</v>
      </c>
      <c r="D1657" s="20" t="s">
        <v>3103</v>
      </c>
      <c r="E1657" s="20" t="s">
        <v>3104</v>
      </c>
      <c r="F1657" s="20">
        <v>32.570512772100003</v>
      </c>
      <c r="G1657" s="20">
        <v>44.0163844199</v>
      </c>
      <c r="H1657" s="22">
        <v>8</v>
      </c>
      <c r="I1657" s="22">
        <v>48</v>
      </c>
      <c r="J1657" s="21"/>
      <c r="K1657" s="21"/>
      <c r="L1657" s="21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>
        <v>8</v>
      </c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21"/>
      <c r="AH1657" s="21">
        <v>8</v>
      </c>
      <c r="AI1657" s="21"/>
      <c r="AJ1657" s="21"/>
      <c r="AK1657" s="21"/>
      <c r="AL1657" s="21"/>
      <c r="AM1657" s="21">
        <v>8</v>
      </c>
      <c r="AN1657" s="21"/>
      <c r="AO1657" s="21"/>
      <c r="AP1657" s="21"/>
      <c r="AQ1657" s="21"/>
      <c r="AR1657" s="21"/>
      <c r="AS1657" s="21"/>
      <c r="AT1657" s="12" t="str">
        <f>HYPERLINK("http://www.openstreetmap.org/?mlat=32.5705&amp;mlon=44.0164&amp;zoom=12#map=12/32.5705/44.0164","Maplink1")</f>
        <v>Maplink1</v>
      </c>
      <c r="AU1657" s="12" t="str">
        <f>HYPERLINK("https://www.google.iq/maps/search/+32.5705,44.0164/@32.5705,44.0164,14z?hl=en","Maplink2")</f>
        <v>Maplink2</v>
      </c>
      <c r="AV1657" s="12" t="str">
        <f>HYPERLINK("http://www.bing.com/maps/?lvl=14&amp;sty=h&amp;cp=32.5705~44.0164&amp;sp=point.32.5705_44.0164","Maplink3")</f>
        <v>Maplink3</v>
      </c>
    </row>
    <row r="1658" spans="1:48" ht="15" customHeight="1" x14ac:dyDescent="0.25">
      <c r="A1658" s="19">
        <v>24630</v>
      </c>
      <c r="B1658" s="20" t="s">
        <v>16</v>
      </c>
      <c r="C1658" s="20" t="s">
        <v>16</v>
      </c>
      <c r="D1658" s="20" t="s">
        <v>3105</v>
      </c>
      <c r="E1658" s="20" t="s">
        <v>3106</v>
      </c>
      <c r="F1658" s="20">
        <v>32.644168010000001</v>
      </c>
      <c r="G1658" s="20">
        <v>43.98838903</v>
      </c>
      <c r="H1658" s="22">
        <v>13</v>
      </c>
      <c r="I1658" s="22">
        <v>78</v>
      </c>
      <c r="J1658" s="21">
        <v>1</v>
      </c>
      <c r="K1658" s="21"/>
      <c r="L1658" s="21">
        <v>4</v>
      </c>
      <c r="M1658" s="21"/>
      <c r="N1658" s="21"/>
      <c r="O1658" s="21"/>
      <c r="P1658" s="21"/>
      <c r="Q1658" s="21"/>
      <c r="R1658" s="21"/>
      <c r="S1658" s="21"/>
      <c r="T1658" s="21"/>
      <c r="U1658" s="21"/>
      <c r="V1658" s="21">
        <v>8</v>
      </c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21"/>
      <c r="AH1658" s="21">
        <v>9</v>
      </c>
      <c r="AI1658" s="21"/>
      <c r="AJ1658" s="21">
        <v>4</v>
      </c>
      <c r="AK1658" s="21"/>
      <c r="AL1658" s="21">
        <v>4</v>
      </c>
      <c r="AM1658" s="21">
        <v>8</v>
      </c>
      <c r="AN1658" s="21">
        <v>1</v>
      </c>
      <c r="AO1658" s="21"/>
      <c r="AP1658" s="21"/>
      <c r="AQ1658" s="21"/>
      <c r="AR1658" s="21"/>
      <c r="AS1658" s="21"/>
      <c r="AT1658" s="12" t="str">
        <f>HYPERLINK("http://www.openstreetmap.org/?mlat=32.6442&amp;mlon=43.9884&amp;zoom=12#map=12/32.6442/43.9884","Maplink1")</f>
        <v>Maplink1</v>
      </c>
      <c r="AU1658" s="12" t="str">
        <f>HYPERLINK("https://www.google.iq/maps/search/+32.6442,43.9884/@32.6442,43.9884,14z?hl=en","Maplink2")</f>
        <v>Maplink2</v>
      </c>
      <c r="AV1658" s="12" t="str">
        <f>HYPERLINK("http://www.bing.com/maps/?lvl=14&amp;sty=h&amp;cp=32.6442~43.9884&amp;sp=point.32.6442_43.9884","Maplink3")</f>
        <v>Maplink3</v>
      </c>
    </row>
    <row r="1659" spans="1:48" ht="15" customHeight="1" x14ac:dyDescent="0.25">
      <c r="A1659" s="19">
        <v>25259</v>
      </c>
      <c r="B1659" s="20" t="s">
        <v>16</v>
      </c>
      <c r="C1659" s="20" t="s">
        <v>16</v>
      </c>
      <c r="D1659" s="20" t="s">
        <v>3107</v>
      </c>
      <c r="E1659" s="20" t="s">
        <v>3108</v>
      </c>
      <c r="F1659" s="20">
        <v>32.654074155799997</v>
      </c>
      <c r="G1659" s="20">
        <v>43.991501315999997</v>
      </c>
      <c r="H1659" s="22">
        <v>6</v>
      </c>
      <c r="I1659" s="22">
        <v>36</v>
      </c>
      <c r="J1659" s="21"/>
      <c r="K1659" s="21"/>
      <c r="L1659" s="21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>
        <v>6</v>
      </c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21"/>
      <c r="AH1659" s="21">
        <v>6</v>
      </c>
      <c r="AI1659" s="21"/>
      <c r="AJ1659" s="21"/>
      <c r="AK1659" s="21"/>
      <c r="AL1659" s="21"/>
      <c r="AM1659" s="21">
        <v>6</v>
      </c>
      <c r="AN1659" s="21"/>
      <c r="AO1659" s="21"/>
      <c r="AP1659" s="21"/>
      <c r="AQ1659" s="21"/>
      <c r="AR1659" s="21"/>
      <c r="AS1659" s="21"/>
      <c r="AT1659" s="12" t="str">
        <f>HYPERLINK("http://www.openstreetmap.org/?mlat=32.6541&amp;mlon=43.9915&amp;zoom=12#map=12/32.6541/43.9915","Maplink1")</f>
        <v>Maplink1</v>
      </c>
      <c r="AU1659" s="12" t="str">
        <f>HYPERLINK("https://www.google.iq/maps/search/+32.6541,43.9915/@32.6541,43.9915,14z?hl=en","Maplink2")</f>
        <v>Maplink2</v>
      </c>
      <c r="AV1659" s="12" t="str">
        <f>HYPERLINK("http://www.bing.com/maps/?lvl=14&amp;sty=h&amp;cp=32.6541~43.9915&amp;sp=point.32.6541_43.9915","Maplink3")</f>
        <v>Maplink3</v>
      </c>
    </row>
    <row r="1660" spans="1:48" ht="15" customHeight="1" x14ac:dyDescent="0.25">
      <c r="A1660" s="19">
        <v>26010</v>
      </c>
      <c r="B1660" s="20" t="s">
        <v>16</v>
      </c>
      <c r="C1660" s="20" t="s">
        <v>16</v>
      </c>
      <c r="D1660" s="20" t="s">
        <v>3109</v>
      </c>
      <c r="E1660" s="20" t="s">
        <v>3110</v>
      </c>
      <c r="F1660" s="20">
        <v>32.543918400000003</v>
      </c>
      <c r="G1660" s="20">
        <v>44.09137303</v>
      </c>
      <c r="H1660" s="22">
        <v>35</v>
      </c>
      <c r="I1660" s="22">
        <v>210</v>
      </c>
      <c r="J1660" s="21"/>
      <c r="K1660" s="21"/>
      <c r="L1660" s="21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>
        <v>35</v>
      </c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21">
        <v>15</v>
      </c>
      <c r="AH1660" s="21">
        <v>20</v>
      </c>
      <c r="AI1660" s="21"/>
      <c r="AJ1660" s="21"/>
      <c r="AK1660" s="21"/>
      <c r="AL1660" s="21"/>
      <c r="AM1660" s="21">
        <v>35</v>
      </c>
      <c r="AN1660" s="21"/>
      <c r="AO1660" s="21"/>
      <c r="AP1660" s="21"/>
      <c r="AQ1660" s="21"/>
      <c r="AR1660" s="21"/>
      <c r="AS1660" s="21"/>
      <c r="AT1660" s="12" t="str">
        <f>HYPERLINK("http://www.openstreetmap.org/?mlat=32.5439&amp;mlon=44.0914&amp;zoom=12#map=12/32.5439/44.0914","Maplink1")</f>
        <v>Maplink1</v>
      </c>
      <c r="AU1660" s="12" t="str">
        <f>HYPERLINK("https://www.google.iq/maps/search/+32.5439,44.0914/@32.5439,44.0914,14z?hl=en","Maplink2")</f>
        <v>Maplink2</v>
      </c>
      <c r="AV1660" s="12" t="str">
        <f>HYPERLINK("http://www.bing.com/maps/?lvl=14&amp;sty=h&amp;cp=32.5439~44.0914&amp;sp=point.32.5439_44.0914","Maplink3")</f>
        <v>Maplink3</v>
      </c>
    </row>
    <row r="1661" spans="1:48" ht="15" customHeight="1" x14ac:dyDescent="0.25">
      <c r="A1661" s="19">
        <v>14836</v>
      </c>
      <c r="B1661" s="20" t="s">
        <v>17</v>
      </c>
      <c r="C1661" s="20" t="s">
        <v>5875</v>
      </c>
      <c r="D1661" s="20" t="s">
        <v>5876</v>
      </c>
      <c r="E1661" s="20" t="s">
        <v>5877</v>
      </c>
      <c r="F1661" s="20">
        <v>35.298966999999998</v>
      </c>
      <c r="G1661" s="20">
        <v>43.845149999999997</v>
      </c>
      <c r="H1661" s="22">
        <v>20</v>
      </c>
      <c r="I1661" s="22">
        <v>120</v>
      </c>
      <c r="J1661" s="21"/>
      <c r="K1661" s="21"/>
      <c r="L1661" s="21"/>
      <c r="M1661" s="21"/>
      <c r="N1661" s="21"/>
      <c r="O1661" s="21"/>
      <c r="P1661" s="21"/>
      <c r="Q1661" s="21"/>
      <c r="R1661" s="21">
        <v>20</v>
      </c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>
        <v>20</v>
      </c>
      <c r="AD1661" s="21"/>
      <c r="AE1661" s="21"/>
      <c r="AF1661" s="21"/>
      <c r="AG1661" s="21"/>
      <c r="AH1661" s="21"/>
      <c r="AI1661" s="21"/>
      <c r="AJ1661" s="21"/>
      <c r="AK1661" s="21"/>
      <c r="AL1661" s="21"/>
      <c r="AM1661" s="21"/>
      <c r="AN1661" s="21"/>
      <c r="AO1661" s="21"/>
      <c r="AP1661" s="21"/>
      <c r="AQ1661" s="21">
        <v>5</v>
      </c>
      <c r="AR1661" s="21">
        <v>10</v>
      </c>
      <c r="AS1661" s="21">
        <v>5</v>
      </c>
      <c r="AT1661" s="12" t="str">
        <f>HYPERLINK("http://www.openstreetmap.org/?mlat=35.299&amp;mlon=43.8451&amp;zoom=12#map=12/35.299/43.8451","Maplink1")</f>
        <v>Maplink1</v>
      </c>
      <c r="AU1661" s="12" t="str">
        <f>HYPERLINK("https://www.google.iq/maps/search/+35.299,43.8451/@35.299,43.8451,14z?hl=en","Maplink2")</f>
        <v>Maplink2</v>
      </c>
      <c r="AV1661" s="12" t="str">
        <f>HYPERLINK("http://www.bing.com/maps/?lvl=14&amp;sty=h&amp;cp=35.299~43.8451&amp;sp=point.35.299_43.8451","Maplink3")</f>
        <v>Maplink3</v>
      </c>
    </row>
    <row r="1662" spans="1:48" ht="15" customHeight="1" x14ac:dyDescent="0.25">
      <c r="A1662" s="19">
        <v>15275</v>
      </c>
      <c r="B1662" s="20" t="s">
        <v>17</v>
      </c>
      <c r="C1662" s="20" t="s">
        <v>5875</v>
      </c>
      <c r="D1662" s="20" t="s">
        <v>6042</v>
      </c>
      <c r="E1662" s="20" t="s">
        <v>6043</v>
      </c>
      <c r="F1662" s="20">
        <v>35.276699999999998</v>
      </c>
      <c r="G1662" s="20">
        <v>43.598700000000001</v>
      </c>
      <c r="H1662" s="22">
        <v>25</v>
      </c>
      <c r="I1662" s="22">
        <v>150</v>
      </c>
      <c r="J1662" s="21"/>
      <c r="K1662" s="21"/>
      <c r="L1662" s="21"/>
      <c r="M1662" s="21"/>
      <c r="N1662" s="21"/>
      <c r="O1662" s="21"/>
      <c r="P1662" s="21"/>
      <c r="Q1662" s="21"/>
      <c r="R1662" s="21">
        <v>25</v>
      </c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>
        <v>25</v>
      </c>
      <c r="AD1662" s="21"/>
      <c r="AE1662" s="21"/>
      <c r="AF1662" s="21"/>
      <c r="AG1662" s="21"/>
      <c r="AH1662" s="21"/>
      <c r="AI1662" s="21"/>
      <c r="AJ1662" s="21"/>
      <c r="AK1662" s="21"/>
      <c r="AL1662" s="21"/>
      <c r="AM1662" s="21"/>
      <c r="AN1662" s="21"/>
      <c r="AO1662" s="21"/>
      <c r="AP1662" s="21"/>
      <c r="AQ1662" s="21"/>
      <c r="AR1662" s="21"/>
      <c r="AS1662" s="21">
        <v>25</v>
      </c>
      <c r="AT1662" s="12" t="str">
        <f>HYPERLINK("http://www.openstreetmap.org/?mlat=35.2767&amp;mlon=43.5987&amp;zoom=12#map=12/35.2767/43.5987","Maplink1")</f>
        <v>Maplink1</v>
      </c>
      <c r="AU1662" s="12" t="str">
        <f>HYPERLINK("https://www.google.iq/maps/search/+35.2767,43.5987/@35.2767,43.5987,14z?hl=en","Maplink2")</f>
        <v>Maplink2</v>
      </c>
      <c r="AV1662" s="12" t="str">
        <f>HYPERLINK("http://www.bing.com/maps/?lvl=14&amp;sty=h&amp;cp=35.2767~43.5987&amp;sp=point.35.2767_43.5987","Maplink3")</f>
        <v>Maplink3</v>
      </c>
    </row>
    <row r="1663" spans="1:48" ht="15" customHeight="1" x14ac:dyDescent="0.25">
      <c r="A1663" s="19">
        <v>15408</v>
      </c>
      <c r="B1663" s="20" t="s">
        <v>17</v>
      </c>
      <c r="C1663" s="20" t="s">
        <v>5875</v>
      </c>
      <c r="D1663" s="20" t="s">
        <v>5878</v>
      </c>
      <c r="E1663" s="20" t="s">
        <v>5879</v>
      </c>
      <c r="F1663" s="20">
        <v>35.457056000000001</v>
      </c>
      <c r="G1663" s="20">
        <v>43.737611000000001</v>
      </c>
      <c r="H1663" s="22">
        <v>15</v>
      </c>
      <c r="I1663" s="22">
        <v>90</v>
      </c>
      <c r="J1663" s="21"/>
      <c r="K1663" s="21"/>
      <c r="L1663" s="21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>
        <v>15</v>
      </c>
      <c r="W1663" s="21"/>
      <c r="X1663" s="21"/>
      <c r="Y1663" s="21"/>
      <c r="Z1663" s="21"/>
      <c r="AA1663" s="21"/>
      <c r="AB1663" s="21"/>
      <c r="AC1663" s="21">
        <v>15</v>
      </c>
      <c r="AD1663" s="21"/>
      <c r="AE1663" s="21"/>
      <c r="AF1663" s="21"/>
      <c r="AG1663" s="21"/>
      <c r="AH1663" s="21"/>
      <c r="AI1663" s="21"/>
      <c r="AJ1663" s="21"/>
      <c r="AK1663" s="21"/>
      <c r="AL1663" s="21"/>
      <c r="AM1663" s="21">
        <v>3</v>
      </c>
      <c r="AN1663" s="21">
        <v>5</v>
      </c>
      <c r="AO1663" s="21">
        <v>7</v>
      </c>
      <c r="AP1663" s="21"/>
      <c r="AQ1663" s="21"/>
      <c r="AR1663" s="21"/>
      <c r="AS1663" s="21"/>
      <c r="AT1663" s="12" t="str">
        <f>HYPERLINK("http://www.openstreetmap.org/?mlat=35.4571&amp;mlon=43.7376&amp;zoom=12#map=12/35.4571/43.7376","Maplink1")</f>
        <v>Maplink1</v>
      </c>
      <c r="AU1663" s="12" t="str">
        <f>HYPERLINK("https://www.google.iq/maps/search/+35.4571,43.7376/@35.4571,43.7376,14z?hl=en","Maplink2")</f>
        <v>Maplink2</v>
      </c>
      <c r="AV1663" s="12" t="str">
        <f>HYPERLINK("http://www.bing.com/maps/?lvl=14&amp;sty=h&amp;cp=35.4571~43.7376&amp;sp=point.35.4571_43.7376","Maplink3")</f>
        <v>Maplink3</v>
      </c>
    </row>
    <row r="1664" spans="1:48" ht="15" customHeight="1" x14ac:dyDescent="0.25">
      <c r="A1664" s="19">
        <v>14375</v>
      </c>
      <c r="B1664" s="20" t="s">
        <v>17</v>
      </c>
      <c r="C1664" s="20" t="s">
        <v>3112</v>
      </c>
      <c r="D1664" s="20" t="s">
        <v>5776</v>
      </c>
      <c r="E1664" s="20" t="s">
        <v>5777</v>
      </c>
      <c r="F1664" s="20">
        <v>35.756841999999999</v>
      </c>
      <c r="G1664" s="20">
        <v>44.138767000000001</v>
      </c>
      <c r="H1664" s="22">
        <v>26</v>
      </c>
      <c r="I1664" s="22">
        <v>156</v>
      </c>
      <c r="J1664" s="21">
        <v>2</v>
      </c>
      <c r="K1664" s="21"/>
      <c r="L1664" s="21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>
        <v>21</v>
      </c>
      <c r="W1664" s="21"/>
      <c r="X1664" s="21">
        <v>3</v>
      </c>
      <c r="Y1664" s="21"/>
      <c r="Z1664" s="21"/>
      <c r="AA1664" s="21"/>
      <c r="AB1664" s="21"/>
      <c r="AC1664" s="21"/>
      <c r="AD1664" s="21"/>
      <c r="AE1664" s="21"/>
      <c r="AF1664" s="21"/>
      <c r="AG1664" s="21"/>
      <c r="AH1664" s="21">
        <v>26</v>
      </c>
      <c r="AI1664" s="21"/>
      <c r="AJ1664" s="21"/>
      <c r="AK1664" s="21"/>
      <c r="AL1664" s="21">
        <v>2</v>
      </c>
      <c r="AM1664" s="21">
        <v>15</v>
      </c>
      <c r="AN1664" s="21">
        <v>9</v>
      </c>
      <c r="AO1664" s="21"/>
      <c r="AP1664" s="21"/>
      <c r="AQ1664" s="21"/>
      <c r="AR1664" s="21"/>
      <c r="AS1664" s="21"/>
      <c r="AT1664" s="12" t="str">
        <f>HYPERLINK("http://www.openstreetmap.org/?mlat=35.7568&amp;mlon=44.1388&amp;zoom=12#map=12/35.7568/44.1388","Maplink1")</f>
        <v>Maplink1</v>
      </c>
      <c r="AU1664" s="12" t="str">
        <f>HYPERLINK("https://www.google.iq/maps/search/+35.7568,44.1388/@35.7568,44.1388,14z?hl=en","Maplink2")</f>
        <v>Maplink2</v>
      </c>
      <c r="AV1664" s="12" t="str">
        <f>HYPERLINK("http://www.bing.com/maps/?lvl=14&amp;sty=h&amp;cp=35.7568~44.1388&amp;sp=point.35.7568_44.1388","Maplink3")</f>
        <v>Maplink3</v>
      </c>
    </row>
    <row r="1665" spans="1:48" ht="15" customHeight="1" x14ac:dyDescent="0.25">
      <c r="A1665" s="19">
        <v>24632</v>
      </c>
      <c r="B1665" s="20" t="s">
        <v>17</v>
      </c>
      <c r="C1665" s="20" t="s">
        <v>3112</v>
      </c>
      <c r="D1665" s="20" t="s">
        <v>3113</v>
      </c>
      <c r="E1665" s="20" t="s">
        <v>3114</v>
      </c>
      <c r="F1665" s="20">
        <v>35.665572996400002</v>
      </c>
      <c r="G1665" s="20">
        <v>44.076812956700003</v>
      </c>
      <c r="H1665" s="22">
        <v>40</v>
      </c>
      <c r="I1665" s="22">
        <v>240</v>
      </c>
      <c r="J1665" s="21"/>
      <c r="K1665" s="21"/>
      <c r="L1665" s="21"/>
      <c r="M1665" s="21"/>
      <c r="N1665" s="21"/>
      <c r="O1665" s="21"/>
      <c r="P1665" s="21"/>
      <c r="Q1665" s="21"/>
      <c r="R1665" s="21">
        <v>39</v>
      </c>
      <c r="S1665" s="21"/>
      <c r="T1665" s="21"/>
      <c r="U1665" s="21"/>
      <c r="V1665" s="21"/>
      <c r="W1665" s="21"/>
      <c r="X1665" s="21">
        <v>1</v>
      </c>
      <c r="Y1665" s="21"/>
      <c r="Z1665" s="21"/>
      <c r="AA1665" s="21"/>
      <c r="AB1665" s="21"/>
      <c r="AC1665" s="21"/>
      <c r="AD1665" s="21"/>
      <c r="AE1665" s="21"/>
      <c r="AF1665" s="21"/>
      <c r="AG1665" s="21"/>
      <c r="AH1665" s="21">
        <v>40</v>
      </c>
      <c r="AI1665" s="21"/>
      <c r="AJ1665" s="21"/>
      <c r="AK1665" s="21"/>
      <c r="AL1665" s="21"/>
      <c r="AM1665" s="21"/>
      <c r="AN1665" s="21"/>
      <c r="AO1665" s="21">
        <v>15</v>
      </c>
      <c r="AP1665" s="21">
        <v>8</v>
      </c>
      <c r="AQ1665" s="21">
        <v>4</v>
      </c>
      <c r="AR1665" s="21">
        <v>5</v>
      </c>
      <c r="AS1665" s="21">
        <v>8</v>
      </c>
      <c r="AT1665" s="12" t="str">
        <f>HYPERLINK("http://www.openstreetmap.org/?mlat=35.6656&amp;mlon=44.0768&amp;zoom=12#map=12/35.6656/44.0768","Maplink1")</f>
        <v>Maplink1</v>
      </c>
      <c r="AU1665" s="12" t="str">
        <f>HYPERLINK("https://www.google.iq/maps/search/+35.6656,44.0768/@35.6656,44.0768,14z?hl=en","Maplink2")</f>
        <v>Maplink2</v>
      </c>
      <c r="AV1665" s="12" t="str">
        <f>HYPERLINK("http://www.bing.com/maps/?lvl=14&amp;sty=h&amp;cp=35.6656~44.0768&amp;sp=point.35.6656_44.0768","Maplink3")</f>
        <v>Maplink3</v>
      </c>
    </row>
    <row r="1666" spans="1:48" ht="15" customHeight="1" x14ac:dyDescent="0.25">
      <c r="A1666" s="19">
        <v>24631</v>
      </c>
      <c r="B1666" s="20" t="s">
        <v>17</v>
      </c>
      <c r="C1666" s="20" t="s">
        <v>3112</v>
      </c>
      <c r="D1666" s="20" t="s">
        <v>3115</v>
      </c>
      <c r="E1666" s="20" t="s">
        <v>3116</v>
      </c>
      <c r="F1666" s="20">
        <v>35.664664000000002</v>
      </c>
      <c r="G1666" s="20">
        <v>44.087589999999999</v>
      </c>
      <c r="H1666" s="22">
        <v>78</v>
      </c>
      <c r="I1666" s="22">
        <v>468</v>
      </c>
      <c r="J1666" s="21"/>
      <c r="K1666" s="21"/>
      <c r="L1666" s="21"/>
      <c r="M1666" s="21"/>
      <c r="N1666" s="21"/>
      <c r="O1666" s="21"/>
      <c r="P1666" s="21"/>
      <c r="Q1666" s="21"/>
      <c r="R1666" s="21">
        <v>78</v>
      </c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21"/>
      <c r="AH1666" s="21">
        <v>78</v>
      </c>
      <c r="AI1666" s="21"/>
      <c r="AJ1666" s="21"/>
      <c r="AK1666" s="21"/>
      <c r="AL1666" s="21"/>
      <c r="AM1666" s="21">
        <v>40</v>
      </c>
      <c r="AN1666" s="21">
        <v>20</v>
      </c>
      <c r="AO1666" s="21"/>
      <c r="AP1666" s="21">
        <v>10</v>
      </c>
      <c r="AQ1666" s="21">
        <v>8</v>
      </c>
      <c r="AR1666" s="21"/>
      <c r="AS1666" s="21"/>
      <c r="AT1666" s="12" t="str">
        <f>HYPERLINK("http://www.openstreetmap.org/?mlat=35.6647&amp;mlon=44.0876&amp;zoom=12#map=12/35.6647/44.0876","Maplink1")</f>
        <v>Maplink1</v>
      </c>
      <c r="AU1666" s="12" t="str">
        <f>HYPERLINK("https://www.google.iq/maps/search/+35.6647,44.0876/@35.6647,44.0876,14z?hl=en","Maplink2")</f>
        <v>Maplink2</v>
      </c>
      <c r="AV1666" s="12" t="str">
        <f>HYPERLINK("http://www.bing.com/maps/?lvl=14&amp;sty=h&amp;cp=35.6647~44.0876&amp;sp=point.35.6647_44.0876","Maplink3")</f>
        <v>Maplink3</v>
      </c>
    </row>
    <row r="1667" spans="1:48" ht="15" customHeight="1" x14ac:dyDescent="0.25">
      <c r="A1667" s="19">
        <v>15674</v>
      </c>
      <c r="B1667" s="20" t="s">
        <v>17</v>
      </c>
      <c r="C1667" s="20" t="s">
        <v>3112</v>
      </c>
      <c r="D1667" s="20" t="s">
        <v>311</v>
      </c>
      <c r="E1667" s="20" t="s">
        <v>121</v>
      </c>
      <c r="F1667" s="20">
        <v>35.670492000000003</v>
      </c>
      <c r="G1667" s="20">
        <v>44.067293999999997</v>
      </c>
      <c r="H1667" s="22">
        <v>95</v>
      </c>
      <c r="I1667" s="22">
        <v>570</v>
      </c>
      <c r="J1667" s="21"/>
      <c r="K1667" s="21"/>
      <c r="L1667" s="21"/>
      <c r="M1667" s="21"/>
      <c r="N1667" s="21"/>
      <c r="O1667" s="21"/>
      <c r="P1667" s="21"/>
      <c r="Q1667" s="21"/>
      <c r="R1667" s="21">
        <v>77</v>
      </c>
      <c r="S1667" s="21"/>
      <c r="T1667" s="21"/>
      <c r="U1667" s="21"/>
      <c r="V1667" s="21">
        <v>10</v>
      </c>
      <c r="W1667" s="21"/>
      <c r="X1667" s="21">
        <v>8</v>
      </c>
      <c r="Y1667" s="21"/>
      <c r="Z1667" s="21"/>
      <c r="AA1667" s="21"/>
      <c r="AB1667" s="21"/>
      <c r="AC1667" s="21"/>
      <c r="AD1667" s="21"/>
      <c r="AE1667" s="21"/>
      <c r="AF1667" s="21"/>
      <c r="AG1667" s="21"/>
      <c r="AH1667" s="21">
        <v>95</v>
      </c>
      <c r="AI1667" s="21"/>
      <c r="AJ1667" s="21"/>
      <c r="AK1667" s="21"/>
      <c r="AL1667" s="21"/>
      <c r="AM1667" s="21">
        <v>27</v>
      </c>
      <c r="AN1667" s="21">
        <v>8</v>
      </c>
      <c r="AO1667" s="21">
        <v>6</v>
      </c>
      <c r="AP1667" s="21">
        <v>4</v>
      </c>
      <c r="AQ1667" s="21">
        <v>30</v>
      </c>
      <c r="AR1667" s="21">
        <v>15</v>
      </c>
      <c r="AS1667" s="21">
        <v>5</v>
      </c>
      <c r="AT1667" s="12" t="str">
        <f>HYPERLINK("http://www.openstreetmap.org/?mlat=35.6705&amp;mlon=44.0673&amp;zoom=12#map=12/35.6705/44.0673","Maplink1")</f>
        <v>Maplink1</v>
      </c>
      <c r="AU1667" s="12" t="str">
        <f>HYPERLINK("https://www.google.iq/maps/search/+35.6705,44.0673/@35.6705,44.0673,14z?hl=en","Maplink2")</f>
        <v>Maplink2</v>
      </c>
      <c r="AV1667" s="12" t="str">
        <f>HYPERLINK("http://www.bing.com/maps/?lvl=14&amp;sty=h&amp;cp=35.6705~44.0673&amp;sp=point.35.6705_44.0673","Maplink3")</f>
        <v>Maplink3</v>
      </c>
    </row>
    <row r="1668" spans="1:48" ht="15" customHeight="1" x14ac:dyDescent="0.25">
      <c r="A1668" s="19">
        <v>26069</v>
      </c>
      <c r="B1668" s="20" t="s">
        <v>17</v>
      </c>
      <c r="C1668" s="20" t="s">
        <v>3117</v>
      </c>
      <c r="D1668" s="20" t="s">
        <v>3118</v>
      </c>
      <c r="E1668" s="20" t="s">
        <v>3119</v>
      </c>
      <c r="F1668" s="20">
        <v>35.246066900000002</v>
      </c>
      <c r="G1668" s="20">
        <v>44.616261000000002</v>
      </c>
      <c r="H1668" s="22">
        <v>25</v>
      </c>
      <c r="I1668" s="22">
        <v>150</v>
      </c>
      <c r="J1668" s="21"/>
      <c r="K1668" s="21"/>
      <c r="L1668" s="21"/>
      <c r="M1668" s="21"/>
      <c r="N1668" s="21"/>
      <c r="O1668" s="21"/>
      <c r="P1668" s="21"/>
      <c r="Q1668" s="21"/>
      <c r="R1668" s="21">
        <v>15</v>
      </c>
      <c r="S1668" s="21"/>
      <c r="T1668" s="21"/>
      <c r="U1668" s="21"/>
      <c r="V1668" s="21">
        <v>5</v>
      </c>
      <c r="W1668" s="21"/>
      <c r="X1668" s="21">
        <v>5</v>
      </c>
      <c r="Y1668" s="21"/>
      <c r="Z1668" s="21"/>
      <c r="AA1668" s="21"/>
      <c r="AB1668" s="21"/>
      <c r="AC1668" s="21">
        <v>5</v>
      </c>
      <c r="AD1668" s="21"/>
      <c r="AE1668" s="21"/>
      <c r="AF1668" s="21"/>
      <c r="AG1668" s="21"/>
      <c r="AH1668" s="21">
        <v>20</v>
      </c>
      <c r="AI1668" s="21"/>
      <c r="AJ1668" s="21"/>
      <c r="AK1668" s="21"/>
      <c r="AL1668" s="21"/>
      <c r="AM1668" s="21">
        <v>2</v>
      </c>
      <c r="AN1668" s="21"/>
      <c r="AO1668" s="21"/>
      <c r="AP1668" s="21">
        <v>5</v>
      </c>
      <c r="AQ1668" s="21">
        <v>6</v>
      </c>
      <c r="AR1668" s="21">
        <v>6</v>
      </c>
      <c r="AS1668" s="21">
        <v>6</v>
      </c>
      <c r="AT1668" s="12" t="str">
        <f>HYPERLINK("http://www.openstreetmap.org/?mlat=35.2461&amp;mlon=44.6163&amp;zoom=12#map=12/35.2461/44.6163","Maplink1")</f>
        <v>Maplink1</v>
      </c>
      <c r="AU1668" s="12" t="str">
        <f>HYPERLINK("https://www.google.iq/maps/search/+35.2461,44.6163/@35.2461,44.6163,14z?hl=en","Maplink2")</f>
        <v>Maplink2</v>
      </c>
      <c r="AV1668" s="12" t="str">
        <f>HYPERLINK("http://www.bing.com/maps/?lvl=14&amp;sty=h&amp;cp=35.2461~44.6163&amp;sp=point.35.2461_44.6163","Maplink3")</f>
        <v>Maplink3</v>
      </c>
    </row>
    <row r="1669" spans="1:48" ht="15" customHeight="1" x14ac:dyDescent="0.25">
      <c r="A1669" s="19">
        <v>14786</v>
      </c>
      <c r="B1669" s="20" t="s">
        <v>17</v>
      </c>
      <c r="C1669" s="20" t="s">
        <v>3117</v>
      </c>
      <c r="D1669" s="20" t="s">
        <v>3120</v>
      </c>
      <c r="E1669" s="20" t="s">
        <v>3121</v>
      </c>
      <c r="F1669" s="20">
        <v>35.138296820000001</v>
      </c>
      <c r="G1669" s="20">
        <v>44.439535190000001</v>
      </c>
      <c r="H1669" s="22">
        <v>74</v>
      </c>
      <c r="I1669" s="22">
        <v>444</v>
      </c>
      <c r="J1669" s="21">
        <v>3</v>
      </c>
      <c r="K1669" s="21"/>
      <c r="L1669" s="21"/>
      <c r="M1669" s="21"/>
      <c r="N1669" s="21"/>
      <c r="O1669" s="21">
        <v>1</v>
      </c>
      <c r="P1669" s="21"/>
      <c r="Q1669" s="21"/>
      <c r="R1669" s="21">
        <v>45</v>
      </c>
      <c r="S1669" s="21"/>
      <c r="T1669" s="21"/>
      <c r="U1669" s="21"/>
      <c r="V1669" s="21"/>
      <c r="W1669" s="21"/>
      <c r="X1669" s="21">
        <v>25</v>
      </c>
      <c r="Y1669" s="21"/>
      <c r="Z1669" s="21"/>
      <c r="AA1669" s="21"/>
      <c r="AB1669" s="21"/>
      <c r="AC1669" s="21">
        <v>5</v>
      </c>
      <c r="AD1669" s="21"/>
      <c r="AE1669" s="21"/>
      <c r="AF1669" s="21"/>
      <c r="AG1669" s="21"/>
      <c r="AH1669" s="21">
        <v>69</v>
      </c>
      <c r="AI1669" s="21"/>
      <c r="AJ1669" s="21"/>
      <c r="AK1669" s="21"/>
      <c r="AL1669" s="21"/>
      <c r="AM1669" s="21">
        <v>3</v>
      </c>
      <c r="AN1669" s="21">
        <v>8</v>
      </c>
      <c r="AO1669" s="21">
        <v>7</v>
      </c>
      <c r="AP1669" s="21">
        <v>20</v>
      </c>
      <c r="AQ1669" s="21">
        <v>10</v>
      </c>
      <c r="AR1669" s="21">
        <v>20</v>
      </c>
      <c r="AS1669" s="21">
        <v>6</v>
      </c>
      <c r="AT1669" s="12" t="str">
        <f>HYPERLINK("http://www.openstreetmap.org/?mlat=35.1383&amp;mlon=44.4395&amp;zoom=12#map=12/35.1383/44.4395","Maplink1")</f>
        <v>Maplink1</v>
      </c>
      <c r="AU1669" s="12" t="str">
        <f>HYPERLINK("https://www.google.iq/maps/search/+35.1383,44.4395/@35.1383,44.4395,14z?hl=en","Maplink2")</f>
        <v>Maplink2</v>
      </c>
      <c r="AV1669" s="12" t="str">
        <f>HYPERLINK("http://www.bing.com/maps/?lvl=14&amp;sty=h&amp;cp=35.1383~44.4395&amp;sp=point.35.1383_44.4395","Maplink3")</f>
        <v>Maplink3</v>
      </c>
    </row>
    <row r="1670" spans="1:48" ht="15" customHeight="1" x14ac:dyDescent="0.25">
      <c r="A1670" s="19">
        <v>14545</v>
      </c>
      <c r="B1670" s="20" t="s">
        <v>17</v>
      </c>
      <c r="C1670" s="20" t="s">
        <v>3117</v>
      </c>
      <c r="D1670" s="20" t="s">
        <v>3122</v>
      </c>
      <c r="E1670" s="20" t="s">
        <v>3123</v>
      </c>
      <c r="F1670" s="20">
        <v>35.314923999999998</v>
      </c>
      <c r="G1670" s="20">
        <v>44.562221999999998</v>
      </c>
      <c r="H1670" s="22">
        <v>34</v>
      </c>
      <c r="I1670" s="22">
        <v>204</v>
      </c>
      <c r="J1670" s="21"/>
      <c r="K1670" s="21"/>
      <c r="L1670" s="21"/>
      <c r="M1670" s="21"/>
      <c r="N1670" s="21"/>
      <c r="O1670" s="21"/>
      <c r="P1670" s="21"/>
      <c r="Q1670" s="21"/>
      <c r="R1670" s="21">
        <v>19</v>
      </c>
      <c r="S1670" s="21"/>
      <c r="T1670" s="21"/>
      <c r="U1670" s="21"/>
      <c r="V1670" s="21">
        <v>1</v>
      </c>
      <c r="W1670" s="21"/>
      <c r="X1670" s="21">
        <v>14</v>
      </c>
      <c r="Y1670" s="21"/>
      <c r="Z1670" s="21"/>
      <c r="AA1670" s="21"/>
      <c r="AB1670" s="21"/>
      <c r="AC1670" s="21"/>
      <c r="AD1670" s="21"/>
      <c r="AE1670" s="21"/>
      <c r="AF1670" s="21"/>
      <c r="AG1670" s="21"/>
      <c r="AH1670" s="21"/>
      <c r="AI1670" s="21"/>
      <c r="AJ1670" s="21">
        <v>34</v>
      </c>
      <c r="AK1670" s="21"/>
      <c r="AL1670" s="21"/>
      <c r="AM1670" s="21"/>
      <c r="AN1670" s="21"/>
      <c r="AO1670" s="21">
        <v>9</v>
      </c>
      <c r="AP1670" s="21">
        <v>4</v>
      </c>
      <c r="AQ1670" s="21">
        <v>5</v>
      </c>
      <c r="AR1670" s="21">
        <v>8</v>
      </c>
      <c r="AS1670" s="21">
        <v>8</v>
      </c>
      <c r="AT1670" s="12" t="str">
        <f>HYPERLINK("http://www.openstreetmap.org/?mlat=35.3149&amp;mlon=44.5622&amp;zoom=12#map=12/35.3149/44.5622","Maplink1")</f>
        <v>Maplink1</v>
      </c>
      <c r="AU1670" s="12" t="str">
        <f>HYPERLINK("https://www.google.iq/maps/search/+35.3149,44.5622/@35.3149,44.5622,14z?hl=en","Maplink2")</f>
        <v>Maplink2</v>
      </c>
      <c r="AV1670" s="12" t="str">
        <f>HYPERLINK("http://www.bing.com/maps/?lvl=14&amp;sty=h&amp;cp=35.3149~44.5622&amp;sp=point.35.3149_44.5622","Maplink3")</f>
        <v>Maplink3</v>
      </c>
    </row>
    <row r="1671" spans="1:48" ht="15" customHeight="1" x14ac:dyDescent="0.25">
      <c r="A1671" s="19">
        <v>33476</v>
      </c>
      <c r="B1671" s="20" t="s">
        <v>17</v>
      </c>
      <c r="C1671" s="20" t="s">
        <v>3117</v>
      </c>
      <c r="D1671" s="20" t="s">
        <v>6148</v>
      </c>
      <c r="E1671" s="20" t="s">
        <v>6149</v>
      </c>
      <c r="F1671" s="20">
        <v>35.147045558599999</v>
      </c>
      <c r="G1671" s="20">
        <v>44.452229819400003</v>
      </c>
      <c r="H1671" s="22">
        <v>150</v>
      </c>
      <c r="I1671" s="22">
        <v>900</v>
      </c>
      <c r="J1671" s="21"/>
      <c r="K1671" s="21"/>
      <c r="L1671" s="21"/>
      <c r="M1671" s="21"/>
      <c r="N1671" s="21"/>
      <c r="O1671" s="21"/>
      <c r="P1671" s="21"/>
      <c r="Q1671" s="21"/>
      <c r="R1671" s="21">
        <v>130</v>
      </c>
      <c r="S1671" s="21"/>
      <c r="T1671" s="21"/>
      <c r="U1671" s="21"/>
      <c r="V1671" s="21"/>
      <c r="W1671" s="21"/>
      <c r="X1671" s="21">
        <v>20</v>
      </c>
      <c r="Y1671" s="21"/>
      <c r="Z1671" s="21"/>
      <c r="AA1671" s="21"/>
      <c r="AB1671" s="21"/>
      <c r="AC1671" s="21">
        <v>75</v>
      </c>
      <c r="AD1671" s="21"/>
      <c r="AE1671" s="21">
        <v>40</v>
      </c>
      <c r="AF1671" s="21"/>
      <c r="AG1671" s="21"/>
      <c r="AH1671" s="21">
        <v>35</v>
      </c>
      <c r="AI1671" s="21"/>
      <c r="AJ1671" s="21"/>
      <c r="AK1671" s="21"/>
      <c r="AL1671" s="21"/>
      <c r="AM1671" s="21"/>
      <c r="AN1671" s="21">
        <v>20</v>
      </c>
      <c r="AO1671" s="21">
        <v>35</v>
      </c>
      <c r="AP1671" s="21">
        <v>35</v>
      </c>
      <c r="AQ1671" s="21">
        <v>25</v>
      </c>
      <c r="AR1671" s="21">
        <v>25</v>
      </c>
      <c r="AS1671" s="21">
        <v>10</v>
      </c>
      <c r="AT1671" s="12" t="str">
        <f>HYPERLINK("http://www.openstreetmap.org/?mlat=35.147&amp;mlon=44.4522&amp;zoom=12#map=12/35.147/44.4522","Maplink1")</f>
        <v>Maplink1</v>
      </c>
      <c r="AU1671" s="12" t="str">
        <f>HYPERLINK("https://www.google.iq/maps/search/+35.147,44.4522/@35.147,44.4522,14z?hl=en","Maplink2")</f>
        <v>Maplink2</v>
      </c>
      <c r="AV1671" s="12" t="str">
        <f>HYPERLINK("http://www.bing.com/maps/?lvl=14&amp;sty=h&amp;cp=35.147~44.4522&amp;sp=point.35.147_44.4522","Maplink3")</f>
        <v>Maplink3</v>
      </c>
    </row>
    <row r="1672" spans="1:48" ht="15" customHeight="1" x14ac:dyDescent="0.25">
      <c r="A1672" s="19">
        <v>21453</v>
      </c>
      <c r="B1672" s="20" t="s">
        <v>17</v>
      </c>
      <c r="C1672" s="20" t="s">
        <v>3117</v>
      </c>
      <c r="D1672" s="20" t="s">
        <v>3124</v>
      </c>
      <c r="E1672" s="20" t="s">
        <v>3125</v>
      </c>
      <c r="F1672" s="20">
        <v>35.143666140000001</v>
      </c>
      <c r="G1672" s="20">
        <v>44.43873439</v>
      </c>
      <c r="H1672" s="22">
        <v>120</v>
      </c>
      <c r="I1672" s="22">
        <v>720</v>
      </c>
      <c r="J1672" s="21">
        <v>7</v>
      </c>
      <c r="K1672" s="21"/>
      <c r="L1672" s="21"/>
      <c r="M1672" s="21"/>
      <c r="N1672" s="21"/>
      <c r="O1672" s="21">
        <v>5</v>
      </c>
      <c r="P1672" s="21"/>
      <c r="Q1672" s="21"/>
      <c r="R1672" s="21">
        <v>68</v>
      </c>
      <c r="S1672" s="21"/>
      <c r="T1672" s="21"/>
      <c r="U1672" s="21"/>
      <c r="V1672" s="21">
        <v>10</v>
      </c>
      <c r="W1672" s="21"/>
      <c r="X1672" s="21">
        <v>30</v>
      </c>
      <c r="Y1672" s="21"/>
      <c r="Z1672" s="21"/>
      <c r="AA1672" s="21"/>
      <c r="AB1672" s="21"/>
      <c r="AC1672" s="21"/>
      <c r="AD1672" s="21"/>
      <c r="AE1672" s="21"/>
      <c r="AF1672" s="21"/>
      <c r="AG1672" s="21"/>
      <c r="AH1672" s="21">
        <v>120</v>
      </c>
      <c r="AI1672" s="21"/>
      <c r="AJ1672" s="21"/>
      <c r="AK1672" s="21"/>
      <c r="AL1672" s="21"/>
      <c r="AM1672" s="21">
        <v>3</v>
      </c>
      <c r="AN1672" s="21">
        <v>20</v>
      </c>
      <c r="AO1672" s="21">
        <v>20</v>
      </c>
      <c r="AP1672" s="21">
        <v>40</v>
      </c>
      <c r="AQ1672" s="21">
        <v>12</v>
      </c>
      <c r="AR1672" s="21">
        <v>15</v>
      </c>
      <c r="AS1672" s="21">
        <v>10</v>
      </c>
      <c r="AT1672" s="12" t="str">
        <f>HYPERLINK("http://www.openstreetmap.org/?mlat=35.1437&amp;mlon=44.4387&amp;zoom=12#map=12/35.1437/44.4387","Maplink1")</f>
        <v>Maplink1</v>
      </c>
      <c r="AU1672" s="12" t="str">
        <f>HYPERLINK("https://www.google.iq/maps/search/+35.1437,44.4387/@35.1437,44.4387,14z?hl=en","Maplink2")</f>
        <v>Maplink2</v>
      </c>
      <c r="AV1672" s="12" t="str">
        <f>HYPERLINK("http://www.bing.com/maps/?lvl=14&amp;sty=h&amp;cp=35.1437~44.4387&amp;sp=point.35.1437_44.4387","Maplink3")</f>
        <v>Maplink3</v>
      </c>
    </row>
    <row r="1673" spans="1:48" ht="15" customHeight="1" x14ac:dyDescent="0.25">
      <c r="A1673" s="19">
        <v>31725</v>
      </c>
      <c r="B1673" s="20" t="s">
        <v>17</v>
      </c>
      <c r="C1673" s="20" t="s">
        <v>3117</v>
      </c>
      <c r="D1673" s="20" t="s">
        <v>3126</v>
      </c>
      <c r="E1673" s="20" t="s">
        <v>3127</v>
      </c>
      <c r="F1673" s="20">
        <v>35.137774</v>
      </c>
      <c r="G1673" s="20">
        <v>44.452089999999998</v>
      </c>
      <c r="H1673" s="22">
        <v>17</v>
      </c>
      <c r="I1673" s="22">
        <v>102</v>
      </c>
      <c r="J1673" s="21"/>
      <c r="K1673" s="21"/>
      <c r="L1673" s="21"/>
      <c r="M1673" s="21"/>
      <c r="N1673" s="21"/>
      <c r="O1673" s="21">
        <v>1</v>
      </c>
      <c r="P1673" s="21"/>
      <c r="Q1673" s="21"/>
      <c r="R1673" s="21">
        <v>14</v>
      </c>
      <c r="S1673" s="21"/>
      <c r="T1673" s="21"/>
      <c r="U1673" s="21"/>
      <c r="V1673" s="21"/>
      <c r="W1673" s="21"/>
      <c r="X1673" s="21">
        <v>2</v>
      </c>
      <c r="Y1673" s="21"/>
      <c r="Z1673" s="21"/>
      <c r="AA1673" s="21"/>
      <c r="AB1673" s="21"/>
      <c r="AC1673" s="21"/>
      <c r="AD1673" s="21"/>
      <c r="AE1673" s="21"/>
      <c r="AF1673" s="21"/>
      <c r="AG1673" s="21"/>
      <c r="AH1673" s="21">
        <v>17</v>
      </c>
      <c r="AI1673" s="21"/>
      <c r="AJ1673" s="21"/>
      <c r="AK1673" s="21"/>
      <c r="AL1673" s="21"/>
      <c r="AM1673" s="21"/>
      <c r="AN1673" s="21"/>
      <c r="AO1673" s="21">
        <v>2</v>
      </c>
      <c r="AP1673" s="21">
        <v>5</v>
      </c>
      <c r="AQ1673" s="21"/>
      <c r="AR1673" s="21"/>
      <c r="AS1673" s="21">
        <v>10</v>
      </c>
      <c r="AT1673" s="12" t="str">
        <f>HYPERLINK("http://www.openstreetmap.org/?mlat=35.1378&amp;mlon=44.4521&amp;zoom=12#map=12/35.1378/44.4521","Maplink1")</f>
        <v>Maplink1</v>
      </c>
      <c r="AU1673" s="12" t="str">
        <f>HYPERLINK("https://www.google.iq/maps/search/+35.1378,44.4521/@35.1378,44.4521,14z?hl=en","Maplink2")</f>
        <v>Maplink2</v>
      </c>
      <c r="AV1673" s="12" t="str">
        <f>HYPERLINK("http://www.bing.com/maps/?lvl=14&amp;sty=h&amp;cp=35.1378~44.4521&amp;sp=point.35.1378_44.4521","Maplink3")</f>
        <v>Maplink3</v>
      </c>
    </row>
    <row r="1674" spans="1:48" ht="15" customHeight="1" x14ac:dyDescent="0.25">
      <c r="A1674" s="19">
        <v>15110</v>
      </c>
      <c r="B1674" s="20" t="s">
        <v>17</v>
      </c>
      <c r="C1674" s="20" t="s">
        <v>3117</v>
      </c>
      <c r="D1674" s="20" t="s">
        <v>6026</v>
      </c>
      <c r="E1674" s="20" t="s">
        <v>6027</v>
      </c>
      <c r="F1674" s="20">
        <v>35.160640000000001</v>
      </c>
      <c r="G1674" s="20">
        <v>44.440809999999999</v>
      </c>
      <c r="H1674" s="22">
        <v>100</v>
      </c>
      <c r="I1674" s="22">
        <v>600</v>
      </c>
      <c r="J1674" s="21"/>
      <c r="K1674" s="21"/>
      <c r="L1674" s="21"/>
      <c r="M1674" s="21"/>
      <c r="N1674" s="21"/>
      <c r="O1674" s="21">
        <v>6</v>
      </c>
      <c r="P1674" s="21"/>
      <c r="Q1674" s="21"/>
      <c r="R1674" s="21">
        <v>90</v>
      </c>
      <c r="S1674" s="21"/>
      <c r="T1674" s="21"/>
      <c r="U1674" s="21"/>
      <c r="V1674" s="21"/>
      <c r="W1674" s="21"/>
      <c r="X1674" s="21">
        <v>4</v>
      </c>
      <c r="Y1674" s="21"/>
      <c r="Z1674" s="21"/>
      <c r="AA1674" s="21"/>
      <c r="AB1674" s="21"/>
      <c r="AC1674" s="21"/>
      <c r="AD1674" s="21"/>
      <c r="AE1674" s="21"/>
      <c r="AF1674" s="21"/>
      <c r="AG1674" s="21"/>
      <c r="AH1674" s="21">
        <v>100</v>
      </c>
      <c r="AI1674" s="21"/>
      <c r="AJ1674" s="21"/>
      <c r="AK1674" s="21"/>
      <c r="AL1674" s="21"/>
      <c r="AM1674" s="21"/>
      <c r="AN1674" s="21">
        <v>15</v>
      </c>
      <c r="AO1674" s="21">
        <v>10</v>
      </c>
      <c r="AP1674" s="21">
        <v>30</v>
      </c>
      <c r="AQ1674" s="21">
        <v>10</v>
      </c>
      <c r="AR1674" s="21">
        <v>25</v>
      </c>
      <c r="AS1674" s="21">
        <v>10</v>
      </c>
      <c r="AT1674" s="12" t="str">
        <f>HYPERLINK("http://www.openstreetmap.org/?mlat=35.1606&amp;mlon=44.4408&amp;zoom=12#map=12/35.1606/44.4408","Maplink1")</f>
        <v>Maplink1</v>
      </c>
      <c r="AU1674" s="12" t="str">
        <f>HYPERLINK("https://www.google.iq/maps/search/+35.1606,44.4408/@35.1606,44.4408,14z?hl=en","Maplink2")</f>
        <v>Maplink2</v>
      </c>
      <c r="AV1674" s="12" t="str">
        <f>HYPERLINK("http://www.bing.com/maps/?lvl=14&amp;sty=h&amp;cp=35.1606~44.4408&amp;sp=point.35.1606_44.4408","Maplink3")</f>
        <v>Maplink3</v>
      </c>
    </row>
    <row r="1675" spans="1:48" ht="15" customHeight="1" x14ac:dyDescent="0.25">
      <c r="A1675" s="19">
        <v>21483</v>
      </c>
      <c r="B1675" s="20" t="s">
        <v>17</v>
      </c>
      <c r="C1675" s="20" t="s">
        <v>3117</v>
      </c>
      <c r="D1675" s="20" t="s">
        <v>6150</v>
      </c>
      <c r="E1675" s="20" t="s">
        <v>6151</v>
      </c>
      <c r="F1675" s="20">
        <v>35.142200000000003</v>
      </c>
      <c r="G1675" s="20">
        <v>44.437247999999997</v>
      </c>
      <c r="H1675" s="22">
        <v>120</v>
      </c>
      <c r="I1675" s="22">
        <v>720</v>
      </c>
      <c r="J1675" s="21"/>
      <c r="K1675" s="21"/>
      <c r="L1675" s="21"/>
      <c r="M1675" s="21"/>
      <c r="N1675" s="21"/>
      <c r="O1675" s="21">
        <v>2</v>
      </c>
      <c r="P1675" s="21"/>
      <c r="Q1675" s="21"/>
      <c r="R1675" s="21">
        <v>98</v>
      </c>
      <c r="S1675" s="21"/>
      <c r="T1675" s="21"/>
      <c r="U1675" s="21"/>
      <c r="V1675" s="21"/>
      <c r="W1675" s="21"/>
      <c r="X1675" s="21">
        <v>20</v>
      </c>
      <c r="Y1675" s="21"/>
      <c r="Z1675" s="21"/>
      <c r="AA1675" s="21"/>
      <c r="AB1675" s="21"/>
      <c r="AC1675" s="21"/>
      <c r="AD1675" s="21"/>
      <c r="AE1675" s="21">
        <v>25</v>
      </c>
      <c r="AF1675" s="21"/>
      <c r="AG1675" s="21"/>
      <c r="AH1675" s="21">
        <v>90</v>
      </c>
      <c r="AI1675" s="21"/>
      <c r="AJ1675" s="21">
        <v>5</v>
      </c>
      <c r="AK1675" s="21"/>
      <c r="AL1675" s="21"/>
      <c r="AM1675" s="21"/>
      <c r="AN1675" s="21">
        <v>25</v>
      </c>
      <c r="AO1675" s="21">
        <v>15</v>
      </c>
      <c r="AP1675" s="21">
        <v>30</v>
      </c>
      <c r="AQ1675" s="21">
        <v>5</v>
      </c>
      <c r="AR1675" s="21">
        <v>20</v>
      </c>
      <c r="AS1675" s="21">
        <v>25</v>
      </c>
      <c r="AT1675" s="12" t="str">
        <f>HYPERLINK("http://www.openstreetmap.org/?mlat=35.1422&amp;mlon=44.4372&amp;zoom=12#map=12/35.1422/44.4372","Maplink1")</f>
        <v>Maplink1</v>
      </c>
      <c r="AU1675" s="12" t="str">
        <f>HYPERLINK("https://www.google.iq/maps/search/+35.1422,44.4372/@35.1422,44.4372,14z?hl=en","Maplink2")</f>
        <v>Maplink2</v>
      </c>
      <c r="AV1675" s="12" t="str">
        <f>HYPERLINK("http://www.bing.com/maps/?lvl=14&amp;sty=h&amp;cp=35.1422~44.4372&amp;sp=point.35.1422_44.4372","Maplink3")</f>
        <v>Maplink3</v>
      </c>
    </row>
    <row r="1676" spans="1:48" ht="15" customHeight="1" x14ac:dyDescent="0.25">
      <c r="A1676" s="19">
        <v>33477</v>
      </c>
      <c r="B1676" s="20" t="s">
        <v>17</v>
      </c>
      <c r="C1676" s="20" t="s">
        <v>3117</v>
      </c>
      <c r="D1676" s="20" t="s">
        <v>6028</v>
      </c>
      <c r="E1676" s="20" t="s">
        <v>6029</v>
      </c>
      <c r="F1676" s="20">
        <v>35.148949999999999</v>
      </c>
      <c r="G1676" s="20">
        <v>44.447589999999998</v>
      </c>
      <c r="H1676" s="22">
        <v>95</v>
      </c>
      <c r="I1676" s="22">
        <v>570</v>
      </c>
      <c r="J1676" s="21"/>
      <c r="K1676" s="21"/>
      <c r="L1676" s="21"/>
      <c r="M1676" s="21"/>
      <c r="N1676" s="21"/>
      <c r="O1676" s="21">
        <v>5</v>
      </c>
      <c r="P1676" s="21"/>
      <c r="Q1676" s="21"/>
      <c r="R1676" s="21">
        <v>78</v>
      </c>
      <c r="S1676" s="21"/>
      <c r="T1676" s="21"/>
      <c r="U1676" s="21"/>
      <c r="V1676" s="21">
        <v>2</v>
      </c>
      <c r="W1676" s="21"/>
      <c r="X1676" s="21">
        <v>10</v>
      </c>
      <c r="Y1676" s="21"/>
      <c r="Z1676" s="21"/>
      <c r="AA1676" s="21"/>
      <c r="AB1676" s="21"/>
      <c r="AC1676" s="21"/>
      <c r="AD1676" s="21"/>
      <c r="AE1676" s="21"/>
      <c r="AF1676" s="21"/>
      <c r="AG1676" s="21"/>
      <c r="AH1676" s="21">
        <v>95</v>
      </c>
      <c r="AI1676" s="21"/>
      <c r="AJ1676" s="21"/>
      <c r="AK1676" s="21"/>
      <c r="AL1676" s="21"/>
      <c r="AM1676" s="21"/>
      <c r="AN1676" s="21">
        <v>15</v>
      </c>
      <c r="AO1676" s="21">
        <v>40</v>
      </c>
      <c r="AP1676" s="21">
        <v>25</v>
      </c>
      <c r="AQ1676" s="21">
        <v>10</v>
      </c>
      <c r="AR1676" s="21">
        <v>5</v>
      </c>
      <c r="AS1676" s="21"/>
      <c r="AT1676" s="12" t="str">
        <f>HYPERLINK("http://www.openstreetmap.org/?mlat=35.1489&amp;mlon=44.4476&amp;zoom=12#map=12/35.1489/44.4476","Maplink1")</f>
        <v>Maplink1</v>
      </c>
      <c r="AU1676" s="12" t="str">
        <f>HYPERLINK("https://www.google.iq/maps/search/+35.1489,44.4476/@35.1489,44.4476,14z?hl=en","Maplink2")</f>
        <v>Maplink2</v>
      </c>
      <c r="AV1676" s="12" t="str">
        <f>HYPERLINK("http://www.bing.com/maps/?lvl=14&amp;sty=h&amp;cp=35.1489~44.4476&amp;sp=point.35.1489_44.4476","Maplink3")</f>
        <v>Maplink3</v>
      </c>
    </row>
    <row r="1677" spans="1:48" ht="15" customHeight="1" x14ac:dyDescent="0.25">
      <c r="A1677" s="19">
        <v>25557</v>
      </c>
      <c r="B1677" s="20" t="s">
        <v>17</v>
      </c>
      <c r="C1677" s="20" t="s">
        <v>3117</v>
      </c>
      <c r="D1677" s="20" t="s">
        <v>3128</v>
      </c>
      <c r="E1677" s="20" t="s">
        <v>3129</v>
      </c>
      <c r="F1677" s="20">
        <v>35.418248380000001</v>
      </c>
      <c r="G1677" s="20">
        <v>44.628895100000001</v>
      </c>
      <c r="H1677" s="22">
        <v>85</v>
      </c>
      <c r="I1677" s="22">
        <v>510</v>
      </c>
      <c r="J1677" s="21"/>
      <c r="K1677" s="21"/>
      <c r="L1677" s="21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>
        <v>85</v>
      </c>
      <c r="Y1677" s="21"/>
      <c r="Z1677" s="21"/>
      <c r="AA1677" s="21"/>
      <c r="AB1677" s="21"/>
      <c r="AC1677" s="21"/>
      <c r="AD1677" s="21"/>
      <c r="AE1677" s="21"/>
      <c r="AF1677" s="21"/>
      <c r="AG1677" s="21"/>
      <c r="AH1677" s="21">
        <v>78</v>
      </c>
      <c r="AI1677" s="21"/>
      <c r="AJ1677" s="21">
        <v>7</v>
      </c>
      <c r="AK1677" s="21"/>
      <c r="AL1677" s="21"/>
      <c r="AM1677" s="21">
        <v>8</v>
      </c>
      <c r="AN1677" s="21">
        <v>27</v>
      </c>
      <c r="AO1677" s="21">
        <v>25</v>
      </c>
      <c r="AP1677" s="21">
        <v>5</v>
      </c>
      <c r="AQ1677" s="21"/>
      <c r="AR1677" s="21"/>
      <c r="AS1677" s="21">
        <v>20</v>
      </c>
      <c r="AT1677" s="12" t="str">
        <f>HYPERLINK("http://www.openstreetmap.org/?mlat=35.4182&amp;mlon=44.6289&amp;zoom=12#map=12/35.4182/44.6289","Maplink1")</f>
        <v>Maplink1</v>
      </c>
      <c r="AU1677" s="12" t="str">
        <f>HYPERLINK("https://www.google.iq/maps/search/+35.4182,44.6289/@35.4182,44.6289,14z?hl=en","Maplink2")</f>
        <v>Maplink2</v>
      </c>
      <c r="AV1677" s="12" t="str">
        <f>HYPERLINK("http://www.bing.com/maps/?lvl=14&amp;sty=h&amp;cp=35.4182~44.6289&amp;sp=point.35.4182_44.6289","Maplink3")</f>
        <v>Maplink3</v>
      </c>
    </row>
    <row r="1678" spans="1:48" ht="15" customHeight="1" x14ac:dyDescent="0.25">
      <c r="A1678" s="19">
        <v>29668</v>
      </c>
      <c r="B1678" s="20" t="s">
        <v>17</v>
      </c>
      <c r="C1678" s="20" t="s">
        <v>3117</v>
      </c>
      <c r="D1678" s="20" t="s">
        <v>3130</v>
      </c>
      <c r="E1678" s="20" t="s">
        <v>3131</v>
      </c>
      <c r="F1678" s="20">
        <v>35.330227999999998</v>
      </c>
      <c r="G1678" s="20">
        <v>44.528193999999999</v>
      </c>
      <c r="H1678" s="22">
        <v>318</v>
      </c>
      <c r="I1678" s="22">
        <v>1908</v>
      </c>
      <c r="J1678" s="21"/>
      <c r="K1678" s="21"/>
      <c r="L1678" s="21"/>
      <c r="M1678" s="21"/>
      <c r="N1678" s="21"/>
      <c r="O1678" s="21"/>
      <c r="P1678" s="21"/>
      <c r="Q1678" s="21"/>
      <c r="R1678" s="21">
        <v>296</v>
      </c>
      <c r="S1678" s="21"/>
      <c r="T1678" s="21"/>
      <c r="U1678" s="21"/>
      <c r="V1678" s="21">
        <v>3</v>
      </c>
      <c r="W1678" s="21"/>
      <c r="X1678" s="21">
        <v>19</v>
      </c>
      <c r="Y1678" s="21"/>
      <c r="Z1678" s="21"/>
      <c r="AA1678" s="21"/>
      <c r="AB1678" s="21">
        <v>318</v>
      </c>
      <c r="AC1678" s="21"/>
      <c r="AD1678" s="21"/>
      <c r="AE1678" s="21"/>
      <c r="AF1678" s="21"/>
      <c r="AG1678" s="21"/>
      <c r="AH1678" s="21"/>
      <c r="AI1678" s="21"/>
      <c r="AJ1678" s="21"/>
      <c r="AK1678" s="21"/>
      <c r="AL1678" s="21"/>
      <c r="AM1678" s="21"/>
      <c r="AN1678" s="21"/>
      <c r="AO1678" s="21"/>
      <c r="AP1678" s="21"/>
      <c r="AQ1678" s="21">
        <v>35</v>
      </c>
      <c r="AR1678" s="21">
        <v>283</v>
      </c>
      <c r="AS1678" s="21"/>
      <c r="AT1678" s="12" t="str">
        <f>HYPERLINK("http://www.openstreetmap.org/?mlat=35.3302&amp;mlon=44.5282&amp;zoom=12#map=12/35.3302/44.5282","Maplink1")</f>
        <v>Maplink1</v>
      </c>
      <c r="AU1678" s="12" t="str">
        <f>HYPERLINK("https://www.google.iq/maps/search/+35.3302,44.5282/@35.3302,44.5282,14z?hl=en","Maplink2")</f>
        <v>Maplink2</v>
      </c>
      <c r="AV1678" s="12" t="str">
        <f>HYPERLINK("http://www.bing.com/maps/?lvl=14&amp;sty=h&amp;cp=35.3302~44.5282&amp;sp=point.35.3302_44.5282","Maplink3")</f>
        <v>Maplink3</v>
      </c>
    </row>
    <row r="1679" spans="1:48" ht="15" customHeight="1" x14ac:dyDescent="0.25">
      <c r="A1679" s="19">
        <v>14536</v>
      </c>
      <c r="B1679" s="20" t="s">
        <v>17</v>
      </c>
      <c r="C1679" s="20" t="s">
        <v>3117</v>
      </c>
      <c r="D1679" s="20" t="s">
        <v>3132</v>
      </c>
      <c r="E1679" s="20" t="s">
        <v>3133</v>
      </c>
      <c r="F1679" s="20">
        <v>35.328913999999997</v>
      </c>
      <c r="G1679" s="20">
        <v>44.529045000000004</v>
      </c>
      <c r="H1679" s="22">
        <v>1077</v>
      </c>
      <c r="I1679" s="22">
        <v>6462</v>
      </c>
      <c r="J1679" s="21">
        <v>10</v>
      </c>
      <c r="K1679" s="21">
        <v>1</v>
      </c>
      <c r="L1679" s="21"/>
      <c r="M1679" s="21"/>
      <c r="N1679" s="21"/>
      <c r="O1679" s="21">
        <v>10</v>
      </c>
      <c r="P1679" s="21"/>
      <c r="Q1679" s="21"/>
      <c r="R1679" s="21">
        <v>504</v>
      </c>
      <c r="S1679" s="21"/>
      <c r="T1679" s="21"/>
      <c r="U1679" s="21"/>
      <c r="V1679" s="21">
        <v>16</v>
      </c>
      <c r="W1679" s="21"/>
      <c r="X1679" s="21">
        <v>536</v>
      </c>
      <c r="Y1679" s="21"/>
      <c r="Z1679" s="21"/>
      <c r="AA1679" s="21"/>
      <c r="AB1679" s="21">
        <v>1077</v>
      </c>
      <c r="AC1679" s="21"/>
      <c r="AD1679" s="21"/>
      <c r="AE1679" s="21"/>
      <c r="AF1679" s="21"/>
      <c r="AG1679" s="21"/>
      <c r="AH1679" s="21"/>
      <c r="AI1679" s="21"/>
      <c r="AJ1679" s="21"/>
      <c r="AK1679" s="21"/>
      <c r="AL1679" s="21">
        <v>10</v>
      </c>
      <c r="AM1679" s="21">
        <v>260</v>
      </c>
      <c r="AN1679" s="21">
        <v>200</v>
      </c>
      <c r="AO1679" s="21">
        <v>70</v>
      </c>
      <c r="AP1679" s="21">
        <v>110</v>
      </c>
      <c r="AQ1679" s="21">
        <v>271</v>
      </c>
      <c r="AR1679" s="21">
        <v>121</v>
      </c>
      <c r="AS1679" s="21">
        <v>35</v>
      </c>
      <c r="AT1679" s="12" t="str">
        <f>HYPERLINK("http://www.openstreetmap.org/?mlat=35.3289&amp;mlon=44.529&amp;zoom=12#map=12/35.3289/44.529","Maplink1")</f>
        <v>Maplink1</v>
      </c>
      <c r="AU1679" s="12" t="str">
        <f>HYPERLINK("https://www.google.iq/maps/search/+35.3289,44.529/@35.3289,44.529,14z?hl=en","Maplink2")</f>
        <v>Maplink2</v>
      </c>
      <c r="AV1679" s="12" t="str">
        <f>HYPERLINK("http://www.bing.com/maps/?lvl=14&amp;sty=h&amp;cp=35.3289~44.529&amp;sp=point.35.3289_44.529","Maplink3")</f>
        <v>Maplink3</v>
      </c>
    </row>
    <row r="1680" spans="1:48" ht="15" customHeight="1" x14ac:dyDescent="0.25">
      <c r="A1680" s="19">
        <v>25738</v>
      </c>
      <c r="B1680" s="20" t="s">
        <v>17</v>
      </c>
      <c r="C1680" s="20" t="s">
        <v>3117</v>
      </c>
      <c r="D1680" s="20" t="s">
        <v>3134</v>
      </c>
      <c r="E1680" s="20" t="s">
        <v>3135</v>
      </c>
      <c r="F1680" s="20">
        <v>35.281042177400003</v>
      </c>
      <c r="G1680" s="20">
        <v>44.3589345177</v>
      </c>
      <c r="H1680" s="22">
        <v>123</v>
      </c>
      <c r="I1680" s="22">
        <v>738</v>
      </c>
      <c r="J1680" s="21"/>
      <c r="K1680" s="21"/>
      <c r="L1680" s="21">
        <v>1</v>
      </c>
      <c r="M1680" s="21"/>
      <c r="N1680" s="21"/>
      <c r="O1680" s="21"/>
      <c r="P1680" s="21"/>
      <c r="Q1680" s="21"/>
      <c r="R1680" s="21">
        <v>121</v>
      </c>
      <c r="S1680" s="21"/>
      <c r="T1680" s="21"/>
      <c r="U1680" s="21"/>
      <c r="V1680" s="21"/>
      <c r="W1680" s="21"/>
      <c r="X1680" s="21">
        <v>1</v>
      </c>
      <c r="Y1680" s="21"/>
      <c r="Z1680" s="21"/>
      <c r="AA1680" s="21"/>
      <c r="AB1680" s="21"/>
      <c r="AC1680" s="21">
        <v>19</v>
      </c>
      <c r="AD1680" s="21"/>
      <c r="AE1680" s="21">
        <v>104</v>
      </c>
      <c r="AF1680" s="21"/>
      <c r="AG1680" s="21"/>
      <c r="AH1680" s="21"/>
      <c r="AI1680" s="21"/>
      <c r="AJ1680" s="21"/>
      <c r="AK1680" s="21"/>
      <c r="AL1680" s="21"/>
      <c r="AM1680" s="21"/>
      <c r="AN1680" s="21">
        <v>4</v>
      </c>
      <c r="AO1680" s="21">
        <v>100</v>
      </c>
      <c r="AP1680" s="21"/>
      <c r="AQ1680" s="21">
        <v>7</v>
      </c>
      <c r="AR1680" s="21">
        <v>9</v>
      </c>
      <c r="AS1680" s="21">
        <v>3</v>
      </c>
      <c r="AT1680" s="12" t="str">
        <f>HYPERLINK("http://www.openstreetmap.org/?mlat=35.281&amp;mlon=44.3589&amp;zoom=12#map=12/35.281/44.3589","Maplink1")</f>
        <v>Maplink1</v>
      </c>
      <c r="AU1680" s="12" t="str">
        <f>HYPERLINK("https://www.google.iq/maps/search/+35.281,44.3589/@35.281,44.3589,14z?hl=en","Maplink2")</f>
        <v>Maplink2</v>
      </c>
      <c r="AV1680" s="12" t="str">
        <f>HYPERLINK("http://www.bing.com/maps/?lvl=14&amp;sty=h&amp;cp=35.281~44.3589&amp;sp=point.35.281_44.3589","Maplink3")</f>
        <v>Maplink3</v>
      </c>
    </row>
    <row r="1681" spans="1:48" ht="15" customHeight="1" x14ac:dyDescent="0.25">
      <c r="A1681" s="19">
        <v>25739</v>
      </c>
      <c r="B1681" s="20" t="s">
        <v>17</v>
      </c>
      <c r="C1681" s="20" t="s">
        <v>3117</v>
      </c>
      <c r="D1681" s="20" t="s">
        <v>3136</v>
      </c>
      <c r="E1681" s="20" t="s">
        <v>3137</v>
      </c>
      <c r="F1681" s="20">
        <v>35.253441214799999</v>
      </c>
      <c r="G1681" s="20">
        <v>44.394331502</v>
      </c>
      <c r="H1681" s="22">
        <v>153</v>
      </c>
      <c r="I1681" s="22">
        <v>918</v>
      </c>
      <c r="J1681" s="21"/>
      <c r="K1681" s="21"/>
      <c r="L1681" s="21"/>
      <c r="M1681" s="21"/>
      <c r="N1681" s="21"/>
      <c r="O1681" s="21"/>
      <c r="P1681" s="21"/>
      <c r="Q1681" s="21"/>
      <c r="R1681" s="21">
        <v>153</v>
      </c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>
        <v>40</v>
      </c>
      <c r="AD1681" s="21"/>
      <c r="AE1681" s="21">
        <v>113</v>
      </c>
      <c r="AF1681" s="21"/>
      <c r="AG1681" s="21"/>
      <c r="AH1681" s="21"/>
      <c r="AI1681" s="21"/>
      <c r="AJ1681" s="21"/>
      <c r="AK1681" s="21"/>
      <c r="AL1681" s="21"/>
      <c r="AM1681" s="21"/>
      <c r="AN1681" s="21"/>
      <c r="AO1681" s="21">
        <v>148</v>
      </c>
      <c r="AP1681" s="21"/>
      <c r="AQ1681" s="21">
        <v>5</v>
      </c>
      <c r="AR1681" s="21"/>
      <c r="AS1681" s="21"/>
      <c r="AT1681" s="12" t="str">
        <f>HYPERLINK("http://www.openstreetmap.org/?mlat=35.2534&amp;mlon=44.3943&amp;zoom=12#map=12/35.2534/44.3943","Maplink1")</f>
        <v>Maplink1</v>
      </c>
      <c r="AU1681" s="12" t="str">
        <f>HYPERLINK("https://www.google.iq/maps/search/+35.2534,44.3943/@35.2534,44.3943,14z?hl=en","Maplink2")</f>
        <v>Maplink2</v>
      </c>
      <c r="AV1681" s="12" t="str">
        <f>HYPERLINK("http://www.bing.com/maps/?lvl=14&amp;sty=h&amp;cp=35.2534~44.3943&amp;sp=point.35.2534_44.3943","Maplink3")</f>
        <v>Maplink3</v>
      </c>
    </row>
    <row r="1682" spans="1:48" ht="15" customHeight="1" x14ac:dyDescent="0.25">
      <c r="A1682" s="19">
        <v>21711</v>
      </c>
      <c r="B1682" s="20" t="s">
        <v>17</v>
      </c>
      <c r="C1682" s="20" t="s">
        <v>3117</v>
      </c>
      <c r="D1682" s="20" t="s">
        <v>2050</v>
      </c>
      <c r="E1682" s="20" t="s">
        <v>3138</v>
      </c>
      <c r="F1682" s="20">
        <v>35.318976999999997</v>
      </c>
      <c r="G1682" s="20">
        <v>44.517829999999996</v>
      </c>
      <c r="H1682" s="22">
        <v>99</v>
      </c>
      <c r="I1682" s="22">
        <v>594</v>
      </c>
      <c r="J1682" s="21">
        <v>5</v>
      </c>
      <c r="K1682" s="21"/>
      <c r="L1682" s="21"/>
      <c r="M1682" s="21"/>
      <c r="N1682" s="21"/>
      <c r="O1682" s="21"/>
      <c r="P1682" s="21"/>
      <c r="Q1682" s="21"/>
      <c r="R1682" s="21">
        <v>65</v>
      </c>
      <c r="S1682" s="21"/>
      <c r="T1682" s="21"/>
      <c r="U1682" s="21"/>
      <c r="V1682" s="21">
        <v>4</v>
      </c>
      <c r="W1682" s="21"/>
      <c r="X1682" s="21">
        <v>25</v>
      </c>
      <c r="Y1682" s="21"/>
      <c r="Z1682" s="21"/>
      <c r="AA1682" s="21"/>
      <c r="AB1682" s="21"/>
      <c r="AC1682" s="21"/>
      <c r="AD1682" s="21"/>
      <c r="AE1682" s="21"/>
      <c r="AF1682" s="21"/>
      <c r="AG1682" s="21"/>
      <c r="AH1682" s="21">
        <v>99</v>
      </c>
      <c r="AI1682" s="21"/>
      <c r="AJ1682" s="21"/>
      <c r="AK1682" s="21"/>
      <c r="AL1682" s="21"/>
      <c r="AM1682" s="21">
        <v>5</v>
      </c>
      <c r="AN1682" s="21">
        <v>8</v>
      </c>
      <c r="AO1682" s="21">
        <v>15</v>
      </c>
      <c r="AP1682" s="21">
        <v>48</v>
      </c>
      <c r="AQ1682" s="21">
        <v>3</v>
      </c>
      <c r="AR1682" s="21">
        <v>3</v>
      </c>
      <c r="AS1682" s="21">
        <v>17</v>
      </c>
      <c r="AT1682" s="12" t="str">
        <f>HYPERLINK("http://www.openstreetmap.org/?mlat=35.319&amp;mlon=44.5178&amp;zoom=12#map=12/35.319/44.5178","Maplink1")</f>
        <v>Maplink1</v>
      </c>
      <c r="AU1682" s="12" t="str">
        <f>HYPERLINK("https://www.google.iq/maps/search/+35.319,44.5178/@35.319,44.5178,14z?hl=en","Maplink2")</f>
        <v>Maplink2</v>
      </c>
      <c r="AV1682" s="12" t="str">
        <f>HYPERLINK("http://www.bing.com/maps/?lvl=14&amp;sty=h&amp;cp=35.319~44.5178&amp;sp=point.35.319_44.5178","Maplink3")</f>
        <v>Maplink3</v>
      </c>
    </row>
    <row r="1683" spans="1:48" ht="15" customHeight="1" x14ac:dyDescent="0.25">
      <c r="A1683" s="19">
        <v>27337</v>
      </c>
      <c r="B1683" s="20" t="s">
        <v>17</v>
      </c>
      <c r="C1683" s="20" t="s">
        <v>3117</v>
      </c>
      <c r="D1683" s="20" t="s">
        <v>3139</v>
      </c>
      <c r="E1683" s="20" t="s">
        <v>3140</v>
      </c>
      <c r="F1683" s="20">
        <v>35.292727999999997</v>
      </c>
      <c r="G1683" s="20">
        <v>44.576431999999997</v>
      </c>
      <c r="H1683" s="22">
        <v>310</v>
      </c>
      <c r="I1683" s="22">
        <v>1860</v>
      </c>
      <c r="J1683" s="21">
        <v>1</v>
      </c>
      <c r="K1683" s="21"/>
      <c r="L1683" s="21"/>
      <c r="M1683" s="21"/>
      <c r="N1683" s="21"/>
      <c r="O1683" s="21">
        <v>1</v>
      </c>
      <c r="P1683" s="21"/>
      <c r="Q1683" s="21"/>
      <c r="R1683" s="21">
        <v>238</v>
      </c>
      <c r="S1683" s="21"/>
      <c r="T1683" s="21"/>
      <c r="U1683" s="21"/>
      <c r="V1683" s="21"/>
      <c r="W1683" s="21"/>
      <c r="X1683" s="21">
        <v>70</v>
      </c>
      <c r="Y1683" s="21"/>
      <c r="Z1683" s="21"/>
      <c r="AA1683" s="21"/>
      <c r="AB1683" s="21">
        <v>310</v>
      </c>
      <c r="AC1683" s="21"/>
      <c r="AD1683" s="21"/>
      <c r="AE1683" s="21"/>
      <c r="AF1683" s="21"/>
      <c r="AG1683" s="21"/>
      <c r="AH1683" s="21"/>
      <c r="AI1683" s="21"/>
      <c r="AJ1683" s="21"/>
      <c r="AK1683" s="21"/>
      <c r="AL1683" s="21"/>
      <c r="AM1683" s="21"/>
      <c r="AN1683" s="21"/>
      <c r="AO1683" s="21"/>
      <c r="AP1683" s="21"/>
      <c r="AQ1683" s="21">
        <v>250</v>
      </c>
      <c r="AR1683" s="21">
        <v>35</v>
      </c>
      <c r="AS1683" s="21">
        <v>25</v>
      </c>
      <c r="AT1683" s="12" t="str">
        <f>HYPERLINK("http://www.openstreetmap.org/?mlat=35.2927&amp;mlon=44.5764&amp;zoom=12#map=12/35.2927/44.5764","Maplink1")</f>
        <v>Maplink1</v>
      </c>
      <c r="AU1683" s="12" t="str">
        <f>HYPERLINK("https://www.google.iq/maps/search/+35.2927,44.5764/@35.2927,44.5764,14z?hl=en","Maplink2")</f>
        <v>Maplink2</v>
      </c>
      <c r="AV1683" s="12" t="str">
        <f>HYPERLINK("http://www.bing.com/maps/?lvl=14&amp;sty=h&amp;cp=35.2927~44.5764&amp;sp=point.35.2927_44.5764","Maplink3")</f>
        <v>Maplink3</v>
      </c>
    </row>
    <row r="1684" spans="1:48" ht="15" customHeight="1" x14ac:dyDescent="0.25">
      <c r="A1684" s="19">
        <v>14960</v>
      </c>
      <c r="B1684" s="20" t="s">
        <v>17</v>
      </c>
      <c r="C1684" s="20" t="s">
        <v>3117</v>
      </c>
      <c r="D1684" s="20" t="s">
        <v>3141</v>
      </c>
      <c r="E1684" s="20" t="s">
        <v>3142</v>
      </c>
      <c r="F1684" s="20">
        <v>35.240337108200002</v>
      </c>
      <c r="G1684" s="20">
        <v>44.3884619715</v>
      </c>
      <c r="H1684" s="22">
        <v>235</v>
      </c>
      <c r="I1684" s="22">
        <v>1410</v>
      </c>
      <c r="J1684" s="21"/>
      <c r="K1684" s="21"/>
      <c r="L1684" s="21"/>
      <c r="M1684" s="21"/>
      <c r="N1684" s="21"/>
      <c r="O1684" s="21"/>
      <c r="P1684" s="21"/>
      <c r="Q1684" s="21"/>
      <c r="R1684" s="21">
        <v>150</v>
      </c>
      <c r="S1684" s="21"/>
      <c r="T1684" s="21"/>
      <c r="U1684" s="21"/>
      <c r="V1684" s="21">
        <v>70</v>
      </c>
      <c r="W1684" s="21"/>
      <c r="X1684" s="21">
        <v>15</v>
      </c>
      <c r="Y1684" s="21"/>
      <c r="Z1684" s="21"/>
      <c r="AA1684" s="21"/>
      <c r="AB1684" s="21"/>
      <c r="AC1684" s="21"/>
      <c r="AD1684" s="21"/>
      <c r="AE1684" s="21">
        <v>235</v>
      </c>
      <c r="AF1684" s="21"/>
      <c r="AG1684" s="21"/>
      <c r="AH1684" s="21"/>
      <c r="AI1684" s="21"/>
      <c r="AJ1684" s="21"/>
      <c r="AK1684" s="21"/>
      <c r="AL1684" s="21"/>
      <c r="AM1684" s="21">
        <v>25</v>
      </c>
      <c r="AN1684" s="21">
        <v>40</v>
      </c>
      <c r="AO1684" s="21">
        <v>165</v>
      </c>
      <c r="AP1684" s="21"/>
      <c r="AQ1684" s="21"/>
      <c r="AR1684" s="21">
        <v>5</v>
      </c>
      <c r="AS1684" s="21"/>
      <c r="AT1684" s="12" t="str">
        <f>HYPERLINK("http://www.openstreetmap.org/?mlat=35.2403&amp;mlon=44.3885&amp;zoom=12#map=12/35.2403/44.3885","Maplink1")</f>
        <v>Maplink1</v>
      </c>
      <c r="AU1684" s="12" t="str">
        <f>HYPERLINK("https://www.google.iq/maps/search/+35.2403,44.3885/@35.2403,44.3885,14z?hl=en","Maplink2")</f>
        <v>Maplink2</v>
      </c>
      <c r="AV1684" s="12" t="str">
        <f>HYPERLINK("http://www.bing.com/maps/?lvl=14&amp;sty=h&amp;cp=35.2403~44.3885&amp;sp=point.35.2403_44.3885","Maplink3")</f>
        <v>Maplink3</v>
      </c>
    </row>
    <row r="1685" spans="1:48" ht="15" customHeight="1" x14ac:dyDescent="0.25">
      <c r="A1685" s="19">
        <v>24778</v>
      </c>
      <c r="B1685" s="20" t="s">
        <v>17</v>
      </c>
      <c r="C1685" s="20" t="s">
        <v>3117</v>
      </c>
      <c r="D1685" s="20" t="s">
        <v>3143</v>
      </c>
      <c r="E1685" s="20" t="s">
        <v>3144</v>
      </c>
      <c r="F1685" s="20">
        <v>35.327263000000002</v>
      </c>
      <c r="G1685" s="20">
        <v>44.496110000000002</v>
      </c>
      <c r="H1685" s="22">
        <v>508</v>
      </c>
      <c r="I1685" s="22">
        <v>3048</v>
      </c>
      <c r="J1685" s="21"/>
      <c r="K1685" s="21"/>
      <c r="L1685" s="21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>
        <v>508</v>
      </c>
      <c r="W1685" s="21"/>
      <c r="X1685" s="21"/>
      <c r="Y1685" s="21"/>
      <c r="Z1685" s="21"/>
      <c r="AA1685" s="21"/>
      <c r="AB1685" s="21">
        <v>508</v>
      </c>
      <c r="AC1685" s="21"/>
      <c r="AD1685" s="21"/>
      <c r="AE1685" s="21"/>
      <c r="AF1685" s="21"/>
      <c r="AG1685" s="21"/>
      <c r="AH1685" s="21"/>
      <c r="AI1685" s="21"/>
      <c r="AJ1685" s="21"/>
      <c r="AK1685" s="21"/>
      <c r="AL1685" s="21"/>
      <c r="AM1685" s="21">
        <v>160</v>
      </c>
      <c r="AN1685" s="21"/>
      <c r="AO1685" s="21">
        <v>193</v>
      </c>
      <c r="AP1685" s="21"/>
      <c r="AQ1685" s="21">
        <v>30</v>
      </c>
      <c r="AR1685" s="21">
        <v>110</v>
      </c>
      <c r="AS1685" s="21">
        <v>15</v>
      </c>
      <c r="AT1685" s="12" t="str">
        <f>HYPERLINK("http://www.openstreetmap.org/?mlat=35.3273&amp;mlon=44.4961&amp;zoom=12#map=12/35.3273/44.4961","Maplink1")</f>
        <v>Maplink1</v>
      </c>
      <c r="AU1685" s="12" t="str">
        <f>HYPERLINK("https://www.google.iq/maps/search/+35.3273,44.4961/@35.3273,44.4961,14z?hl=en","Maplink2")</f>
        <v>Maplink2</v>
      </c>
      <c r="AV1685" s="12" t="str">
        <f>HYPERLINK("http://www.bing.com/maps/?lvl=14&amp;sty=h&amp;cp=35.3273~44.4961&amp;sp=point.35.3273_44.4961","Maplink3")</f>
        <v>Maplink3</v>
      </c>
    </row>
    <row r="1686" spans="1:48" ht="15" customHeight="1" x14ac:dyDescent="0.25">
      <c r="A1686" s="19">
        <v>28476</v>
      </c>
      <c r="B1686" s="20" t="s">
        <v>17</v>
      </c>
      <c r="C1686" s="20" t="s">
        <v>3117</v>
      </c>
      <c r="D1686" s="20" t="s">
        <v>3145</v>
      </c>
      <c r="E1686" s="20" t="s">
        <v>3146</v>
      </c>
      <c r="F1686" s="20">
        <v>35.312227</v>
      </c>
      <c r="G1686" s="20">
        <v>44.438867000000002</v>
      </c>
      <c r="H1686" s="22">
        <v>16</v>
      </c>
      <c r="I1686" s="22">
        <v>96</v>
      </c>
      <c r="J1686" s="21"/>
      <c r="K1686" s="21"/>
      <c r="L1686" s="21"/>
      <c r="M1686" s="21"/>
      <c r="N1686" s="21"/>
      <c r="O1686" s="21"/>
      <c r="P1686" s="21"/>
      <c r="Q1686" s="21"/>
      <c r="R1686" s="21">
        <v>12</v>
      </c>
      <c r="S1686" s="21"/>
      <c r="T1686" s="21"/>
      <c r="U1686" s="21"/>
      <c r="V1686" s="21"/>
      <c r="W1686" s="21"/>
      <c r="X1686" s="21">
        <v>4</v>
      </c>
      <c r="Y1686" s="21"/>
      <c r="Z1686" s="21"/>
      <c r="AA1686" s="21"/>
      <c r="AB1686" s="21"/>
      <c r="AC1686" s="21">
        <v>5</v>
      </c>
      <c r="AD1686" s="21"/>
      <c r="AE1686" s="21">
        <v>3</v>
      </c>
      <c r="AF1686" s="21"/>
      <c r="AG1686" s="21"/>
      <c r="AH1686" s="21">
        <v>8</v>
      </c>
      <c r="AI1686" s="21"/>
      <c r="AJ1686" s="21"/>
      <c r="AK1686" s="21"/>
      <c r="AL1686" s="21"/>
      <c r="AM1686" s="21"/>
      <c r="AN1686" s="21">
        <v>2</v>
      </c>
      <c r="AO1686" s="21">
        <v>2</v>
      </c>
      <c r="AP1686" s="21">
        <v>1</v>
      </c>
      <c r="AQ1686" s="21">
        <v>4</v>
      </c>
      <c r="AR1686" s="21">
        <v>5</v>
      </c>
      <c r="AS1686" s="21">
        <v>2</v>
      </c>
      <c r="AT1686" s="12" t="str">
        <f>HYPERLINK("http://www.openstreetmap.org/?mlat=35.3122&amp;mlon=44.4389&amp;zoom=12#map=12/35.3122/44.4389","Maplink1")</f>
        <v>Maplink1</v>
      </c>
      <c r="AU1686" s="12" t="str">
        <f>HYPERLINK("https://www.google.iq/maps/search/+35.3122,44.4389/@35.3122,44.4389,14z?hl=en","Maplink2")</f>
        <v>Maplink2</v>
      </c>
      <c r="AV1686" s="12" t="str">
        <f>HYPERLINK("http://www.bing.com/maps/?lvl=14&amp;sty=h&amp;cp=35.3122~44.4389&amp;sp=point.35.3122_44.4389","Maplink3")</f>
        <v>Maplink3</v>
      </c>
    </row>
    <row r="1687" spans="1:48" ht="15" customHeight="1" x14ac:dyDescent="0.25">
      <c r="A1687" s="19">
        <v>22289</v>
      </c>
      <c r="B1687" s="20" t="s">
        <v>17</v>
      </c>
      <c r="C1687" s="20" t="s">
        <v>17</v>
      </c>
      <c r="D1687" s="20" t="s">
        <v>5646</v>
      </c>
      <c r="E1687" s="20" t="s">
        <v>5647</v>
      </c>
      <c r="F1687" s="20">
        <v>35.4846</v>
      </c>
      <c r="G1687" s="20">
        <v>44.347900000000003</v>
      </c>
      <c r="H1687" s="22">
        <v>325</v>
      </c>
      <c r="I1687" s="22">
        <v>1950</v>
      </c>
      <c r="J1687" s="21"/>
      <c r="K1687" s="21"/>
      <c r="L1687" s="21"/>
      <c r="M1687" s="21"/>
      <c r="N1687" s="21"/>
      <c r="O1687" s="21">
        <v>10</v>
      </c>
      <c r="P1687" s="21"/>
      <c r="Q1687" s="21"/>
      <c r="R1687" s="21">
        <v>255</v>
      </c>
      <c r="S1687" s="21"/>
      <c r="T1687" s="21"/>
      <c r="U1687" s="21"/>
      <c r="V1687" s="21">
        <v>30</v>
      </c>
      <c r="W1687" s="21"/>
      <c r="X1687" s="21">
        <v>30</v>
      </c>
      <c r="Y1687" s="21"/>
      <c r="Z1687" s="21"/>
      <c r="AA1687" s="21"/>
      <c r="AB1687" s="21"/>
      <c r="AC1687" s="21">
        <v>15</v>
      </c>
      <c r="AD1687" s="21"/>
      <c r="AE1687" s="21"/>
      <c r="AF1687" s="21"/>
      <c r="AG1687" s="21"/>
      <c r="AH1687" s="21">
        <v>300</v>
      </c>
      <c r="AI1687" s="21"/>
      <c r="AJ1687" s="21">
        <v>10</v>
      </c>
      <c r="AK1687" s="21"/>
      <c r="AL1687" s="21"/>
      <c r="AM1687" s="21">
        <v>5</v>
      </c>
      <c r="AN1687" s="21"/>
      <c r="AO1687" s="21">
        <v>40</v>
      </c>
      <c r="AP1687" s="21">
        <v>70</v>
      </c>
      <c r="AQ1687" s="21">
        <v>80</v>
      </c>
      <c r="AR1687" s="21">
        <v>90</v>
      </c>
      <c r="AS1687" s="21">
        <v>40</v>
      </c>
      <c r="AT1687" s="12" t="str">
        <f>HYPERLINK("http://www.openstreetmap.org/?mlat=35.4846&amp;mlon=44.3479&amp;zoom=12#map=12/35.4846/44.3479","Maplink1")</f>
        <v>Maplink1</v>
      </c>
      <c r="AU1687" s="12" t="str">
        <f>HYPERLINK("https://www.google.iq/maps/search/+35.4846,44.3479/@35.4846,44.3479,14z?hl=en","Maplink2")</f>
        <v>Maplink2</v>
      </c>
      <c r="AV1687" s="12" t="str">
        <f>HYPERLINK("http://www.bing.com/maps/?lvl=14&amp;sty=h&amp;cp=35.4846~44.3479&amp;sp=point.35.4846_44.3479","Maplink3")</f>
        <v>Maplink3</v>
      </c>
    </row>
    <row r="1688" spans="1:48" ht="15" customHeight="1" x14ac:dyDescent="0.25">
      <c r="A1688" s="19">
        <v>24359</v>
      </c>
      <c r="B1688" s="20" t="s">
        <v>17</v>
      </c>
      <c r="C1688" s="20" t="s">
        <v>17</v>
      </c>
      <c r="D1688" s="20" t="s">
        <v>5648</v>
      </c>
      <c r="E1688" s="20" t="s">
        <v>3147</v>
      </c>
      <c r="F1688" s="20">
        <v>35.435245999999999</v>
      </c>
      <c r="G1688" s="20">
        <v>44.412962</v>
      </c>
      <c r="H1688" s="22">
        <v>300</v>
      </c>
      <c r="I1688" s="22">
        <v>1800</v>
      </c>
      <c r="J1688" s="21">
        <v>30</v>
      </c>
      <c r="K1688" s="21"/>
      <c r="L1688" s="21"/>
      <c r="M1688" s="21"/>
      <c r="N1688" s="21"/>
      <c r="O1688" s="21"/>
      <c r="P1688" s="21"/>
      <c r="Q1688" s="21"/>
      <c r="R1688" s="21">
        <v>180</v>
      </c>
      <c r="S1688" s="21"/>
      <c r="T1688" s="21"/>
      <c r="U1688" s="21"/>
      <c r="V1688" s="21">
        <v>30</v>
      </c>
      <c r="W1688" s="21"/>
      <c r="X1688" s="21">
        <v>60</v>
      </c>
      <c r="Y1688" s="21"/>
      <c r="Z1688" s="21"/>
      <c r="AA1688" s="21"/>
      <c r="AB1688" s="21"/>
      <c r="AC1688" s="21"/>
      <c r="AD1688" s="21"/>
      <c r="AE1688" s="21"/>
      <c r="AF1688" s="21"/>
      <c r="AG1688" s="21"/>
      <c r="AH1688" s="21">
        <v>300</v>
      </c>
      <c r="AI1688" s="21"/>
      <c r="AJ1688" s="21"/>
      <c r="AK1688" s="21"/>
      <c r="AL1688" s="21">
        <v>10</v>
      </c>
      <c r="AM1688" s="21">
        <v>15</v>
      </c>
      <c r="AN1688" s="21"/>
      <c r="AO1688" s="21">
        <v>27</v>
      </c>
      <c r="AP1688" s="21">
        <v>78</v>
      </c>
      <c r="AQ1688" s="21">
        <v>40</v>
      </c>
      <c r="AR1688" s="21">
        <v>95</v>
      </c>
      <c r="AS1688" s="21">
        <v>35</v>
      </c>
      <c r="AT1688" s="12" t="str">
        <f>HYPERLINK("http://www.openstreetmap.org/?mlat=35.4352&amp;mlon=44.413&amp;zoom=12#map=12/35.4352/44.413","Maplink1")</f>
        <v>Maplink1</v>
      </c>
      <c r="AU1688" s="12" t="str">
        <f>HYPERLINK("https://www.google.iq/maps/search/+35.4352,44.413/@35.4352,44.413,14z?hl=en","Maplink2")</f>
        <v>Maplink2</v>
      </c>
      <c r="AV1688" s="12" t="str">
        <f>HYPERLINK("http://www.bing.com/maps/?lvl=14&amp;sty=h&amp;cp=35.4352~44.413&amp;sp=point.35.4352_44.413","Maplink3")</f>
        <v>Maplink3</v>
      </c>
    </row>
    <row r="1689" spans="1:48" ht="15" customHeight="1" x14ac:dyDescent="0.25">
      <c r="A1689" s="19">
        <v>14984</v>
      </c>
      <c r="B1689" s="20" t="s">
        <v>17</v>
      </c>
      <c r="C1689" s="20" t="s">
        <v>17</v>
      </c>
      <c r="D1689" s="20" t="s">
        <v>5649</v>
      </c>
      <c r="E1689" s="20" t="s">
        <v>5650</v>
      </c>
      <c r="F1689" s="20">
        <v>35.422541180000003</v>
      </c>
      <c r="G1689" s="20">
        <v>44.352601470000003</v>
      </c>
      <c r="H1689" s="22">
        <v>400</v>
      </c>
      <c r="I1689" s="22">
        <v>2400</v>
      </c>
      <c r="J1689" s="21">
        <v>25</v>
      </c>
      <c r="K1689" s="21"/>
      <c r="L1689" s="21"/>
      <c r="M1689" s="21"/>
      <c r="N1689" s="21"/>
      <c r="O1689" s="21">
        <v>30</v>
      </c>
      <c r="P1689" s="21"/>
      <c r="Q1689" s="21"/>
      <c r="R1689" s="21">
        <v>200</v>
      </c>
      <c r="S1689" s="21"/>
      <c r="T1689" s="21"/>
      <c r="U1689" s="21"/>
      <c r="V1689" s="21">
        <v>75</v>
      </c>
      <c r="W1689" s="21"/>
      <c r="X1689" s="21">
        <v>70</v>
      </c>
      <c r="Y1689" s="21"/>
      <c r="Z1689" s="21"/>
      <c r="AA1689" s="21"/>
      <c r="AB1689" s="21"/>
      <c r="AC1689" s="21">
        <v>20</v>
      </c>
      <c r="AD1689" s="21"/>
      <c r="AE1689" s="21"/>
      <c r="AF1689" s="21"/>
      <c r="AG1689" s="21"/>
      <c r="AH1689" s="21">
        <v>345</v>
      </c>
      <c r="AI1689" s="21"/>
      <c r="AJ1689" s="21">
        <v>35</v>
      </c>
      <c r="AK1689" s="21"/>
      <c r="AL1689" s="21">
        <v>10</v>
      </c>
      <c r="AM1689" s="21">
        <v>60</v>
      </c>
      <c r="AN1689" s="21">
        <v>25</v>
      </c>
      <c r="AO1689" s="21">
        <v>50</v>
      </c>
      <c r="AP1689" s="21">
        <v>70</v>
      </c>
      <c r="AQ1689" s="21">
        <v>80</v>
      </c>
      <c r="AR1689" s="21">
        <v>85</v>
      </c>
      <c r="AS1689" s="21">
        <v>20</v>
      </c>
      <c r="AT1689" s="12" t="str">
        <f>HYPERLINK("http://www.openstreetmap.org/?mlat=35.4225&amp;mlon=44.3526&amp;zoom=12#map=12/35.4225/44.3526","Maplink1")</f>
        <v>Maplink1</v>
      </c>
      <c r="AU1689" s="12" t="str">
        <f>HYPERLINK("https://www.google.iq/maps/search/+35.4225,44.3526/@35.4225,44.3526,14z?hl=en","Maplink2")</f>
        <v>Maplink2</v>
      </c>
      <c r="AV1689" s="12" t="str">
        <f>HYPERLINK("http://www.bing.com/maps/?lvl=14&amp;sty=h&amp;cp=35.4225~44.3526&amp;sp=point.35.4225_44.3526","Maplink3")</f>
        <v>Maplink3</v>
      </c>
    </row>
    <row r="1690" spans="1:48" ht="15" customHeight="1" x14ac:dyDescent="0.25">
      <c r="A1690" s="19">
        <v>24084</v>
      </c>
      <c r="B1690" s="20" t="s">
        <v>17</v>
      </c>
      <c r="C1690" s="20" t="s">
        <v>17</v>
      </c>
      <c r="D1690" s="20" t="s">
        <v>5651</v>
      </c>
      <c r="E1690" s="20" t="s">
        <v>5652</v>
      </c>
      <c r="F1690" s="20">
        <v>35.4084</v>
      </c>
      <c r="G1690" s="20">
        <v>44.392774000000003</v>
      </c>
      <c r="H1690" s="22">
        <v>965</v>
      </c>
      <c r="I1690" s="22">
        <v>5790</v>
      </c>
      <c r="J1690" s="21">
        <v>10</v>
      </c>
      <c r="K1690" s="21"/>
      <c r="L1690" s="21">
        <v>50</v>
      </c>
      <c r="M1690" s="21"/>
      <c r="N1690" s="21"/>
      <c r="O1690" s="21">
        <v>95</v>
      </c>
      <c r="P1690" s="21"/>
      <c r="Q1690" s="21"/>
      <c r="R1690" s="21">
        <v>500</v>
      </c>
      <c r="S1690" s="21"/>
      <c r="T1690" s="21"/>
      <c r="U1690" s="21"/>
      <c r="V1690" s="21">
        <v>30</v>
      </c>
      <c r="W1690" s="21"/>
      <c r="X1690" s="21">
        <v>280</v>
      </c>
      <c r="Y1690" s="21"/>
      <c r="Z1690" s="21"/>
      <c r="AA1690" s="21"/>
      <c r="AB1690" s="21"/>
      <c r="AC1690" s="21">
        <v>20</v>
      </c>
      <c r="AD1690" s="21"/>
      <c r="AE1690" s="21"/>
      <c r="AF1690" s="21"/>
      <c r="AG1690" s="21"/>
      <c r="AH1690" s="21">
        <v>925</v>
      </c>
      <c r="AI1690" s="21"/>
      <c r="AJ1690" s="21">
        <v>20</v>
      </c>
      <c r="AK1690" s="21"/>
      <c r="AL1690" s="21">
        <v>10</v>
      </c>
      <c r="AM1690" s="21">
        <v>170</v>
      </c>
      <c r="AN1690" s="21">
        <v>100</v>
      </c>
      <c r="AO1690" s="21">
        <v>350</v>
      </c>
      <c r="AP1690" s="21">
        <v>85</v>
      </c>
      <c r="AQ1690" s="21">
        <v>60</v>
      </c>
      <c r="AR1690" s="21">
        <v>90</v>
      </c>
      <c r="AS1690" s="21">
        <v>100</v>
      </c>
      <c r="AT1690" s="12" t="str">
        <f>HYPERLINK("http://www.openstreetmap.org/?mlat=35.4084&amp;mlon=44.3928&amp;zoom=12#map=12/35.4084/44.3928","Maplink1")</f>
        <v>Maplink1</v>
      </c>
      <c r="AU1690" s="12" t="str">
        <f>HYPERLINK("https://www.google.iq/maps/search/+35.4084,44.3928/@35.4084,44.3928,14z?hl=en","Maplink2")</f>
        <v>Maplink2</v>
      </c>
      <c r="AV1690" s="12" t="str">
        <f>HYPERLINK("http://www.bing.com/maps/?lvl=14&amp;sty=h&amp;cp=35.4084~44.3928&amp;sp=point.35.4084_44.3928","Maplink3")</f>
        <v>Maplink3</v>
      </c>
    </row>
    <row r="1691" spans="1:48" ht="15" customHeight="1" x14ac:dyDescent="0.25">
      <c r="A1691" s="19">
        <v>24453</v>
      </c>
      <c r="B1691" s="20" t="s">
        <v>17</v>
      </c>
      <c r="C1691" s="20" t="s">
        <v>17</v>
      </c>
      <c r="D1691" s="20" t="s">
        <v>3148</v>
      </c>
      <c r="E1691" s="20" t="s">
        <v>3149</v>
      </c>
      <c r="F1691" s="20">
        <v>35.376284705800003</v>
      </c>
      <c r="G1691" s="20">
        <v>44.345830961899999</v>
      </c>
      <c r="H1691" s="22">
        <v>270</v>
      </c>
      <c r="I1691" s="22">
        <v>1620</v>
      </c>
      <c r="J1691" s="21">
        <v>1</v>
      </c>
      <c r="K1691" s="21"/>
      <c r="L1691" s="21"/>
      <c r="M1691" s="21"/>
      <c r="N1691" s="21"/>
      <c r="O1691" s="21"/>
      <c r="P1691" s="21"/>
      <c r="Q1691" s="21"/>
      <c r="R1691" s="21">
        <v>245</v>
      </c>
      <c r="S1691" s="21"/>
      <c r="T1691" s="21"/>
      <c r="U1691" s="21"/>
      <c r="V1691" s="21">
        <v>4</v>
      </c>
      <c r="W1691" s="21"/>
      <c r="X1691" s="21">
        <v>20</v>
      </c>
      <c r="Y1691" s="21"/>
      <c r="Z1691" s="21"/>
      <c r="AA1691" s="21"/>
      <c r="AB1691" s="21"/>
      <c r="AC1691" s="21">
        <v>20</v>
      </c>
      <c r="AD1691" s="21"/>
      <c r="AE1691" s="21"/>
      <c r="AF1691" s="21"/>
      <c r="AG1691" s="21"/>
      <c r="AH1691" s="21">
        <v>235</v>
      </c>
      <c r="AI1691" s="21"/>
      <c r="AJ1691" s="21">
        <v>15</v>
      </c>
      <c r="AK1691" s="21"/>
      <c r="AL1691" s="21">
        <v>1</v>
      </c>
      <c r="AM1691" s="21"/>
      <c r="AN1691" s="21">
        <v>3</v>
      </c>
      <c r="AO1691" s="21">
        <v>25</v>
      </c>
      <c r="AP1691" s="21">
        <v>35</v>
      </c>
      <c r="AQ1691" s="21">
        <v>40</v>
      </c>
      <c r="AR1691" s="21">
        <v>146</v>
      </c>
      <c r="AS1691" s="21">
        <v>20</v>
      </c>
      <c r="AT1691" s="12" t="str">
        <f>HYPERLINK("http://www.openstreetmap.org/?mlat=35.3763&amp;mlon=44.3458&amp;zoom=12#map=12/35.3763/44.3458","Maplink1")</f>
        <v>Maplink1</v>
      </c>
      <c r="AU1691" s="12" t="str">
        <f>HYPERLINK("https://www.google.iq/maps/search/+35.3763,44.3458/@35.3763,44.3458,14z?hl=en","Maplink2")</f>
        <v>Maplink2</v>
      </c>
      <c r="AV1691" s="12" t="str">
        <f>HYPERLINK("http://www.bing.com/maps/?lvl=14&amp;sty=h&amp;cp=35.3763~44.3458&amp;sp=point.35.3763_44.3458","Maplink3")</f>
        <v>Maplink3</v>
      </c>
    </row>
    <row r="1692" spans="1:48" ht="15" customHeight="1" x14ac:dyDescent="0.25">
      <c r="A1692" s="19">
        <v>31726</v>
      </c>
      <c r="B1692" s="20" t="s">
        <v>17</v>
      </c>
      <c r="C1692" s="20" t="s">
        <v>17</v>
      </c>
      <c r="D1692" s="20" t="s">
        <v>5653</v>
      </c>
      <c r="E1692" s="20" t="s">
        <v>3150</v>
      </c>
      <c r="F1692" s="20">
        <v>35.432015</v>
      </c>
      <c r="G1692" s="20">
        <v>44.425285000000002</v>
      </c>
      <c r="H1692" s="22">
        <v>450</v>
      </c>
      <c r="I1692" s="22">
        <v>2700</v>
      </c>
      <c r="J1692" s="21">
        <v>40</v>
      </c>
      <c r="K1692" s="21"/>
      <c r="L1692" s="21"/>
      <c r="M1692" s="21"/>
      <c r="N1692" s="21"/>
      <c r="O1692" s="21">
        <v>20</v>
      </c>
      <c r="P1692" s="21"/>
      <c r="Q1692" s="21"/>
      <c r="R1692" s="21">
        <v>250</v>
      </c>
      <c r="S1692" s="21"/>
      <c r="T1692" s="21"/>
      <c r="U1692" s="21"/>
      <c r="V1692" s="21">
        <v>80</v>
      </c>
      <c r="W1692" s="21"/>
      <c r="X1692" s="21">
        <v>60</v>
      </c>
      <c r="Y1692" s="21"/>
      <c r="Z1692" s="21"/>
      <c r="AA1692" s="21"/>
      <c r="AB1692" s="21"/>
      <c r="AC1692" s="21">
        <v>15</v>
      </c>
      <c r="AD1692" s="21"/>
      <c r="AE1692" s="21"/>
      <c r="AF1692" s="21"/>
      <c r="AG1692" s="21"/>
      <c r="AH1692" s="21">
        <v>415</v>
      </c>
      <c r="AI1692" s="21"/>
      <c r="AJ1692" s="21">
        <v>20</v>
      </c>
      <c r="AK1692" s="21"/>
      <c r="AL1692" s="21">
        <v>10</v>
      </c>
      <c r="AM1692" s="21">
        <v>50</v>
      </c>
      <c r="AN1692" s="21">
        <v>30</v>
      </c>
      <c r="AO1692" s="21">
        <v>220</v>
      </c>
      <c r="AP1692" s="21">
        <v>50</v>
      </c>
      <c r="AQ1692" s="21">
        <v>40</v>
      </c>
      <c r="AR1692" s="21">
        <v>30</v>
      </c>
      <c r="AS1692" s="21">
        <v>20</v>
      </c>
      <c r="AT1692" s="12" t="str">
        <f>HYPERLINK("http://www.openstreetmap.org/?mlat=35.432&amp;mlon=44.4253&amp;zoom=12#map=12/35.432/44.4253","Maplink1")</f>
        <v>Maplink1</v>
      </c>
      <c r="AU1692" s="12" t="str">
        <f>HYPERLINK("https://www.google.iq/maps/search/+35.432,44.4253/@35.432,44.4253,14z?hl=en","Maplink2")</f>
        <v>Maplink2</v>
      </c>
      <c r="AV1692" s="12" t="str">
        <f>HYPERLINK("http://www.bing.com/maps/?lvl=14&amp;sty=h&amp;cp=35.432~44.4253&amp;sp=point.35.432_44.4253","Maplink3")</f>
        <v>Maplink3</v>
      </c>
    </row>
    <row r="1693" spans="1:48" ht="15" customHeight="1" x14ac:dyDescent="0.25">
      <c r="A1693" s="19">
        <v>31727</v>
      </c>
      <c r="B1693" s="20" t="s">
        <v>17</v>
      </c>
      <c r="C1693" s="20" t="s">
        <v>17</v>
      </c>
      <c r="D1693" s="20" t="s">
        <v>5654</v>
      </c>
      <c r="E1693" s="20" t="s">
        <v>5655</v>
      </c>
      <c r="F1693" s="20">
        <v>35.414712999999999</v>
      </c>
      <c r="G1693" s="20">
        <v>44.412039999999998</v>
      </c>
      <c r="H1693" s="22">
        <v>485</v>
      </c>
      <c r="I1693" s="22">
        <v>2910</v>
      </c>
      <c r="J1693" s="21">
        <v>50</v>
      </c>
      <c r="K1693" s="21"/>
      <c r="L1693" s="21"/>
      <c r="M1693" s="21"/>
      <c r="N1693" s="21"/>
      <c r="O1693" s="21">
        <v>10</v>
      </c>
      <c r="P1693" s="21"/>
      <c r="Q1693" s="21"/>
      <c r="R1693" s="21">
        <v>300</v>
      </c>
      <c r="S1693" s="21"/>
      <c r="T1693" s="21"/>
      <c r="U1693" s="21"/>
      <c r="V1693" s="21">
        <v>75</v>
      </c>
      <c r="W1693" s="21"/>
      <c r="X1693" s="21">
        <v>50</v>
      </c>
      <c r="Y1693" s="21"/>
      <c r="Z1693" s="21"/>
      <c r="AA1693" s="21"/>
      <c r="AB1693" s="21"/>
      <c r="AC1693" s="21">
        <v>15</v>
      </c>
      <c r="AD1693" s="21"/>
      <c r="AE1693" s="21"/>
      <c r="AF1693" s="21"/>
      <c r="AG1693" s="21"/>
      <c r="AH1693" s="21">
        <v>455</v>
      </c>
      <c r="AI1693" s="21"/>
      <c r="AJ1693" s="21">
        <v>15</v>
      </c>
      <c r="AK1693" s="21"/>
      <c r="AL1693" s="21">
        <v>10</v>
      </c>
      <c r="AM1693" s="21">
        <v>60</v>
      </c>
      <c r="AN1693" s="21">
        <v>20</v>
      </c>
      <c r="AO1693" s="21">
        <v>180</v>
      </c>
      <c r="AP1693" s="21">
        <v>60</v>
      </c>
      <c r="AQ1693" s="21">
        <v>50</v>
      </c>
      <c r="AR1693" s="21">
        <v>50</v>
      </c>
      <c r="AS1693" s="21">
        <v>55</v>
      </c>
      <c r="AT1693" s="12" t="str">
        <f>HYPERLINK("http://www.openstreetmap.org/?mlat=35.4147&amp;mlon=44.412&amp;zoom=12#map=12/35.4147/44.412","Maplink1")</f>
        <v>Maplink1</v>
      </c>
      <c r="AU1693" s="12" t="str">
        <f>HYPERLINK("https://www.google.iq/maps/search/+35.4147,44.412/@35.4147,44.412,14z?hl=en","Maplink2")</f>
        <v>Maplink2</v>
      </c>
      <c r="AV1693" s="12" t="str">
        <f>HYPERLINK("http://www.bing.com/maps/?lvl=14&amp;sty=h&amp;cp=35.4147~44.412&amp;sp=point.35.4147_44.412","Maplink3")</f>
        <v>Maplink3</v>
      </c>
    </row>
    <row r="1694" spans="1:48" ht="15" customHeight="1" x14ac:dyDescent="0.25">
      <c r="A1694" s="19">
        <v>15648</v>
      </c>
      <c r="B1694" s="20" t="s">
        <v>17</v>
      </c>
      <c r="C1694" s="20" t="s">
        <v>17</v>
      </c>
      <c r="D1694" s="20" t="s">
        <v>3151</v>
      </c>
      <c r="E1694" s="20" t="s">
        <v>3152</v>
      </c>
      <c r="F1694" s="20">
        <v>35.380833000000003</v>
      </c>
      <c r="G1694" s="20">
        <v>44.329445</v>
      </c>
      <c r="H1694" s="22">
        <v>311</v>
      </c>
      <c r="I1694" s="22">
        <v>1866</v>
      </c>
      <c r="J1694" s="21"/>
      <c r="K1694" s="21"/>
      <c r="L1694" s="21">
        <v>10</v>
      </c>
      <c r="M1694" s="21"/>
      <c r="N1694" s="21"/>
      <c r="O1694" s="21"/>
      <c r="P1694" s="21"/>
      <c r="Q1694" s="21"/>
      <c r="R1694" s="21">
        <v>281</v>
      </c>
      <c r="S1694" s="21"/>
      <c r="T1694" s="21"/>
      <c r="U1694" s="21"/>
      <c r="V1694" s="21">
        <v>10</v>
      </c>
      <c r="W1694" s="21"/>
      <c r="X1694" s="21">
        <v>10</v>
      </c>
      <c r="Y1694" s="21"/>
      <c r="Z1694" s="21"/>
      <c r="AA1694" s="21"/>
      <c r="AB1694" s="21"/>
      <c r="AC1694" s="21"/>
      <c r="AD1694" s="21"/>
      <c r="AE1694" s="21"/>
      <c r="AF1694" s="21"/>
      <c r="AG1694" s="21"/>
      <c r="AH1694" s="21">
        <v>311</v>
      </c>
      <c r="AI1694" s="21"/>
      <c r="AJ1694" s="21"/>
      <c r="AK1694" s="21"/>
      <c r="AL1694" s="21"/>
      <c r="AM1694" s="21">
        <v>16</v>
      </c>
      <c r="AN1694" s="21"/>
      <c r="AO1694" s="21">
        <v>30</v>
      </c>
      <c r="AP1694" s="21">
        <v>40</v>
      </c>
      <c r="AQ1694" s="21">
        <v>115</v>
      </c>
      <c r="AR1694" s="21">
        <v>95</v>
      </c>
      <c r="AS1694" s="21">
        <v>15</v>
      </c>
      <c r="AT1694" s="12" t="str">
        <f>HYPERLINK("http://www.openstreetmap.org/?mlat=35.3808&amp;mlon=44.3294&amp;zoom=12#map=12/35.3808/44.3294","Maplink1")</f>
        <v>Maplink1</v>
      </c>
      <c r="AU1694" s="12" t="str">
        <f>HYPERLINK("https://www.google.iq/maps/search/+35.3808,44.3294/@35.3808,44.3294,14z?hl=en","Maplink2")</f>
        <v>Maplink2</v>
      </c>
      <c r="AV1694" s="12" t="str">
        <f>HYPERLINK("http://www.bing.com/maps/?lvl=14&amp;sty=h&amp;cp=35.3808~44.3294&amp;sp=point.35.3808_44.3294","Maplink3")</f>
        <v>Maplink3</v>
      </c>
    </row>
    <row r="1695" spans="1:48" ht="15" customHeight="1" x14ac:dyDescent="0.25">
      <c r="A1695" s="19">
        <v>15433</v>
      </c>
      <c r="B1695" s="20" t="s">
        <v>17</v>
      </c>
      <c r="C1695" s="20" t="s">
        <v>17</v>
      </c>
      <c r="D1695" s="20" t="s">
        <v>3153</v>
      </c>
      <c r="E1695" s="20" t="s">
        <v>3154</v>
      </c>
      <c r="F1695" s="20">
        <v>35.503444000000002</v>
      </c>
      <c r="G1695" s="20">
        <v>44.333193999999999</v>
      </c>
      <c r="H1695" s="22">
        <v>646</v>
      </c>
      <c r="I1695" s="22">
        <v>3876</v>
      </c>
      <c r="J1695" s="21">
        <v>5</v>
      </c>
      <c r="K1695" s="21"/>
      <c r="L1695" s="21">
        <v>5</v>
      </c>
      <c r="M1695" s="21"/>
      <c r="N1695" s="21"/>
      <c r="O1695" s="21">
        <v>20</v>
      </c>
      <c r="P1695" s="21"/>
      <c r="Q1695" s="21"/>
      <c r="R1695" s="21">
        <v>536</v>
      </c>
      <c r="S1695" s="21"/>
      <c r="T1695" s="21"/>
      <c r="U1695" s="21"/>
      <c r="V1695" s="21">
        <v>30</v>
      </c>
      <c r="W1695" s="21"/>
      <c r="X1695" s="21">
        <v>50</v>
      </c>
      <c r="Y1695" s="21"/>
      <c r="Z1695" s="21"/>
      <c r="AA1695" s="21"/>
      <c r="AB1695" s="21"/>
      <c r="AC1695" s="21"/>
      <c r="AD1695" s="21"/>
      <c r="AE1695" s="21">
        <v>15</v>
      </c>
      <c r="AF1695" s="21"/>
      <c r="AG1695" s="21"/>
      <c r="AH1695" s="21">
        <v>631</v>
      </c>
      <c r="AI1695" s="21"/>
      <c r="AJ1695" s="21"/>
      <c r="AK1695" s="21"/>
      <c r="AL1695" s="21">
        <v>5</v>
      </c>
      <c r="AM1695" s="21">
        <v>30</v>
      </c>
      <c r="AN1695" s="21">
        <v>60</v>
      </c>
      <c r="AO1695" s="21">
        <v>120</v>
      </c>
      <c r="AP1695" s="21">
        <v>95</v>
      </c>
      <c r="AQ1695" s="21">
        <v>100</v>
      </c>
      <c r="AR1695" s="21">
        <v>135</v>
      </c>
      <c r="AS1695" s="21">
        <v>101</v>
      </c>
      <c r="AT1695" s="12" t="str">
        <f>HYPERLINK("http://www.openstreetmap.org/?mlat=35.5034&amp;mlon=44.3332&amp;zoom=12#map=12/35.5034/44.3332","Maplink1")</f>
        <v>Maplink1</v>
      </c>
      <c r="AU1695" s="12" t="str">
        <f>HYPERLINK("https://www.google.iq/maps/search/+35.5034,44.3332/@35.5034,44.3332,14z?hl=en","Maplink2")</f>
        <v>Maplink2</v>
      </c>
      <c r="AV1695" s="12" t="str">
        <f>HYPERLINK("http://www.bing.com/maps/?lvl=14&amp;sty=h&amp;cp=35.5034~44.3332&amp;sp=point.35.5034_44.3332","Maplink3")</f>
        <v>Maplink3</v>
      </c>
    </row>
    <row r="1696" spans="1:48" ht="15" customHeight="1" x14ac:dyDescent="0.25">
      <c r="A1696" s="19">
        <v>24807</v>
      </c>
      <c r="B1696" s="20" t="s">
        <v>17</v>
      </c>
      <c r="C1696" s="20" t="s">
        <v>17</v>
      </c>
      <c r="D1696" s="20" t="s">
        <v>3155</v>
      </c>
      <c r="E1696" s="20" t="s">
        <v>3156</v>
      </c>
      <c r="F1696" s="20">
        <v>35.471711450000001</v>
      </c>
      <c r="G1696" s="20">
        <v>44.375431509999999</v>
      </c>
      <c r="H1696" s="22">
        <v>70</v>
      </c>
      <c r="I1696" s="22">
        <v>420</v>
      </c>
      <c r="J1696" s="21"/>
      <c r="K1696" s="21"/>
      <c r="L1696" s="21"/>
      <c r="M1696" s="21"/>
      <c r="N1696" s="21"/>
      <c r="O1696" s="21"/>
      <c r="P1696" s="21"/>
      <c r="Q1696" s="21"/>
      <c r="R1696" s="21">
        <v>17</v>
      </c>
      <c r="S1696" s="21"/>
      <c r="T1696" s="21"/>
      <c r="U1696" s="21"/>
      <c r="V1696" s="21">
        <v>13</v>
      </c>
      <c r="W1696" s="21"/>
      <c r="X1696" s="21">
        <v>40</v>
      </c>
      <c r="Y1696" s="21"/>
      <c r="Z1696" s="21"/>
      <c r="AA1696" s="21"/>
      <c r="AB1696" s="21"/>
      <c r="AC1696" s="21"/>
      <c r="AD1696" s="21"/>
      <c r="AE1696" s="21"/>
      <c r="AF1696" s="21"/>
      <c r="AG1696" s="21"/>
      <c r="AH1696" s="21">
        <v>70</v>
      </c>
      <c r="AI1696" s="21"/>
      <c r="AJ1696" s="21"/>
      <c r="AK1696" s="21"/>
      <c r="AL1696" s="21"/>
      <c r="AM1696" s="21">
        <v>2</v>
      </c>
      <c r="AN1696" s="21">
        <v>13</v>
      </c>
      <c r="AO1696" s="21">
        <v>10</v>
      </c>
      <c r="AP1696" s="21">
        <v>10</v>
      </c>
      <c r="AQ1696" s="21">
        <v>20</v>
      </c>
      <c r="AR1696" s="21">
        <v>10</v>
      </c>
      <c r="AS1696" s="21">
        <v>5</v>
      </c>
      <c r="AT1696" s="12" t="str">
        <f>HYPERLINK("http://www.openstreetmap.org/?mlat=35.4717&amp;mlon=44.3754&amp;zoom=12#map=12/35.4717/44.3754","Maplink1")</f>
        <v>Maplink1</v>
      </c>
      <c r="AU1696" s="12" t="str">
        <f>HYPERLINK("https://www.google.iq/maps/search/+35.4717,44.3754/@35.4717,44.3754,14z?hl=en","Maplink2")</f>
        <v>Maplink2</v>
      </c>
      <c r="AV1696" s="12" t="str">
        <f>HYPERLINK("http://www.bing.com/maps/?lvl=14&amp;sty=h&amp;cp=35.4717~44.3754&amp;sp=point.35.4717_44.3754","Maplink3")</f>
        <v>Maplink3</v>
      </c>
    </row>
    <row r="1697" spans="1:48" ht="15" customHeight="1" x14ac:dyDescent="0.25">
      <c r="A1697" s="19">
        <v>15449</v>
      </c>
      <c r="B1697" s="20" t="s">
        <v>17</v>
      </c>
      <c r="C1697" s="20" t="s">
        <v>17</v>
      </c>
      <c r="D1697" s="20" t="s">
        <v>3157</v>
      </c>
      <c r="E1697" s="20" t="s">
        <v>3158</v>
      </c>
      <c r="F1697" s="20">
        <v>35.539777999999998</v>
      </c>
      <c r="G1697" s="20">
        <v>44.282111</v>
      </c>
      <c r="H1697" s="22">
        <v>110</v>
      </c>
      <c r="I1697" s="22">
        <v>660</v>
      </c>
      <c r="J1697" s="21"/>
      <c r="K1697" s="21"/>
      <c r="L1697" s="21"/>
      <c r="M1697" s="21"/>
      <c r="N1697" s="21"/>
      <c r="O1697" s="21"/>
      <c r="P1697" s="21"/>
      <c r="Q1697" s="21"/>
      <c r="R1697" s="21">
        <v>108</v>
      </c>
      <c r="S1697" s="21"/>
      <c r="T1697" s="21"/>
      <c r="U1697" s="21"/>
      <c r="V1697" s="21">
        <v>2</v>
      </c>
      <c r="W1697" s="21"/>
      <c r="X1697" s="21"/>
      <c r="Y1697" s="21"/>
      <c r="Z1697" s="21"/>
      <c r="AA1697" s="21"/>
      <c r="AB1697" s="21"/>
      <c r="AC1697" s="21">
        <v>25</v>
      </c>
      <c r="AD1697" s="21"/>
      <c r="AE1697" s="21"/>
      <c r="AF1697" s="21"/>
      <c r="AG1697" s="21"/>
      <c r="AH1697" s="21">
        <v>80</v>
      </c>
      <c r="AI1697" s="21"/>
      <c r="AJ1697" s="21">
        <v>5</v>
      </c>
      <c r="AK1697" s="21"/>
      <c r="AL1697" s="21"/>
      <c r="AM1697" s="21">
        <v>2</v>
      </c>
      <c r="AN1697" s="21"/>
      <c r="AO1697" s="21">
        <v>10</v>
      </c>
      <c r="AP1697" s="21">
        <v>20</v>
      </c>
      <c r="AQ1697" s="21">
        <v>25</v>
      </c>
      <c r="AR1697" s="21">
        <v>18</v>
      </c>
      <c r="AS1697" s="21">
        <v>35</v>
      </c>
      <c r="AT1697" s="12" t="str">
        <f>HYPERLINK("http://www.openstreetmap.org/?mlat=35.5398&amp;mlon=44.2821&amp;zoom=12#map=12/35.5398/44.2821","Maplink1")</f>
        <v>Maplink1</v>
      </c>
      <c r="AU1697" s="12" t="str">
        <f>HYPERLINK("https://www.google.iq/maps/search/+35.5398,44.2821/@35.5398,44.2821,14z?hl=en","Maplink2")</f>
        <v>Maplink2</v>
      </c>
      <c r="AV1697" s="12" t="str">
        <f>HYPERLINK("http://www.bing.com/maps/?lvl=14&amp;sty=h&amp;cp=35.5398~44.2821&amp;sp=point.35.5398_44.2821","Maplink3")</f>
        <v>Maplink3</v>
      </c>
    </row>
    <row r="1698" spans="1:48" ht="15" customHeight="1" x14ac:dyDescent="0.25">
      <c r="A1698" s="19">
        <v>22847</v>
      </c>
      <c r="B1698" s="20" t="s">
        <v>17</v>
      </c>
      <c r="C1698" s="20" t="s">
        <v>17</v>
      </c>
      <c r="D1698" s="20" t="s">
        <v>3159</v>
      </c>
      <c r="E1698" s="20" t="s">
        <v>3160</v>
      </c>
      <c r="F1698" s="20">
        <v>35.355350060900001</v>
      </c>
      <c r="G1698" s="20">
        <v>44.312449882499997</v>
      </c>
      <c r="H1698" s="22">
        <v>195</v>
      </c>
      <c r="I1698" s="22">
        <v>1170</v>
      </c>
      <c r="J1698" s="21">
        <v>2</v>
      </c>
      <c r="K1698" s="21"/>
      <c r="L1698" s="21"/>
      <c r="M1698" s="21"/>
      <c r="N1698" s="21"/>
      <c r="O1698" s="21">
        <v>5</v>
      </c>
      <c r="P1698" s="21"/>
      <c r="Q1698" s="21"/>
      <c r="R1698" s="21">
        <v>185</v>
      </c>
      <c r="S1698" s="21"/>
      <c r="T1698" s="21"/>
      <c r="U1698" s="21"/>
      <c r="V1698" s="21"/>
      <c r="W1698" s="21"/>
      <c r="X1698" s="21">
        <v>3</v>
      </c>
      <c r="Y1698" s="21"/>
      <c r="Z1698" s="21"/>
      <c r="AA1698" s="21"/>
      <c r="AB1698" s="21"/>
      <c r="AC1698" s="21">
        <v>35</v>
      </c>
      <c r="AD1698" s="21"/>
      <c r="AE1698" s="21">
        <v>35</v>
      </c>
      <c r="AF1698" s="21"/>
      <c r="AG1698" s="21"/>
      <c r="AH1698" s="21">
        <v>125</v>
      </c>
      <c r="AI1698" s="21"/>
      <c r="AJ1698" s="21"/>
      <c r="AK1698" s="21"/>
      <c r="AL1698" s="21"/>
      <c r="AM1698" s="21">
        <v>5</v>
      </c>
      <c r="AN1698" s="21">
        <v>5</v>
      </c>
      <c r="AO1698" s="21">
        <v>5</v>
      </c>
      <c r="AP1698" s="21">
        <v>50</v>
      </c>
      <c r="AQ1698" s="21">
        <v>30</v>
      </c>
      <c r="AR1698" s="21">
        <v>55</v>
      </c>
      <c r="AS1698" s="21">
        <v>45</v>
      </c>
      <c r="AT1698" s="12" t="str">
        <f>HYPERLINK("http://www.openstreetmap.org/?mlat=35.3554&amp;mlon=44.3124&amp;zoom=12#map=12/35.3554/44.3124","Maplink1")</f>
        <v>Maplink1</v>
      </c>
      <c r="AU1698" s="12" t="str">
        <f>HYPERLINK("https://www.google.iq/maps/search/+35.3554,44.3124/@35.3554,44.3124,14z?hl=en","Maplink2")</f>
        <v>Maplink2</v>
      </c>
      <c r="AV1698" s="12" t="str">
        <f>HYPERLINK("http://www.bing.com/maps/?lvl=14&amp;sty=h&amp;cp=35.3554~44.3124&amp;sp=point.35.3554_44.3124","Maplink3")</f>
        <v>Maplink3</v>
      </c>
    </row>
    <row r="1699" spans="1:48" ht="15" customHeight="1" x14ac:dyDescent="0.25">
      <c r="A1699" s="19">
        <v>25556</v>
      </c>
      <c r="B1699" s="20" t="s">
        <v>17</v>
      </c>
      <c r="C1699" s="20" t="s">
        <v>17</v>
      </c>
      <c r="D1699" s="20" t="s">
        <v>3161</v>
      </c>
      <c r="E1699" s="20" t="s">
        <v>3162</v>
      </c>
      <c r="F1699" s="20">
        <v>35.481923999999999</v>
      </c>
      <c r="G1699" s="20">
        <v>44.420259999999999</v>
      </c>
      <c r="H1699" s="22">
        <v>45</v>
      </c>
      <c r="I1699" s="22">
        <v>270</v>
      </c>
      <c r="J1699" s="21">
        <v>2</v>
      </c>
      <c r="K1699" s="21"/>
      <c r="L1699" s="21"/>
      <c r="M1699" s="21"/>
      <c r="N1699" s="21"/>
      <c r="O1699" s="21"/>
      <c r="P1699" s="21"/>
      <c r="Q1699" s="21"/>
      <c r="R1699" s="21">
        <v>10</v>
      </c>
      <c r="S1699" s="21"/>
      <c r="T1699" s="21"/>
      <c r="U1699" s="21"/>
      <c r="V1699" s="21">
        <v>3</v>
      </c>
      <c r="W1699" s="21"/>
      <c r="X1699" s="21">
        <v>30</v>
      </c>
      <c r="Y1699" s="21"/>
      <c r="Z1699" s="21"/>
      <c r="AA1699" s="21"/>
      <c r="AB1699" s="21"/>
      <c r="AC1699" s="21"/>
      <c r="AD1699" s="21"/>
      <c r="AE1699" s="21"/>
      <c r="AF1699" s="21"/>
      <c r="AG1699" s="21"/>
      <c r="AH1699" s="21">
        <v>45</v>
      </c>
      <c r="AI1699" s="21"/>
      <c r="AJ1699" s="21"/>
      <c r="AK1699" s="21"/>
      <c r="AL1699" s="21">
        <v>2</v>
      </c>
      <c r="AM1699" s="21">
        <v>28</v>
      </c>
      <c r="AN1699" s="21">
        <v>5</v>
      </c>
      <c r="AO1699" s="21"/>
      <c r="AP1699" s="21"/>
      <c r="AQ1699" s="21"/>
      <c r="AR1699" s="21">
        <v>5</v>
      </c>
      <c r="AS1699" s="21">
        <v>5</v>
      </c>
      <c r="AT1699" s="12" t="str">
        <f>HYPERLINK("http://www.openstreetmap.org/?mlat=35.4819&amp;mlon=44.4203&amp;zoom=12#map=12/35.4819/44.4203","Maplink1")</f>
        <v>Maplink1</v>
      </c>
      <c r="AU1699" s="12" t="str">
        <f>HYPERLINK("https://www.google.iq/maps/search/+35.4819,44.4203/@35.4819,44.4203,14z?hl=en","Maplink2")</f>
        <v>Maplink2</v>
      </c>
      <c r="AV1699" s="12" t="str">
        <f>HYPERLINK("http://www.bing.com/maps/?lvl=14&amp;sty=h&amp;cp=35.4819~44.4203&amp;sp=point.35.4819_44.4203","Maplink3")</f>
        <v>Maplink3</v>
      </c>
    </row>
    <row r="1700" spans="1:48" ht="15" customHeight="1" x14ac:dyDescent="0.25">
      <c r="A1700" s="19">
        <v>15603</v>
      </c>
      <c r="B1700" s="20" t="s">
        <v>17</v>
      </c>
      <c r="C1700" s="20" t="s">
        <v>17</v>
      </c>
      <c r="D1700" s="20" t="s">
        <v>3163</v>
      </c>
      <c r="E1700" s="20" t="s">
        <v>3164</v>
      </c>
      <c r="F1700" s="20">
        <v>35.397255000000001</v>
      </c>
      <c r="G1700" s="20">
        <v>44.363176000000003</v>
      </c>
      <c r="H1700" s="22">
        <v>120</v>
      </c>
      <c r="I1700" s="22">
        <v>720</v>
      </c>
      <c r="J1700" s="21">
        <v>20</v>
      </c>
      <c r="K1700" s="21"/>
      <c r="L1700" s="21"/>
      <c r="M1700" s="21"/>
      <c r="N1700" s="21"/>
      <c r="O1700" s="21"/>
      <c r="P1700" s="21"/>
      <c r="Q1700" s="21"/>
      <c r="R1700" s="21">
        <v>40</v>
      </c>
      <c r="S1700" s="21"/>
      <c r="T1700" s="21"/>
      <c r="U1700" s="21"/>
      <c r="V1700" s="21">
        <v>20</v>
      </c>
      <c r="W1700" s="21"/>
      <c r="X1700" s="21">
        <v>40</v>
      </c>
      <c r="Y1700" s="21"/>
      <c r="Z1700" s="21"/>
      <c r="AA1700" s="21"/>
      <c r="AB1700" s="21"/>
      <c r="AC1700" s="21"/>
      <c r="AD1700" s="21"/>
      <c r="AE1700" s="21">
        <v>40</v>
      </c>
      <c r="AF1700" s="21"/>
      <c r="AG1700" s="21"/>
      <c r="AH1700" s="21">
        <v>80</v>
      </c>
      <c r="AI1700" s="21"/>
      <c r="AJ1700" s="21"/>
      <c r="AK1700" s="21"/>
      <c r="AL1700" s="21">
        <v>5</v>
      </c>
      <c r="AM1700" s="21">
        <v>10</v>
      </c>
      <c r="AN1700" s="21"/>
      <c r="AO1700" s="21">
        <v>15</v>
      </c>
      <c r="AP1700" s="21">
        <v>30</v>
      </c>
      <c r="AQ1700" s="21">
        <v>20</v>
      </c>
      <c r="AR1700" s="21">
        <v>10</v>
      </c>
      <c r="AS1700" s="21">
        <v>30</v>
      </c>
      <c r="AT1700" s="12" t="str">
        <f>HYPERLINK("http://www.openstreetmap.org/?mlat=35.3973&amp;mlon=44.3632&amp;zoom=12#map=12/35.3973/44.3632","Maplink1")</f>
        <v>Maplink1</v>
      </c>
      <c r="AU1700" s="12" t="str">
        <f>HYPERLINK("https://www.google.iq/maps/search/+35.3973,44.3632/@35.3973,44.3632,14z?hl=en","Maplink2")</f>
        <v>Maplink2</v>
      </c>
      <c r="AV1700" s="12" t="str">
        <f>HYPERLINK("http://www.bing.com/maps/?lvl=14&amp;sty=h&amp;cp=35.3973~44.3632&amp;sp=point.35.3973_44.3632","Maplink3")</f>
        <v>Maplink3</v>
      </c>
    </row>
    <row r="1701" spans="1:48" ht="15" customHeight="1" x14ac:dyDescent="0.25">
      <c r="A1701" s="19">
        <v>15624</v>
      </c>
      <c r="B1701" s="20" t="s">
        <v>17</v>
      </c>
      <c r="C1701" s="20" t="s">
        <v>17</v>
      </c>
      <c r="D1701" s="20" t="s">
        <v>3165</v>
      </c>
      <c r="E1701" s="20" t="s">
        <v>3166</v>
      </c>
      <c r="F1701" s="20">
        <v>35.416738000000002</v>
      </c>
      <c r="G1701" s="20">
        <v>44.376430999999997</v>
      </c>
      <c r="H1701" s="22">
        <v>210</v>
      </c>
      <c r="I1701" s="22">
        <v>1260</v>
      </c>
      <c r="J1701" s="21">
        <v>15</v>
      </c>
      <c r="K1701" s="21"/>
      <c r="L1701" s="21"/>
      <c r="M1701" s="21"/>
      <c r="N1701" s="21"/>
      <c r="O1701" s="21">
        <v>3</v>
      </c>
      <c r="P1701" s="21"/>
      <c r="Q1701" s="21"/>
      <c r="R1701" s="21">
        <v>150</v>
      </c>
      <c r="S1701" s="21"/>
      <c r="T1701" s="21"/>
      <c r="U1701" s="21"/>
      <c r="V1701" s="21">
        <v>17</v>
      </c>
      <c r="W1701" s="21"/>
      <c r="X1701" s="21">
        <v>25</v>
      </c>
      <c r="Y1701" s="21"/>
      <c r="Z1701" s="21"/>
      <c r="AA1701" s="21"/>
      <c r="AB1701" s="21"/>
      <c r="AC1701" s="21"/>
      <c r="AD1701" s="21"/>
      <c r="AE1701" s="21"/>
      <c r="AF1701" s="21"/>
      <c r="AG1701" s="21"/>
      <c r="AH1701" s="21">
        <v>210</v>
      </c>
      <c r="AI1701" s="21"/>
      <c r="AJ1701" s="21"/>
      <c r="AK1701" s="21"/>
      <c r="AL1701" s="21"/>
      <c r="AM1701" s="21">
        <v>4</v>
      </c>
      <c r="AN1701" s="21">
        <v>4</v>
      </c>
      <c r="AO1701" s="21">
        <v>45</v>
      </c>
      <c r="AP1701" s="21">
        <v>30</v>
      </c>
      <c r="AQ1701" s="21">
        <v>34</v>
      </c>
      <c r="AR1701" s="21">
        <v>60</v>
      </c>
      <c r="AS1701" s="21">
        <v>33</v>
      </c>
      <c r="AT1701" s="12" t="str">
        <f>HYPERLINK("http://www.openstreetmap.org/?mlat=35.4167&amp;mlon=44.3764&amp;zoom=12#map=12/35.4167/44.3764","Maplink1")</f>
        <v>Maplink1</v>
      </c>
      <c r="AU1701" s="12" t="str">
        <f>HYPERLINK("https://www.google.iq/maps/search/+35.4167,44.3764/@35.4167,44.3764,14z?hl=en","Maplink2")</f>
        <v>Maplink2</v>
      </c>
      <c r="AV1701" s="12" t="str">
        <f>HYPERLINK("http://www.bing.com/maps/?lvl=14&amp;sty=h&amp;cp=35.4167~44.3764&amp;sp=point.35.4167_44.3764","Maplink3")</f>
        <v>Maplink3</v>
      </c>
    </row>
    <row r="1702" spans="1:48" ht="15" customHeight="1" x14ac:dyDescent="0.25">
      <c r="A1702" s="19">
        <v>14907</v>
      </c>
      <c r="B1702" s="20" t="s">
        <v>17</v>
      </c>
      <c r="C1702" s="20" t="s">
        <v>17</v>
      </c>
      <c r="D1702" s="20" t="s">
        <v>3167</v>
      </c>
      <c r="E1702" s="20" t="s">
        <v>3168</v>
      </c>
      <c r="F1702" s="20">
        <v>35.492221999999998</v>
      </c>
      <c r="G1702" s="20">
        <v>44.353889000000002</v>
      </c>
      <c r="H1702" s="22">
        <v>101</v>
      </c>
      <c r="I1702" s="22">
        <v>606</v>
      </c>
      <c r="J1702" s="21"/>
      <c r="K1702" s="21"/>
      <c r="L1702" s="21"/>
      <c r="M1702" s="21"/>
      <c r="N1702" s="21"/>
      <c r="O1702" s="21"/>
      <c r="P1702" s="21"/>
      <c r="Q1702" s="21"/>
      <c r="R1702" s="21">
        <v>101</v>
      </c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21"/>
      <c r="AH1702" s="21">
        <v>92</v>
      </c>
      <c r="AI1702" s="21"/>
      <c r="AJ1702" s="21">
        <v>9</v>
      </c>
      <c r="AK1702" s="21"/>
      <c r="AL1702" s="21"/>
      <c r="AM1702" s="21"/>
      <c r="AN1702" s="21">
        <v>5</v>
      </c>
      <c r="AO1702" s="21">
        <v>5</v>
      </c>
      <c r="AP1702" s="21">
        <v>14</v>
      </c>
      <c r="AQ1702" s="21">
        <v>22</v>
      </c>
      <c r="AR1702" s="21">
        <v>40</v>
      </c>
      <c r="AS1702" s="21">
        <v>15</v>
      </c>
      <c r="AT1702" s="12" t="str">
        <f>HYPERLINK("http://www.openstreetmap.org/?mlat=35.4922&amp;mlon=44.3539&amp;zoom=12#map=12/35.4922/44.3539","Maplink1")</f>
        <v>Maplink1</v>
      </c>
      <c r="AU1702" s="12" t="str">
        <f>HYPERLINK("https://www.google.iq/maps/search/+35.4922,44.3539/@35.4922,44.3539,14z?hl=en","Maplink2")</f>
        <v>Maplink2</v>
      </c>
      <c r="AV1702" s="12" t="str">
        <f>HYPERLINK("http://www.bing.com/maps/?lvl=14&amp;sty=h&amp;cp=35.4922~44.3539&amp;sp=point.35.4922_44.3539","Maplink3")</f>
        <v>Maplink3</v>
      </c>
    </row>
    <row r="1703" spans="1:48" ht="15" customHeight="1" x14ac:dyDescent="0.25">
      <c r="A1703" s="19">
        <v>24779</v>
      </c>
      <c r="B1703" s="20" t="s">
        <v>17</v>
      </c>
      <c r="C1703" s="20" t="s">
        <v>17</v>
      </c>
      <c r="D1703" s="20" t="s">
        <v>3169</v>
      </c>
      <c r="E1703" s="20" t="s">
        <v>3170</v>
      </c>
      <c r="F1703" s="20">
        <v>35.450612999999997</v>
      </c>
      <c r="G1703" s="20">
        <v>44.371248000000001</v>
      </c>
      <c r="H1703" s="22">
        <v>72</v>
      </c>
      <c r="I1703" s="22">
        <v>432</v>
      </c>
      <c r="J1703" s="21"/>
      <c r="K1703" s="21"/>
      <c r="L1703" s="21"/>
      <c r="M1703" s="21"/>
      <c r="N1703" s="21"/>
      <c r="O1703" s="21"/>
      <c r="P1703" s="21"/>
      <c r="Q1703" s="21"/>
      <c r="R1703" s="21">
        <v>40</v>
      </c>
      <c r="S1703" s="21"/>
      <c r="T1703" s="21"/>
      <c r="U1703" s="21"/>
      <c r="V1703" s="21">
        <v>10</v>
      </c>
      <c r="W1703" s="21"/>
      <c r="X1703" s="21">
        <v>22</v>
      </c>
      <c r="Y1703" s="21"/>
      <c r="Z1703" s="21"/>
      <c r="AA1703" s="21"/>
      <c r="AB1703" s="21"/>
      <c r="AC1703" s="21">
        <v>15</v>
      </c>
      <c r="AD1703" s="21"/>
      <c r="AE1703" s="21"/>
      <c r="AF1703" s="21"/>
      <c r="AG1703" s="21"/>
      <c r="AH1703" s="21">
        <v>55</v>
      </c>
      <c r="AI1703" s="21"/>
      <c r="AJ1703" s="21">
        <v>2</v>
      </c>
      <c r="AK1703" s="21"/>
      <c r="AL1703" s="21"/>
      <c r="AM1703" s="21">
        <v>8</v>
      </c>
      <c r="AN1703" s="21">
        <v>15</v>
      </c>
      <c r="AO1703" s="21">
        <v>2</v>
      </c>
      <c r="AP1703" s="21">
        <v>12</v>
      </c>
      <c r="AQ1703" s="21">
        <v>15</v>
      </c>
      <c r="AR1703" s="21">
        <v>15</v>
      </c>
      <c r="AS1703" s="21">
        <v>5</v>
      </c>
      <c r="AT1703" s="12" t="str">
        <f>HYPERLINK("http://www.openstreetmap.org/?mlat=35.4506&amp;mlon=44.3712&amp;zoom=12#map=12/35.4506/44.3712","Maplink1")</f>
        <v>Maplink1</v>
      </c>
      <c r="AU1703" s="12" t="str">
        <f>HYPERLINK("https://www.google.iq/maps/search/+35.4506,44.3712/@35.4506,44.3712,14z?hl=en","Maplink2")</f>
        <v>Maplink2</v>
      </c>
      <c r="AV1703" s="12" t="str">
        <f>HYPERLINK("http://www.bing.com/maps/?lvl=14&amp;sty=h&amp;cp=35.4506~44.3712&amp;sp=point.35.4506_44.3712","Maplink3")</f>
        <v>Maplink3</v>
      </c>
    </row>
    <row r="1704" spans="1:48" ht="15" customHeight="1" x14ac:dyDescent="0.25">
      <c r="A1704" s="19">
        <v>22296</v>
      </c>
      <c r="B1704" s="20" t="s">
        <v>17</v>
      </c>
      <c r="C1704" s="20" t="s">
        <v>17</v>
      </c>
      <c r="D1704" s="20" t="s">
        <v>3171</v>
      </c>
      <c r="E1704" s="20" t="s">
        <v>3172</v>
      </c>
      <c r="F1704" s="20">
        <v>35.410238790000001</v>
      </c>
      <c r="G1704" s="20">
        <v>44.32746788</v>
      </c>
      <c r="H1704" s="22">
        <v>2015</v>
      </c>
      <c r="I1704" s="22">
        <v>12090</v>
      </c>
      <c r="J1704" s="21">
        <v>110</v>
      </c>
      <c r="K1704" s="21"/>
      <c r="L1704" s="21">
        <v>5</v>
      </c>
      <c r="M1704" s="21"/>
      <c r="N1704" s="21"/>
      <c r="O1704" s="21">
        <v>115</v>
      </c>
      <c r="P1704" s="21"/>
      <c r="Q1704" s="21"/>
      <c r="R1704" s="21">
        <v>1380</v>
      </c>
      <c r="S1704" s="21"/>
      <c r="T1704" s="21"/>
      <c r="U1704" s="21"/>
      <c r="V1704" s="21">
        <v>180</v>
      </c>
      <c r="W1704" s="21"/>
      <c r="X1704" s="21">
        <v>225</v>
      </c>
      <c r="Y1704" s="21"/>
      <c r="Z1704" s="21"/>
      <c r="AA1704" s="21"/>
      <c r="AB1704" s="21"/>
      <c r="AC1704" s="21">
        <v>40</v>
      </c>
      <c r="AD1704" s="21"/>
      <c r="AE1704" s="21">
        <v>330</v>
      </c>
      <c r="AF1704" s="21"/>
      <c r="AG1704" s="21"/>
      <c r="AH1704" s="21">
        <v>1595</v>
      </c>
      <c r="AI1704" s="21"/>
      <c r="AJ1704" s="21">
        <v>50</v>
      </c>
      <c r="AK1704" s="21"/>
      <c r="AL1704" s="21">
        <v>30</v>
      </c>
      <c r="AM1704" s="21">
        <v>560</v>
      </c>
      <c r="AN1704" s="21">
        <v>305</v>
      </c>
      <c r="AO1704" s="21">
        <v>425</v>
      </c>
      <c r="AP1704" s="21">
        <v>330</v>
      </c>
      <c r="AQ1704" s="21">
        <v>70</v>
      </c>
      <c r="AR1704" s="21">
        <v>150</v>
      </c>
      <c r="AS1704" s="21">
        <v>145</v>
      </c>
      <c r="AT1704" s="12" t="str">
        <f>HYPERLINK("http://www.openstreetmap.org/?mlat=35.4102&amp;mlon=44.3275&amp;zoom=12#map=12/35.4102/44.3275","Maplink1")</f>
        <v>Maplink1</v>
      </c>
      <c r="AU1704" s="12" t="str">
        <f>HYPERLINK("https://www.google.iq/maps/search/+35.4102,44.3275/@35.4102,44.3275,14z?hl=en","Maplink2")</f>
        <v>Maplink2</v>
      </c>
      <c r="AV1704" s="12" t="str">
        <f>HYPERLINK("http://www.bing.com/maps/?lvl=14&amp;sty=h&amp;cp=35.4102~44.3275&amp;sp=point.35.4102_44.3275","Maplink3")</f>
        <v>Maplink3</v>
      </c>
    </row>
    <row r="1705" spans="1:48" ht="15" customHeight="1" x14ac:dyDescent="0.25">
      <c r="A1705" s="19">
        <v>24089</v>
      </c>
      <c r="B1705" s="20" t="s">
        <v>17</v>
      </c>
      <c r="C1705" s="20" t="s">
        <v>17</v>
      </c>
      <c r="D1705" s="20" t="s">
        <v>3173</v>
      </c>
      <c r="E1705" s="20" t="s">
        <v>3174</v>
      </c>
      <c r="F1705" s="20">
        <v>35.433863930000001</v>
      </c>
      <c r="G1705" s="20">
        <v>44.368752950000001</v>
      </c>
      <c r="H1705" s="22">
        <v>70</v>
      </c>
      <c r="I1705" s="22">
        <v>420</v>
      </c>
      <c r="J1705" s="21">
        <v>3</v>
      </c>
      <c r="K1705" s="21"/>
      <c r="L1705" s="21"/>
      <c r="M1705" s="21"/>
      <c r="N1705" s="21"/>
      <c r="O1705" s="21"/>
      <c r="P1705" s="21"/>
      <c r="Q1705" s="21"/>
      <c r="R1705" s="21">
        <v>20</v>
      </c>
      <c r="S1705" s="21"/>
      <c r="T1705" s="21"/>
      <c r="U1705" s="21"/>
      <c r="V1705" s="21">
        <v>17</v>
      </c>
      <c r="W1705" s="21"/>
      <c r="X1705" s="21">
        <v>30</v>
      </c>
      <c r="Y1705" s="21"/>
      <c r="Z1705" s="21"/>
      <c r="AA1705" s="21"/>
      <c r="AB1705" s="21"/>
      <c r="AC1705" s="21"/>
      <c r="AD1705" s="21"/>
      <c r="AE1705" s="21"/>
      <c r="AF1705" s="21"/>
      <c r="AG1705" s="21"/>
      <c r="AH1705" s="21">
        <v>70</v>
      </c>
      <c r="AI1705" s="21"/>
      <c r="AJ1705" s="21"/>
      <c r="AK1705" s="21"/>
      <c r="AL1705" s="21">
        <v>3</v>
      </c>
      <c r="AM1705" s="21">
        <v>12</v>
      </c>
      <c r="AN1705" s="21">
        <v>15</v>
      </c>
      <c r="AO1705" s="21"/>
      <c r="AP1705" s="21">
        <v>15</v>
      </c>
      <c r="AQ1705" s="21">
        <v>10</v>
      </c>
      <c r="AR1705" s="21">
        <v>15</v>
      </c>
      <c r="AS1705" s="21"/>
      <c r="AT1705" s="12" t="str">
        <f>HYPERLINK("http://www.openstreetmap.org/?mlat=35.4339&amp;mlon=44.3688&amp;zoom=12#map=12/35.4339/44.3688","Maplink1")</f>
        <v>Maplink1</v>
      </c>
      <c r="AU1705" s="12" t="str">
        <f>HYPERLINK("https://www.google.iq/maps/search/+35.4339,44.3688/@35.4339,44.3688,14z?hl=en","Maplink2")</f>
        <v>Maplink2</v>
      </c>
      <c r="AV1705" s="12" t="str">
        <f>HYPERLINK("http://www.bing.com/maps/?lvl=14&amp;sty=h&amp;cp=35.4339~44.3688&amp;sp=point.35.4339_44.3688","Maplink3")</f>
        <v>Maplink3</v>
      </c>
    </row>
    <row r="1706" spans="1:48" ht="15" customHeight="1" x14ac:dyDescent="0.25">
      <c r="A1706" s="19">
        <v>15582</v>
      </c>
      <c r="B1706" s="20" t="s">
        <v>17</v>
      </c>
      <c r="C1706" s="20" t="s">
        <v>17</v>
      </c>
      <c r="D1706" s="20" t="s">
        <v>3175</v>
      </c>
      <c r="E1706" s="20" t="s">
        <v>3176</v>
      </c>
      <c r="F1706" s="20">
        <v>35.48081234</v>
      </c>
      <c r="G1706" s="20">
        <v>44.390086789999998</v>
      </c>
      <c r="H1706" s="22">
        <v>80</v>
      </c>
      <c r="I1706" s="22">
        <v>480</v>
      </c>
      <c r="J1706" s="21"/>
      <c r="K1706" s="21"/>
      <c r="L1706" s="21"/>
      <c r="M1706" s="21"/>
      <c r="N1706" s="21"/>
      <c r="O1706" s="21"/>
      <c r="P1706" s="21"/>
      <c r="Q1706" s="21"/>
      <c r="R1706" s="21">
        <v>10</v>
      </c>
      <c r="S1706" s="21"/>
      <c r="T1706" s="21"/>
      <c r="U1706" s="21"/>
      <c r="V1706" s="21">
        <v>30</v>
      </c>
      <c r="W1706" s="21"/>
      <c r="X1706" s="21">
        <v>40</v>
      </c>
      <c r="Y1706" s="21"/>
      <c r="Z1706" s="21"/>
      <c r="AA1706" s="21"/>
      <c r="AB1706" s="21"/>
      <c r="AC1706" s="21"/>
      <c r="AD1706" s="21"/>
      <c r="AE1706" s="21"/>
      <c r="AF1706" s="21"/>
      <c r="AG1706" s="21">
        <v>10</v>
      </c>
      <c r="AH1706" s="21">
        <v>70</v>
      </c>
      <c r="AI1706" s="21"/>
      <c r="AJ1706" s="21"/>
      <c r="AK1706" s="21"/>
      <c r="AL1706" s="21"/>
      <c r="AM1706" s="21">
        <v>34</v>
      </c>
      <c r="AN1706" s="21">
        <v>21</v>
      </c>
      <c r="AO1706" s="21"/>
      <c r="AP1706" s="21">
        <v>15</v>
      </c>
      <c r="AQ1706" s="21">
        <v>5</v>
      </c>
      <c r="AR1706" s="21">
        <v>5</v>
      </c>
      <c r="AS1706" s="21"/>
      <c r="AT1706" s="12" t="str">
        <f>HYPERLINK("http://www.openstreetmap.org/?mlat=35.4808&amp;mlon=44.3901&amp;zoom=12#map=12/35.4808/44.3901","Maplink1")</f>
        <v>Maplink1</v>
      </c>
      <c r="AU1706" s="12" t="str">
        <f>HYPERLINK("https://www.google.iq/maps/search/+35.4808,44.3901/@35.4808,44.3901,14z?hl=en","Maplink2")</f>
        <v>Maplink2</v>
      </c>
      <c r="AV1706" s="12" t="str">
        <f>HYPERLINK("http://www.bing.com/maps/?lvl=14&amp;sty=h&amp;cp=35.4808~44.3901&amp;sp=point.35.4808_44.3901","Maplink3")</f>
        <v>Maplink3</v>
      </c>
    </row>
    <row r="1707" spans="1:48" ht="15" customHeight="1" x14ac:dyDescent="0.25">
      <c r="A1707" s="19">
        <v>21016</v>
      </c>
      <c r="B1707" s="20" t="s">
        <v>17</v>
      </c>
      <c r="C1707" s="20" t="s">
        <v>17</v>
      </c>
      <c r="D1707" s="20" t="s">
        <v>5656</v>
      </c>
      <c r="E1707" s="20" t="s">
        <v>296</v>
      </c>
      <c r="F1707" s="20">
        <v>35.425849021499999</v>
      </c>
      <c r="G1707" s="20">
        <v>44.404366879500003</v>
      </c>
      <c r="H1707" s="22">
        <v>420</v>
      </c>
      <c r="I1707" s="22">
        <v>2520</v>
      </c>
      <c r="J1707" s="21">
        <v>35</v>
      </c>
      <c r="K1707" s="21"/>
      <c r="L1707" s="21">
        <v>15</v>
      </c>
      <c r="M1707" s="21"/>
      <c r="N1707" s="21"/>
      <c r="O1707" s="21">
        <v>60</v>
      </c>
      <c r="P1707" s="21"/>
      <c r="Q1707" s="21"/>
      <c r="R1707" s="21">
        <v>135</v>
      </c>
      <c r="S1707" s="21"/>
      <c r="T1707" s="21"/>
      <c r="U1707" s="21"/>
      <c r="V1707" s="21">
        <v>75</v>
      </c>
      <c r="W1707" s="21"/>
      <c r="X1707" s="21">
        <v>100</v>
      </c>
      <c r="Y1707" s="21"/>
      <c r="Z1707" s="21"/>
      <c r="AA1707" s="21"/>
      <c r="AB1707" s="21"/>
      <c r="AC1707" s="21">
        <v>20</v>
      </c>
      <c r="AD1707" s="21"/>
      <c r="AE1707" s="21"/>
      <c r="AF1707" s="21"/>
      <c r="AG1707" s="21"/>
      <c r="AH1707" s="21">
        <v>400</v>
      </c>
      <c r="AI1707" s="21"/>
      <c r="AJ1707" s="21"/>
      <c r="AK1707" s="21"/>
      <c r="AL1707" s="21">
        <v>15</v>
      </c>
      <c r="AM1707" s="21">
        <v>85</v>
      </c>
      <c r="AN1707" s="21">
        <v>40</v>
      </c>
      <c r="AO1707" s="21">
        <v>100</v>
      </c>
      <c r="AP1707" s="21">
        <v>60</v>
      </c>
      <c r="AQ1707" s="21">
        <v>70</v>
      </c>
      <c r="AR1707" s="21">
        <v>30</v>
      </c>
      <c r="AS1707" s="21">
        <v>20</v>
      </c>
      <c r="AT1707" s="12" t="str">
        <f>HYPERLINK("http://www.openstreetmap.org/?mlat=35.4258&amp;mlon=44.4044&amp;zoom=12#map=12/35.4258/44.4044","Maplink1")</f>
        <v>Maplink1</v>
      </c>
      <c r="AU1707" s="12" t="str">
        <f>HYPERLINK("https://www.google.iq/maps/search/+35.4258,44.4044/@35.4258,44.4044,14z?hl=en","Maplink2")</f>
        <v>Maplink2</v>
      </c>
      <c r="AV1707" s="12" t="str">
        <f>HYPERLINK("http://www.bing.com/maps/?lvl=14&amp;sty=h&amp;cp=35.4258~44.4044&amp;sp=point.35.4258_44.4044","Maplink3")</f>
        <v>Maplink3</v>
      </c>
    </row>
    <row r="1708" spans="1:48" ht="15" customHeight="1" x14ac:dyDescent="0.25">
      <c r="A1708" s="19">
        <v>24780</v>
      </c>
      <c r="B1708" s="20" t="s">
        <v>17</v>
      </c>
      <c r="C1708" s="20" t="s">
        <v>17</v>
      </c>
      <c r="D1708" s="20" t="s">
        <v>3177</v>
      </c>
      <c r="E1708" s="20" t="s">
        <v>3178</v>
      </c>
      <c r="F1708" s="20">
        <v>35.415928853799997</v>
      </c>
      <c r="G1708" s="20">
        <v>44.338357206600001</v>
      </c>
      <c r="H1708" s="22">
        <v>370</v>
      </c>
      <c r="I1708" s="22">
        <v>2220</v>
      </c>
      <c r="J1708" s="21">
        <v>6</v>
      </c>
      <c r="K1708" s="21"/>
      <c r="L1708" s="21">
        <v>17</v>
      </c>
      <c r="M1708" s="21"/>
      <c r="N1708" s="21"/>
      <c r="O1708" s="21">
        <v>10</v>
      </c>
      <c r="P1708" s="21"/>
      <c r="Q1708" s="21"/>
      <c r="R1708" s="21">
        <v>225</v>
      </c>
      <c r="S1708" s="21"/>
      <c r="T1708" s="21"/>
      <c r="U1708" s="21"/>
      <c r="V1708" s="21">
        <v>19</v>
      </c>
      <c r="W1708" s="21"/>
      <c r="X1708" s="21">
        <v>93</v>
      </c>
      <c r="Y1708" s="21"/>
      <c r="Z1708" s="21"/>
      <c r="AA1708" s="21"/>
      <c r="AB1708" s="21"/>
      <c r="AC1708" s="21">
        <v>15</v>
      </c>
      <c r="AD1708" s="21"/>
      <c r="AE1708" s="21"/>
      <c r="AF1708" s="21"/>
      <c r="AG1708" s="21"/>
      <c r="AH1708" s="21">
        <v>355</v>
      </c>
      <c r="AI1708" s="21"/>
      <c r="AJ1708" s="21"/>
      <c r="AK1708" s="21"/>
      <c r="AL1708" s="21">
        <v>5</v>
      </c>
      <c r="AM1708" s="21">
        <v>25</v>
      </c>
      <c r="AN1708" s="21">
        <v>45</v>
      </c>
      <c r="AO1708" s="21">
        <v>50</v>
      </c>
      <c r="AP1708" s="21">
        <v>80</v>
      </c>
      <c r="AQ1708" s="21">
        <v>70</v>
      </c>
      <c r="AR1708" s="21">
        <v>65</v>
      </c>
      <c r="AS1708" s="21">
        <v>30</v>
      </c>
      <c r="AT1708" s="12" t="str">
        <f>HYPERLINK("http://www.openstreetmap.org/?mlat=35.4159&amp;mlon=44.3384&amp;zoom=12#map=12/35.4159/44.3384","Maplink1")</f>
        <v>Maplink1</v>
      </c>
      <c r="AU1708" s="12" t="str">
        <f>HYPERLINK("https://www.google.iq/maps/search/+35.4159,44.3384/@35.4159,44.3384,14z?hl=en","Maplink2")</f>
        <v>Maplink2</v>
      </c>
      <c r="AV1708" s="12" t="str">
        <f>HYPERLINK("http://www.bing.com/maps/?lvl=14&amp;sty=h&amp;cp=35.4159~44.3384&amp;sp=point.35.4159_44.3384","Maplink3")</f>
        <v>Maplink3</v>
      </c>
    </row>
    <row r="1709" spans="1:48" ht="15" customHeight="1" x14ac:dyDescent="0.25">
      <c r="A1709" s="19">
        <v>31728</v>
      </c>
      <c r="B1709" s="20" t="s">
        <v>17</v>
      </c>
      <c r="C1709" s="20" t="s">
        <v>17</v>
      </c>
      <c r="D1709" s="20" t="s">
        <v>3179</v>
      </c>
      <c r="E1709" s="20" t="s">
        <v>3111</v>
      </c>
      <c r="F1709" s="20">
        <v>35.408684999999998</v>
      </c>
      <c r="G1709" s="20">
        <v>44.401969000000001</v>
      </c>
      <c r="H1709" s="22">
        <v>570</v>
      </c>
      <c r="I1709" s="22">
        <v>3420</v>
      </c>
      <c r="J1709" s="21">
        <v>60</v>
      </c>
      <c r="K1709" s="21"/>
      <c r="L1709" s="21"/>
      <c r="M1709" s="21"/>
      <c r="N1709" s="21"/>
      <c r="O1709" s="21">
        <v>20</v>
      </c>
      <c r="P1709" s="21"/>
      <c r="Q1709" s="21"/>
      <c r="R1709" s="21">
        <v>320</v>
      </c>
      <c r="S1709" s="21"/>
      <c r="T1709" s="21"/>
      <c r="U1709" s="21"/>
      <c r="V1709" s="21">
        <v>50</v>
      </c>
      <c r="W1709" s="21"/>
      <c r="X1709" s="21">
        <v>120</v>
      </c>
      <c r="Y1709" s="21"/>
      <c r="Z1709" s="21"/>
      <c r="AA1709" s="21"/>
      <c r="AB1709" s="21"/>
      <c r="AC1709" s="21">
        <v>20</v>
      </c>
      <c r="AD1709" s="21"/>
      <c r="AE1709" s="21"/>
      <c r="AF1709" s="21"/>
      <c r="AG1709" s="21"/>
      <c r="AH1709" s="21">
        <v>525</v>
      </c>
      <c r="AI1709" s="21"/>
      <c r="AJ1709" s="21">
        <v>25</v>
      </c>
      <c r="AK1709" s="21"/>
      <c r="AL1709" s="21">
        <v>35</v>
      </c>
      <c r="AM1709" s="21">
        <v>95</v>
      </c>
      <c r="AN1709" s="21">
        <v>50</v>
      </c>
      <c r="AO1709" s="21">
        <v>100</v>
      </c>
      <c r="AP1709" s="21">
        <v>60</v>
      </c>
      <c r="AQ1709" s="21">
        <v>50</v>
      </c>
      <c r="AR1709" s="21">
        <v>120</v>
      </c>
      <c r="AS1709" s="21">
        <v>60</v>
      </c>
      <c r="AT1709" s="12" t="str">
        <f>HYPERLINK("http://www.openstreetmap.org/?mlat=35.4087&amp;mlon=44.402&amp;zoom=12#map=12/35.4087/44.402","Maplink1")</f>
        <v>Maplink1</v>
      </c>
      <c r="AU1709" s="12" t="str">
        <f>HYPERLINK("https://www.google.iq/maps/search/+35.4087,44.402/@35.4087,44.402,14z?hl=en","Maplink2")</f>
        <v>Maplink2</v>
      </c>
      <c r="AV1709" s="12" t="str">
        <f>HYPERLINK("http://www.bing.com/maps/?lvl=14&amp;sty=h&amp;cp=35.4087~44.402&amp;sp=point.35.4087_44.402","Maplink3")</f>
        <v>Maplink3</v>
      </c>
    </row>
    <row r="1710" spans="1:48" ht="15" customHeight="1" x14ac:dyDescent="0.25">
      <c r="A1710" s="19">
        <v>31729</v>
      </c>
      <c r="B1710" s="20" t="s">
        <v>17</v>
      </c>
      <c r="C1710" s="20" t="s">
        <v>17</v>
      </c>
      <c r="D1710" s="20" t="s">
        <v>3180</v>
      </c>
      <c r="E1710" s="20" t="s">
        <v>3181</v>
      </c>
      <c r="F1710" s="20">
        <v>35.403832999999999</v>
      </c>
      <c r="G1710" s="20">
        <v>44.411043999999997</v>
      </c>
      <c r="H1710" s="22">
        <v>460</v>
      </c>
      <c r="I1710" s="22">
        <v>2760</v>
      </c>
      <c r="J1710" s="21">
        <v>55</v>
      </c>
      <c r="K1710" s="21">
        <v>10</v>
      </c>
      <c r="L1710" s="21"/>
      <c r="M1710" s="21"/>
      <c r="N1710" s="21"/>
      <c r="O1710" s="21">
        <v>15</v>
      </c>
      <c r="P1710" s="21"/>
      <c r="Q1710" s="21"/>
      <c r="R1710" s="21">
        <v>130</v>
      </c>
      <c r="S1710" s="21"/>
      <c r="T1710" s="21"/>
      <c r="U1710" s="21"/>
      <c r="V1710" s="21">
        <v>70</v>
      </c>
      <c r="W1710" s="21"/>
      <c r="X1710" s="21">
        <v>180</v>
      </c>
      <c r="Y1710" s="21"/>
      <c r="Z1710" s="21"/>
      <c r="AA1710" s="21"/>
      <c r="AB1710" s="21"/>
      <c r="AC1710" s="21">
        <v>15</v>
      </c>
      <c r="AD1710" s="21"/>
      <c r="AE1710" s="21">
        <v>5</v>
      </c>
      <c r="AF1710" s="21"/>
      <c r="AG1710" s="21"/>
      <c r="AH1710" s="21">
        <v>420</v>
      </c>
      <c r="AI1710" s="21"/>
      <c r="AJ1710" s="21">
        <v>20</v>
      </c>
      <c r="AK1710" s="21"/>
      <c r="AL1710" s="21">
        <v>30</v>
      </c>
      <c r="AM1710" s="21">
        <v>90</v>
      </c>
      <c r="AN1710" s="21">
        <v>65</v>
      </c>
      <c r="AO1710" s="21">
        <v>120</v>
      </c>
      <c r="AP1710" s="21">
        <v>55</v>
      </c>
      <c r="AQ1710" s="21">
        <v>40</v>
      </c>
      <c r="AR1710" s="21">
        <v>50</v>
      </c>
      <c r="AS1710" s="21">
        <v>10</v>
      </c>
      <c r="AT1710" s="12" t="str">
        <f>HYPERLINK("http://www.openstreetmap.org/?mlat=35.4038&amp;mlon=44.411&amp;zoom=12#map=12/35.4038/44.411","Maplink1")</f>
        <v>Maplink1</v>
      </c>
      <c r="AU1710" s="12" t="str">
        <f>HYPERLINK("https://www.google.iq/maps/search/+35.4038,44.411/@35.4038,44.411,14z?hl=en","Maplink2")</f>
        <v>Maplink2</v>
      </c>
      <c r="AV1710" s="12" t="str">
        <f>HYPERLINK("http://www.bing.com/maps/?lvl=14&amp;sty=h&amp;cp=35.4038~44.411&amp;sp=point.35.4038_44.411","Maplink3")</f>
        <v>Maplink3</v>
      </c>
    </row>
    <row r="1711" spans="1:48" ht="15" customHeight="1" x14ac:dyDescent="0.25">
      <c r="A1711" s="19">
        <v>15578</v>
      </c>
      <c r="B1711" s="20" t="s">
        <v>17</v>
      </c>
      <c r="C1711" s="20" t="s">
        <v>17</v>
      </c>
      <c r="D1711" s="20" t="s">
        <v>3182</v>
      </c>
      <c r="E1711" s="20" t="s">
        <v>1841</v>
      </c>
      <c r="F1711" s="20">
        <v>35.434849360000001</v>
      </c>
      <c r="G1711" s="20">
        <v>44.353443040000002</v>
      </c>
      <c r="H1711" s="22">
        <v>165</v>
      </c>
      <c r="I1711" s="22">
        <v>990</v>
      </c>
      <c r="J1711" s="21"/>
      <c r="K1711" s="21"/>
      <c r="L1711" s="21"/>
      <c r="M1711" s="21"/>
      <c r="N1711" s="21"/>
      <c r="O1711" s="21"/>
      <c r="P1711" s="21"/>
      <c r="Q1711" s="21"/>
      <c r="R1711" s="21">
        <v>85</v>
      </c>
      <c r="S1711" s="21"/>
      <c r="T1711" s="21"/>
      <c r="U1711" s="21"/>
      <c r="V1711" s="21">
        <v>20</v>
      </c>
      <c r="W1711" s="21"/>
      <c r="X1711" s="21">
        <v>60</v>
      </c>
      <c r="Y1711" s="21"/>
      <c r="Z1711" s="21"/>
      <c r="AA1711" s="21"/>
      <c r="AB1711" s="21"/>
      <c r="AC1711" s="21">
        <v>10</v>
      </c>
      <c r="AD1711" s="21"/>
      <c r="AE1711" s="21"/>
      <c r="AF1711" s="21"/>
      <c r="AG1711" s="21"/>
      <c r="AH1711" s="21">
        <v>150</v>
      </c>
      <c r="AI1711" s="21"/>
      <c r="AJ1711" s="21">
        <v>5</v>
      </c>
      <c r="AK1711" s="21"/>
      <c r="AL1711" s="21"/>
      <c r="AM1711" s="21">
        <v>10</v>
      </c>
      <c r="AN1711" s="21">
        <v>25</v>
      </c>
      <c r="AO1711" s="21">
        <v>25</v>
      </c>
      <c r="AP1711" s="21">
        <v>30</v>
      </c>
      <c r="AQ1711" s="21">
        <v>35</v>
      </c>
      <c r="AR1711" s="21">
        <v>30</v>
      </c>
      <c r="AS1711" s="21">
        <v>10</v>
      </c>
      <c r="AT1711" s="12" t="str">
        <f>HYPERLINK("http://www.openstreetmap.org/?mlat=35.4348&amp;mlon=44.3534&amp;zoom=12#map=12/35.4348/44.3534","Maplink1")</f>
        <v>Maplink1</v>
      </c>
      <c r="AU1711" s="12" t="str">
        <f>HYPERLINK("https://www.google.iq/maps/search/+35.4348,44.3534/@35.4348,44.3534,14z?hl=en","Maplink2")</f>
        <v>Maplink2</v>
      </c>
      <c r="AV1711" s="12" t="str">
        <f>HYPERLINK("http://www.bing.com/maps/?lvl=14&amp;sty=h&amp;cp=35.4348~44.3534&amp;sp=point.35.4348_44.3534","Maplink3")</f>
        <v>Maplink3</v>
      </c>
    </row>
    <row r="1712" spans="1:48" ht="15" customHeight="1" x14ac:dyDescent="0.25">
      <c r="A1712" s="19">
        <v>15650</v>
      </c>
      <c r="B1712" s="20" t="s">
        <v>17</v>
      </c>
      <c r="C1712" s="20" t="s">
        <v>17</v>
      </c>
      <c r="D1712" s="20" t="s">
        <v>3183</v>
      </c>
      <c r="E1712" s="20" t="s">
        <v>3184</v>
      </c>
      <c r="F1712" s="20">
        <v>35.419139999999999</v>
      </c>
      <c r="G1712" s="20">
        <v>44.396810000000002</v>
      </c>
      <c r="H1712" s="22">
        <v>475</v>
      </c>
      <c r="I1712" s="22">
        <v>2850</v>
      </c>
      <c r="J1712" s="21">
        <v>20</v>
      </c>
      <c r="K1712" s="21"/>
      <c r="L1712" s="21">
        <v>20</v>
      </c>
      <c r="M1712" s="21"/>
      <c r="N1712" s="21"/>
      <c r="O1712" s="21">
        <v>70</v>
      </c>
      <c r="P1712" s="21"/>
      <c r="Q1712" s="21"/>
      <c r="R1712" s="21">
        <v>195</v>
      </c>
      <c r="S1712" s="21"/>
      <c r="T1712" s="21"/>
      <c r="U1712" s="21"/>
      <c r="V1712" s="21">
        <v>60</v>
      </c>
      <c r="W1712" s="21"/>
      <c r="X1712" s="21">
        <v>110</v>
      </c>
      <c r="Y1712" s="21"/>
      <c r="Z1712" s="21"/>
      <c r="AA1712" s="21"/>
      <c r="AB1712" s="21"/>
      <c r="AC1712" s="21">
        <v>20</v>
      </c>
      <c r="AD1712" s="21"/>
      <c r="AE1712" s="21">
        <v>80</v>
      </c>
      <c r="AF1712" s="21"/>
      <c r="AG1712" s="21"/>
      <c r="AH1712" s="21">
        <v>315</v>
      </c>
      <c r="AI1712" s="21"/>
      <c r="AJ1712" s="21">
        <v>60</v>
      </c>
      <c r="AK1712" s="21"/>
      <c r="AL1712" s="21">
        <v>10</v>
      </c>
      <c r="AM1712" s="21">
        <v>40</v>
      </c>
      <c r="AN1712" s="21">
        <v>90</v>
      </c>
      <c r="AO1712" s="21">
        <v>85</v>
      </c>
      <c r="AP1712" s="21">
        <v>85</v>
      </c>
      <c r="AQ1712" s="21">
        <v>70</v>
      </c>
      <c r="AR1712" s="21">
        <v>60</v>
      </c>
      <c r="AS1712" s="21">
        <v>35</v>
      </c>
      <c r="AT1712" s="12" t="str">
        <f>HYPERLINK("http://www.openstreetmap.org/?mlat=35.4191&amp;mlon=44.3968&amp;zoom=12#map=12/35.4191/44.3968","Maplink1")</f>
        <v>Maplink1</v>
      </c>
      <c r="AU1712" s="12" t="str">
        <f>HYPERLINK("https://www.google.iq/maps/search/+35.4191,44.3968/@35.4191,44.3968,14z?hl=en","Maplink2")</f>
        <v>Maplink2</v>
      </c>
      <c r="AV1712" s="12" t="str">
        <f>HYPERLINK("http://www.bing.com/maps/?lvl=14&amp;sty=h&amp;cp=35.4191~44.3968&amp;sp=point.35.4191_44.3968","Maplink3")</f>
        <v>Maplink3</v>
      </c>
    </row>
    <row r="1713" spans="1:48" ht="15" customHeight="1" x14ac:dyDescent="0.25">
      <c r="A1713" s="19">
        <v>15639</v>
      </c>
      <c r="B1713" s="20" t="s">
        <v>17</v>
      </c>
      <c r="C1713" s="20" t="s">
        <v>17</v>
      </c>
      <c r="D1713" s="20" t="s">
        <v>3185</v>
      </c>
      <c r="E1713" s="20" t="s">
        <v>3186</v>
      </c>
      <c r="F1713" s="20">
        <v>35.393549</v>
      </c>
      <c r="G1713" s="20">
        <v>44.373289999999997</v>
      </c>
      <c r="H1713" s="22">
        <v>230</v>
      </c>
      <c r="I1713" s="22">
        <v>1380</v>
      </c>
      <c r="J1713" s="21">
        <v>3</v>
      </c>
      <c r="K1713" s="21"/>
      <c r="L1713" s="21">
        <v>5</v>
      </c>
      <c r="M1713" s="21"/>
      <c r="N1713" s="21"/>
      <c r="O1713" s="21">
        <v>15</v>
      </c>
      <c r="P1713" s="21"/>
      <c r="Q1713" s="21"/>
      <c r="R1713" s="21">
        <v>100</v>
      </c>
      <c r="S1713" s="21"/>
      <c r="T1713" s="21"/>
      <c r="U1713" s="21"/>
      <c r="V1713" s="21">
        <v>10</v>
      </c>
      <c r="W1713" s="21"/>
      <c r="X1713" s="21">
        <v>97</v>
      </c>
      <c r="Y1713" s="21"/>
      <c r="Z1713" s="21"/>
      <c r="AA1713" s="21"/>
      <c r="AB1713" s="21"/>
      <c r="AC1713" s="21"/>
      <c r="AD1713" s="21"/>
      <c r="AE1713" s="21">
        <v>65</v>
      </c>
      <c r="AF1713" s="21"/>
      <c r="AG1713" s="21"/>
      <c r="AH1713" s="21">
        <v>165</v>
      </c>
      <c r="AI1713" s="21"/>
      <c r="AJ1713" s="21"/>
      <c r="AK1713" s="21"/>
      <c r="AL1713" s="21"/>
      <c r="AM1713" s="21">
        <v>10</v>
      </c>
      <c r="AN1713" s="21">
        <v>20</v>
      </c>
      <c r="AO1713" s="21">
        <v>40</v>
      </c>
      <c r="AP1713" s="21">
        <v>50</v>
      </c>
      <c r="AQ1713" s="21">
        <v>60</v>
      </c>
      <c r="AR1713" s="21">
        <v>30</v>
      </c>
      <c r="AS1713" s="21">
        <v>20</v>
      </c>
      <c r="AT1713" s="12" t="str">
        <f>HYPERLINK("http://www.openstreetmap.org/?mlat=35.3935&amp;mlon=44.3733&amp;zoom=12#map=12/35.3935/44.3733","Maplink1")</f>
        <v>Maplink1</v>
      </c>
      <c r="AU1713" s="12" t="str">
        <f>HYPERLINK("https://www.google.iq/maps/search/+35.3935,44.3733/@35.3935,44.3733,14z?hl=en","Maplink2")</f>
        <v>Maplink2</v>
      </c>
      <c r="AV1713" s="12" t="str">
        <f>HYPERLINK("http://www.bing.com/maps/?lvl=14&amp;sty=h&amp;cp=35.3935~44.3733&amp;sp=point.35.3935_44.3733","Maplink3")</f>
        <v>Maplink3</v>
      </c>
    </row>
    <row r="1714" spans="1:48" ht="15" customHeight="1" x14ac:dyDescent="0.25">
      <c r="A1714" s="19">
        <v>15658</v>
      </c>
      <c r="B1714" s="20" t="s">
        <v>17</v>
      </c>
      <c r="C1714" s="20" t="s">
        <v>17</v>
      </c>
      <c r="D1714" s="20" t="s">
        <v>3187</v>
      </c>
      <c r="E1714" s="20" t="s">
        <v>3188</v>
      </c>
      <c r="F1714" s="20">
        <v>35.358016329999998</v>
      </c>
      <c r="G1714" s="20">
        <v>44.301747319999997</v>
      </c>
      <c r="H1714" s="22">
        <v>195</v>
      </c>
      <c r="I1714" s="22">
        <v>1170</v>
      </c>
      <c r="J1714" s="21"/>
      <c r="K1714" s="21"/>
      <c r="L1714" s="21"/>
      <c r="M1714" s="21"/>
      <c r="N1714" s="21"/>
      <c r="O1714" s="21"/>
      <c r="P1714" s="21"/>
      <c r="Q1714" s="21"/>
      <c r="R1714" s="21">
        <v>195</v>
      </c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>
        <v>20</v>
      </c>
      <c r="AD1714" s="21"/>
      <c r="AE1714" s="21">
        <v>75</v>
      </c>
      <c r="AF1714" s="21"/>
      <c r="AG1714" s="21"/>
      <c r="AH1714" s="21">
        <v>100</v>
      </c>
      <c r="AI1714" s="21"/>
      <c r="AJ1714" s="21"/>
      <c r="AK1714" s="21"/>
      <c r="AL1714" s="21"/>
      <c r="AM1714" s="21"/>
      <c r="AN1714" s="21"/>
      <c r="AO1714" s="21"/>
      <c r="AP1714" s="21">
        <v>25</v>
      </c>
      <c r="AQ1714" s="21">
        <v>35</v>
      </c>
      <c r="AR1714" s="21">
        <v>40</v>
      </c>
      <c r="AS1714" s="21">
        <v>95</v>
      </c>
      <c r="AT1714" s="12" t="str">
        <f>HYPERLINK("http://www.openstreetmap.org/?mlat=35.358&amp;mlon=44.3017&amp;zoom=12#map=12/35.358/44.3017","Maplink1")</f>
        <v>Maplink1</v>
      </c>
      <c r="AU1714" s="12" t="str">
        <f>HYPERLINK("https://www.google.iq/maps/search/+35.358,44.3017/@35.358,44.3017,14z?hl=en","Maplink2")</f>
        <v>Maplink2</v>
      </c>
      <c r="AV1714" s="12" t="str">
        <f>HYPERLINK("http://www.bing.com/maps/?lvl=14&amp;sty=h&amp;cp=35.358~44.3017&amp;sp=point.35.358_44.3017","Maplink3")</f>
        <v>Maplink3</v>
      </c>
    </row>
    <row r="1715" spans="1:48" ht="15" customHeight="1" x14ac:dyDescent="0.25">
      <c r="A1715" s="19">
        <v>15550</v>
      </c>
      <c r="B1715" s="20" t="s">
        <v>17</v>
      </c>
      <c r="C1715" s="20" t="s">
        <v>17</v>
      </c>
      <c r="D1715" s="20" t="s">
        <v>3189</v>
      </c>
      <c r="E1715" s="20" t="s">
        <v>1349</v>
      </c>
      <c r="F1715" s="20">
        <v>35.436990000000002</v>
      </c>
      <c r="G1715" s="20">
        <v>44.395237999999999</v>
      </c>
      <c r="H1715" s="22">
        <v>684</v>
      </c>
      <c r="I1715" s="22">
        <v>4104</v>
      </c>
      <c r="J1715" s="21">
        <v>15</v>
      </c>
      <c r="K1715" s="21"/>
      <c r="L1715" s="21">
        <v>3</v>
      </c>
      <c r="M1715" s="21"/>
      <c r="N1715" s="21"/>
      <c r="O1715" s="21">
        <v>97</v>
      </c>
      <c r="P1715" s="21"/>
      <c r="Q1715" s="21"/>
      <c r="R1715" s="21">
        <v>380</v>
      </c>
      <c r="S1715" s="21"/>
      <c r="T1715" s="21"/>
      <c r="U1715" s="21"/>
      <c r="V1715" s="21">
        <v>75</v>
      </c>
      <c r="W1715" s="21"/>
      <c r="X1715" s="21">
        <v>114</v>
      </c>
      <c r="Y1715" s="21"/>
      <c r="Z1715" s="21"/>
      <c r="AA1715" s="21"/>
      <c r="AB1715" s="21"/>
      <c r="AC1715" s="21"/>
      <c r="AD1715" s="21"/>
      <c r="AE1715" s="21">
        <v>35</v>
      </c>
      <c r="AF1715" s="21"/>
      <c r="AG1715" s="21"/>
      <c r="AH1715" s="21">
        <v>649</v>
      </c>
      <c r="AI1715" s="21"/>
      <c r="AJ1715" s="21"/>
      <c r="AK1715" s="21"/>
      <c r="AL1715" s="21">
        <v>10</v>
      </c>
      <c r="AM1715" s="21">
        <v>28</v>
      </c>
      <c r="AN1715" s="21">
        <v>16</v>
      </c>
      <c r="AO1715" s="21">
        <v>129</v>
      </c>
      <c r="AP1715" s="21">
        <v>300</v>
      </c>
      <c r="AQ1715" s="21">
        <v>82</v>
      </c>
      <c r="AR1715" s="21">
        <v>42</v>
      </c>
      <c r="AS1715" s="21">
        <v>77</v>
      </c>
      <c r="AT1715" s="12" t="str">
        <f>HYPERLINK("http://www.openstreetmap.org/?mlat=35.437&amp;mlon=44.3952&amp;zoom=12#map=12/35.437/44.3952","Maplink1")</f>
        <v>Maplink1</v>
      </c>
      <c r="AU1715" s="12" t="str">
        <f>HYPERLINK("https://www.google.iq/maps/search/+35.437,44.3952/@35.437,44.3952,14z?hl=en","Maplink2")</f>
        <v>Maplink2</v>
      </c>
      <c r="AV1715" s="12" t="str">
        <f>HYPERLINK("http://www.bing.com/maps/?lvl=14&amp;sty=h&amp;cp=35.437~44.3952&amp;sp=point.35.437_44.3952","Maplink3")</f>
        <v>Maplink3</v>
      </c>
    </row>
    <row r="1716" spans="1:48" ht="15" customHeight="1" x14ac:dyDescent="0.25">
      <c r="A1716" s="19">
        <v>23899</v>
      </c>
      <c r="B1716" s="20" t="s">
        <v>17</v>
      </c>
      <c r="C1716" s="20" t="s">
        <v>17</v>
      </c>
      <c r="D1716" s="20" t="s">
        <v>3190</v>
      </c>
      <c r="E1716" s="20" t="s">
        <v>3191</v>
      </c>
      <c r="F1716" s="20">
        <v>35.392316999999998</v>
      </c>
      <c r="G1716" s="20">
        <v>44.394253999999997</v>
      </c>
      <c r="H1716" s="22">
        <v>460</v>
      </c>
      <c r="I1716" s="22">
        <v>2760</v>
      </c>
      <c r="J1716" s="21">
        <v>5</v>
      </c>
      <c r="K1716" s="21">
        <v>12</v>
      </c>
      <c r="L1716" s="21"/>
      <c r="M1716" s="21"/>
      <c r="N1716" s="21"/>
      <c r="O1716" s="21">
        <v>75</v>
      </c>
      <c r="P1716" s="21"/>
      <c r="Q1716" s="21"/>
      <c r="R1716" s="21">
        <v>120</v>
      </c>
      <c r="S1716" s="21"/>
      <c r="T1716" s="21"/>
      <c r="U1716" s="21"/>
      <c r="V1716" s="21">
        <v>30</v>
      </c>
      <c r="W1716" s="21"/>
      <c r="X1716" s="21">
        <v>218</v>
      </c>
      <c r="Y1716" s="21"/>
      <c r="Z1716" s="21"/>
      <c r="AA1716" s="21"/>
      <c r="AB1716" s="21"/>
      <c r="AC1716" s="21">
        <v>10</v>
      </c>
      <c r="AD1716" s="21"/>
      <c r="AE1716" s="21">
        <v>2</v>
      </c>
      <c r="AF1716" s="21"/>
      <c r="AG1716" s="21"/>
      <c r="AH1716" s="21">
        <v>448</v>
      </c>
      <c r="AI1716" s="21"/>
      <c r="AJ1716" s="21"/>
      <c r="AK1716" s="21"/>
      <c r="AL1716" s="21">
        <v>2</v>
      </c>
      <c r="AM1716" s="21">
        <v>20</v>
      </c>
      <c r="AN1716" s="21">
        <v>70</v>
      </c>
      <c r="AO1716" s="21">
        <v>113</v>
      </c>
      <c r="AP1716" s="21">
        <v>80</v>
      </c>
      <c r="AQ1716" s="21">
        <v>65</v>
      </c>
      <c r="AR1716" s="21">
        <v>60</v>
      </c>
      <c r="AS1716" s="21">
        <v>50</v>
      </c>
      <c r="AT1716" s="12" t="str">
        <f>HYPERLINK("http://www.openstreetmap.org/?mlat=35.3923&amp;mlon=44.3943&amp;zoom=12#map=12/35.3923/44.3943","Maplink1")</f>
        <v>Maplink1</v>
      </c>
      <c r="AU1716" s="12" t="str">
        <f>HYPERLINK("https://www.google.iq/maps/search/+35.3923,44.3943/@35.3923,44.3943,14z?hl=en","Maplink2")</f>
        <v>Maplink2</v>
      </c>
      <c r="AV1716" s="12" t="str">
        <f>HYPERLINK("http://www.bing.com/maps/?lvl=14&amp;sty=h&amp;cp=35.3923~44.3943&amp;sp=point.35.3923_44.3943","Maplink3")</f>
        <v>Maplink3</v>
      </c>
    </row>
    <row r="1717" spans="1:48" ht="15" customHeight="1" x14ac:dyDescent="0.25">
      <c r="A1717" s="19">
        <v>24142</v>
      </c>
      <c r="B1717" s="20" t="s">
        <v>17</v>
      </c>
      <c r="C1717" s="20" t="s">
        <v>17</v>
      </c>
      <c r="D1717" s="20" t="s">
        <v>3192</v>
      </c>
      <c r="E1717" s="20" t="s">
        <v>5657</v>
      </c>
      <c r="F1717" s="20">
        <v>35.489187000000001</v>
      </c>
      <c r="G1717" s="20">
        <v>44.383186000000002</v>
      </c>
      <c r="H1717" s="22">
        <v>29</v>
      </c>
      <c r="I1717" s="22">
        <v>174</v>
      </c>
      <c r="J1717" s="21"/>
      <c r="K1717" s="21"/>
      <c r="L1717" s="21"/>
      <c r="M1717" s="21"/>
      <c r="N1717" s="21"/>
      <c r="O1717" s="21"/>
      <c r="P1717" s="21"/>
      <c r="Q1717" s="21"/>
      <c r="R1717" s="21">
        <v>12</v>
      </c>
      <c r="S1717" s="21"/>
      <c r="T1717" s="21"/>
      <c r="U1717" s="21"/>
      <c r="V1717" s="21">
        <v>7</v>
      </c>
      <c r="W1717" s="21"/>
      <c r="X1717" s="21">
        <v>10</v>
      </c>
      <c r="Y1717" s="21"/>
      <c r="Z1717" s="21"/>
      <c r="AA1717" s="21"/>
      <c r="AB1717" s="21"/>
      <c r="AC1717" s="21">
        <v>3</v>
      </c>
      <c r="AD1717" s="21"/>
      <c r="AE1717" s="21"/>
      <c r="AF1717" s="21"/>
      <c r="AG1717" s="21"/>
      <c r="AH1717" s="21">
        <v>26</v>
      </c>
      <c r="AI1717" s="21"/>
      <c r="AJ1717" s="21"/>
      <c r="AK1717" s="21"/>
      <c r="AL1717" s="21"/>
      <c r="AM1717" s="21">
        <v>5</v>
      </c>
      <c r="AN1717" s="21">
        <v>2</v>
      </c>
      <c r="AO1717" s="21">
        <v>10</v>
      </c>
      <c r="AP1717" s="21"/>
      <c r="AQ1717" s="21">
        <v>5</v>
      </c>
      <c r="AR1717" s="21"/>
      <c r="AS1717" s="21">
        <v>7</v>
      </c>
      <c r="AT1717" s="12" t="str">
        <f>HYPERLINK("http://www.openstreetmap.org/?mlat=35.4892&amp;mlon=44.3832&amp;zoom=12#map=12/35.4892/44.3832","Maplink1")</f>
        <v>Maplink1</v>
      </c>
      <c r="AU1717" s="12" t="str">
        <f>HYPERLINK("https://www.google.iq/maps/search/+35.4892,44.3832/@35.4892,44.3832,14z?hl=en","Maplink2")</f>
        <v>Maplink2</v>
      </c>
      <c r="AV1717" s="12" t="str">
        <f>HYPERLINK("http://www.bing.com/maps/?lvl=14&amp;sty=h&amp;cp=35.4892~44.3832&amp;sp=point.35.4892_44.3832","Maplink3")</f>
        <v>Maplink3</v>
      </c>
    </row>
    <row r="1718" spans="1:48" ht="15" customHeight="1" x14ac:dyDescent="0.25">
      <c r="A1718" s="19">
        <v>21702</v>
      </c>
      <c r="B1718" s="20" t="s">
        <v>17</v>
      </c>
      <c r="C1718" s="20" t="s">
        <v>17</v>
      </c>
      <c r="D1718" s="20" t="s">
        <v>3193</v>
      </c>
      <c r="E1718" s="20" t="s">
        <v>3194</v>
      </c>
      <c r="F1718" s="20">
        <v>35.48167686</v>
      </c>
      <c r="G1718" s="20">
        <v>44.409738189999999</v>
      </c>
      <c r="H1718" s="22">
        <v>110</v>
      </c>
      <c r="I1718" s="22">
        <v>660</v>
      </c>
      <c r="J1718" s="21">
        <v>15</v>
      </c>
      <c r="K1718" s="21"/>
      <c r="L1718" s="21"/>
      <c r="M1718" s="21"/>
      <c r="N1718" s="21"/>
      <c r="O1718" s="21"/>
      <c r="P1718" s="21"/>
      <c r="Q1718" s="21"/>
      <c r="R1718" s="21">
        <v>55</v>
      </c>
      <c r="S1718" s="21"/>
      <c r="T1718" s="21"/>
      <c r="U1718" s="21"/>
      <c r="V1718" s="21">
        <v>13</v>
      </c>
      <c r="W1718" s="21"/>
      <c r="X1718" s="21">
        <v>27</v>
      </c>
      <c r="Y1718" s="21"/>
      <c r="Z1718" s="21"/>
      <c r="AA1718" s="21"/>
      <c r="AB1718" s="21"/>
      <c r="AC1718" s="21"/>
      <c r="AD1718" s="21"/>
      <c r="AE1718" s="21"/>
      <c r="AF1718" s="21"/>
      <c r="AG1718" s="21"/>
      <c r="AH1718" s="21">
        <v>110</v>
      </c>
      <c r="AI1718" s="21"/>
      <c r="AJ1718" s="21"/>
      <c r="AK1718" s="21"/>
      <c r="AL1718" s="21"/>
      <c r="AM1718" s="21">
        <v>19</v>
      </c>
      <c r="AN1718" s="21">
        <v>1</v>
      </c>
      <c r="AO1718" s="21">
        <v>10</v>
      </c>
      <c r="AP1718" s="21">
        <v>15</v>
      </c>
      <c r="AQ1718" s="21">
        <v>40</v>
      </c>
      <c r="AR1718" s="21">
        <v>20</v>
      </c>
      <c r="AS1718" s="21">
        <v>5</v>
      </c>
      <c r="AT1718" s="12" t="str">
        <f>HYPERLINK("http://www.openstreetmap.org/?mlat=35.4817&amp;mlon=44.4097&amp;zoom=12#map=12/35.4817/44.4097","Maplink1")</f>
        <v>Maplink1</v>
      </c>
      <c r="AU1718" s="12" t="str">
        <f>HYPERLINK("https://www.google.iq/maps/search/+35.4817,44.4097/@35.4817,44.4097,14z?hl=en","Maplink2")</f>
        <v>Maplink2</v>
      </c>
      <c r="AV1718" s="12" t="str">
        <f>HYPERLINK("http://www.bing.com/maps/?lvl=14&amp;sty=h&amp;cp=35.4817~44.4097&amp;sp=point.35.4817_44.4097","Maplink3")</f>
        <v>Maplink3</v>
      </c>
    </row>
    <row r="1719" spans="1:48" ht="15" customHeight="1" x14ac:dyDescent="0.25">
      <c r="A1719" s="19">
        <v>15584</v>
      </c>
      <c r="B1719" s="20" t="s">
        <v>17</v>
      </c>
      <c r="C1719" s="20" t="s">
        <v>17</v>
      </c>
      <c r="D1719" s="20" t="s">
        <v>3195</v>
      </c>
      <c r="E1719" s="20" t="s">
        <v>3196</v>
      </c>
      <c r="F1719" s="20">
        <v>35.431980000000003</v>
      </c>
      <c r="G1719" s="20">
        <v>44.380246</v>
      </c>
      <c r="H1719" s="22">
        <v>289</v>
      </c>
      <c r="I1719" s="22">
        <v>1734</v>
      </c>
      <c r="J1719" s="21">
        <v>17</v>
      </c>
      <c r="K1719" s="21"/>
      <c r="L1719" s="21">
        <v>4</v>
      </c>
      <c r="M1719" s="21"/>
      <c r="N1719" s="21"/>
      <c r="O1719" s="21"/>
      <c r="P1719" s="21"/>
      <c r="Q1719" s="21"/>
      <c r="R1719" s="21">
        <v>161</v>
      </c>
      <c r="S1719" s="21"/>
      <c r="T1719" s="21"/>
      <c r="U1719" s="21"/>
      <c r="V1719" s="21">
        <v>28</v>
      </c>
      <c r="W1719" s="21"/>
      <c r="X1719" s="21">
        <v>79</v>
      </c>
      <c r="Y1719" s="21"/>
      <c r="Z1719" s="21"/>
      <c r="AA1719" s="21"/>
      <c r="AB1719" s="21"/>
      <c r="AC1719" s="21"/>
      <c r="AD1719" s="21"/>
      <c r="AE1719" s="21"/>
      <c r="AF1719" s="21"/>
      <c r="AG1719" s="21"/>
      <c r="AH1719" s="21">
        <v>289</v>
      </c>
      <c r="AI1719" s="21"/>
      <c r="AJ1719" s="21"/>
      <c r="AK1719" s="21"/>
      <c r="AL1719" s="21">
        <v>10</v>
      </c>
      <c r="AM1719" s="21">
        <v>18</v>
      </c>
      <c r="AN1719" s="21">
        <v>62</v>
      </c>
      <c r="AO1719" s="21">
        <v>28</v>
      </c>
      <c r="AP1719" s="21">
        <v>60</v>
      </c>
      <c r="AQ1719" s="21">
        <v>43</v>
      </c>
      <c r="AR1719" s="21">
        <v>33</v>
      </c>
      <c r="AS1719" s="21">
        <v>35</v>
      </c>
      <c r="AT1719" s="12" t="str">
        <f>HYPERLINK("http://www.openstreetmap.org/?mlat=35.432&amp;mlon=44.3802&amp;zoom=12#map=12/35.432/44.3802","Maplink1")</f>
        <v>Maplink1</v>
      </c>
      <c r="AU1719" s="12" t="str">
        <f>HYPERLINK("https://www.google.iq/maps/search/+35.432,44.3802/@35.432,44.3802,14z?hl=en","Maplink2")</f>
        <v>Maplink2</v>
      </c>
      <c r="AV1719" s="12" t="str">
        <f>HYPERLINK("http://www.bing.com/maps/?lvl=14&amp;sty=h&amp;cp=35.432~44.3802&amp;sp=point.35.432_44.3802","Maplink3")</f>
        <v>Maplink3</v>
      </c>
    </row>
    <row r="1720" spans="1:48" ht="15" customHeight="1" x14ac:dyDescent="0.25">
      <c r="A1720" s="19">
        <v>15694</v>
      </c>
      <c r="B1720" s="20" t="s">
        <v>17</v>
      </c>
      <c r="C1720" s="20" t="s">
        <v>17</v>
      </c>
      <c r="D1720" s="20" t="s">
        <v>3197</v>
      </c>
      <c r="E1720" s="20" t="s">
        <v>3198</v>
      </c>
      <c r="F1720" s="20">
        <v>35.458438399999999</v>
      </c>
      <c r="G1720" s="20">
        <v>44.395941489999998</v>
      </c>
      <c r="H1720" s="22">
        <v>292</v>
      </c>
      <c r="I1720" s="22">
        <v>1752</v>
      </c>
      <c r="J1720" s="21">
        <v>10</v>
      </c>
      <c r="K1720" s="21"/>
      <c r="L1720" s="21">
        <v>2</v>
      </c>
      <c r="M1720" s="21"/>
      <c r="N1720" s="21"/>
      <c r="O1720" s="21">
        <v>15</v>
      </c>
      <c r="P1720" s="21"/>
      <c r="Q1720" s="21"/>
      <c r="R1720" s="21">
        <v>75</v>
      </c>
      <c r="S1720" s="21"/>
      <c r="T1720" s="21"/>
      <c r="U1720" s="21"/>
      <c r="V1720" s="21">
        <v>105</v>
      </c>
      <c r="W1720" s="21"/>
      <c r="X1720" s="21">
        <v>85</v>
      </c>
      <c r="Y1720" s="21"/>
      <c r="Z1720" s="21"/>
      <c r="AA1720" s="21"/>
      <c r="AB1720" s="21"/>
      <c r="AC1720" s="21"/>
      <c r="AD1720" s="21"/>
      <c r="AE1720" s="21"/>
      <c r="AF1720" s="21"/>
      <c r="AG1720" s="21"/>
      <c r="AH1720" s="21">
        <v>292</v>
      </c>
      <c r="AI1720" s="21"/>
      <c r="AJ1720" s="21"/>
      <c r="AK1720" s="21"/>
      <c r="AL1720" s="21"/>
      <c r="AM1720" s="21">
        <v>30</v>
      </c>
      <c r="AN1720" s="21">
        <v>30</v>
      </c>
      <c r="AO1720" s="21">
        <v>50</v>
      </c>
      <c r="AP1720" s="21">
        <v>62</v>
      </c>
      <c r="AQ1720" s="21">
        <v>55</v>
      </c>
      <c r="AR1720" s="21">
        <v>60</v>
      </c>
      <c r="AS1720" s="21">
        <v>5</v>
      </c>
      <c r="AT1720" s="12" t="str">
        <f>HYPERLINK("http://www.openstreetmap.org/?mlat=35.4584&amp;mlon=44.3959&amp;zoom=12#map=12/35.4584/44.3959","Maplink1")</f>
        <v>Maplink1</v>
      </c>
      <c r="AU1720" s="12" t="str">
        <f>HYPERLINK("https://www.google.iq/maps/search/+35.4584,44.3959/@35.4584,44.3959,14z?hl=en","Maplink2")</f>
        <v>Maplink2</v>
      </c>
      <c r="AV1720" s="12" t="str">
        <f>HYPERLINK("http://www.bing.com/maps/?lvl=14&amp;sty=h&amp;cp=35.4584~44.3959&amp;sp=point.35.4584_44.3959","Maplink3")</f>
        <v>Maplink3</v>
      </c>
    </row>
    <row r="1721" spans="1:48" ht="15" customHeight="1" x14ac:dyDescent="0.25">
      <c r="A1721" s="19">
        <v>15679</v>
      </c>
      <c r="B1721" s="20" t="s">
        <v>17</v>
      </c>
      <c r="C1721" s="20" t="s">
        <v>17</v>
      </c>
      <c r="D1721" s="20" t="s">
        <v>5658</v>
      </c>
      <c r="E1721" s="20" t="s">
        <v>5659</v>
      </c>
      <c r="F1721" s="20">
        <v>35.391931</v>
      </c>
      <c r="G1721" s="20">
        <v>44.380969</v>
      </c>
      <c r="H1721" s="22">
        <v>250</v>
      </c>
      <c r="I1721" s="22">
        <v>1500</v>
      </c>
      <c r="J1721" s="21">
        <v>15</v>
      </c>
      <c r="K1721" s="21"/>
      <c r="L1721" s="21"/>
      <c r="M1721" s="21"/>
      <c r="N1721" s="21"/>
      <c r="O1721" s="21">
        <v>45</v>
      </c>
      <c r="P1721" s="21"/>
      <c r="Q1721" s="21"/>
      <c r="R1721" s="21">
        <v>80</v>
      </c>
      <c r="S1721" s="21"/>
      <c r="T1721" s="21"/>
      <c r="U1721" s="21"/>
      <c r="V1721" s="21">
        <v>10</v>
      </c>
      <c r="W1721" s="21"/>
      <c r="X1721" s="21">
        <v>100</v>
      </c>
      <c r="Y1721" s="21"/>
      <c r="Z1721" s="21"/>
      <c r="AA1721" s="21"/>
      <c r="AB1721" s="21"/>
      <c r="AC1721" s="21"/>
      <c r="AD1721" s="21"/>
      <c r="AE1721" s="21">
        <v>10</v>
      </c>
      <c r="AF1721" s="21"/>
      <c r="AG1721" s="21"/>
      <c r="AH1721" s="21">
        <v>240</v>
      </c>
      <c r="AI1721" s="21"/>
      <c r="AJ1721" s="21"/>
      <c r="AK1721" s="21"/>
      <c r="AL1721" s="21">
        <v>10</v>
      </c>
      <c r="AM1721" s="21">
        <v>50</v>
      </c>
      <c r="AN1721" s="21"/>
      <c r="AO1721" s="21">
        <v>30</v>
      </c>
      <c r="AP1721" s="21">
        <v>75</v>
      </c>
      <c r="AQ1721" s="21">
        <v>40</v>
      </c>
      <c r="AR1721" s="21">
        <v>35</v>
      </c>
      <c r="AS1721" s="21">
        <v>10</v>
      </c>
      <c r="AT1721" s="12" t="str">
        <f>HYPERLINK("http://www.openstreetmap.org/?mlat=35.3919&amp;mlon=44.381&amp;zoom=12#map=12/35.3919/44.381","Maplink1")</f>
        <v>Maplink1</v>
      </c>
      <c r="AU1721" s="12" t="str">
        <f>HYPERLINK("https://www.google.iq/maps/search/+35.3919,44.381/@35.3919,44.381,14z?hl=en","Maplink2")</f>
        <v>Maplink2</v>
      </c>
      <c r="AV1721" s="12" t="str">
        <f>HYPERLINK("http://www.bing.com/maps/?lvl=14&amp;sty=h&amp;cp=35.3919~44.381&amp;sp=point.35.3919_44.381","Maplink3")</f>
        <v>Maplink3</v>
      </c>
    </row>
    <row r="1722" spans="1:48" ht="15" customHeight="1" x14ac:dyDescent="0.25">
      <c r="A1722" s="19">
        <v>14530</v>
      </c>
      <c r="B1722" s="20" t="s">
        <v>17</v>
      </c>
      <c r="C1722" s="20" t="s">
        <v>17</v>
      </c>
      <c r="D1722" s="20" t="s">
        <v>3199</v>
      </c>
      <c r="E1722" s="20" t="s">
        <v>5660</v>
      </c>
      <c r="F1722" s="20">
        <v>35.42366002</v>
      </c>
      <c r="G1722" s="20">
        <v>44.430400400000003</v>
      </c>
      <c r="H1722" s="22">
        <v>450</v>
      </c>
      <c r="I1722" s="22">
        <v>2700</v>
      </c>
      <c r="J1722" s="21">
        <v>10</v>
      </c>
      <c r="K1722" s="21"/>
      <c r="L1722" s="21"/>
      <c r="M1722" s="21"/>
      <c r="N1722" s="21"/>
      <c r="O1722" s="21"/>
      <c r="P1722" s="21"/>
      <c r="Q1722" s="21"/>
      <c r="R1722" s="21">
        <v>190</v>
      </c>
      <c r="S1722" s="21"/>
      <c r="T1722" s="21"/>
      <c r="U1722" s="21"/>
      <c r="V1722" s="21">
        <v>95</v>
      </c>
      <c r="W1722" s="21"/>
      <c r="X1722" s="21">
        <v>155</v>
      </c>
      <c r="Y1722" s="21"/>
      <c r="Z1722" s="21"/>
      <c r="AA1722" s="21"/>
      <c r="AB1722" s="21"/>
      <c r="AC1722" s="21">
        <v>30</v>
      </c>
      <c r="AD1722" s="21"/>
      <c r="AE1722" s="21"/>
      <c r="AF1722" s="21"/>
      <c r="AG1722" s="21"/>
      <c r="AH1722" s="21">
        <v>420</v>
      </c>
      <c r="AI1722" s="21"/>
      <c r="AJ1722" s="21"/>
      <c r="AK1722" s="21"/>
      <c r="AL1722" s="21">
        <v>5</v>
      </c>
      <c r="AM1722" s="21">
        <v>35</v>
      </c>
      <c r="AN1722" s="21">
        <v>45</v>
      </c>
      <c r="AO1722" s="21">
        <v>55</v>
      </c>
      <c r="AP1722" s="21">
        <v>90</v>
      </c>
      <c r="AQ1722" s="21">
        <v>70</v>
      </c>
      <c r="AR1722" s="21">
        <v>60</v>
      </c>
      <c r="AS1722" s="21">
        <v>90</v>
      </c>
      <c r="AT1722" s="12" t="str">
        <f>HYPERLINK("http://www.openstreetmap.org/?mlat=35.4237&amp;mlon=44.4304&amp;zoom=12#map=12/35.4237/44.4304","Maplink1")</f>
        <v>Maplink1</v>
      </c>
      <c r="AU1722" s="12" t="str">
        <f>HYPERLINK("https://www.google.iq/maps/search/+35.4237,44.4304/@35.4237,44.4304,14z?hl=en","Maplink2")</f>
        <v>Maplink2</v>
      </c>
      <c r="AV1722" s="12" t="str">
        <f>HYPERLINK("http://www.bing.com/maps/?lvl=14&amp;sty=h&amp;cp=35.4237~44.4304&amp;sp=point.35.4237_44.4304","Maplink3")</f>
        <v>Maplink3</v>
      </c>
    </row>
    <row r="1723" spans="1:48" ht="15" customHeight="1" x14ac:dyDescent="0.25">
      <c r="A1723" s="19">
        <v>22199</v>
      </c>
      <c r="B1723" s="20" t="s">
        <v>17</v>
      </c>
      <c r="C1723" s="20" t="s">
        <v>17</v>
      </c>
      <c r="D1723" s="20" t="s">
        <v>3200</v>
      </c>
      <c r="E1723" s="20" t="s">
        <v>3201</v>
      </c>
      <c r="F1723" s="20">
        <v>35.509129999999999</v>
      </c>
      <c r="G1723" s="20">
        <v>44.270522</v>
      </c>
      <c r="H1723" s="22">
        <v>60</v>
      </c>
      <c r="I1723" s="22">
        <v>360</v>
      </c>
      <c r="J1723" s="21"/>
      <c r="K1723" s="21"/>
      <c r="L1723" s="21"/>
      <c r="M1723" s="21"/>
      <c r="N1723" s="21"/>
      <c r="O1723" s="21"/>
      <c r="P1723" s="21"/>
      <c r="Q1723" s="21"/>
      <c r="R1723" s="21">
        <v>40</v>
      </c>
      <c r="S1723" s="21"/>
      <c r="T1723" s="21"/>
      <c r="U1723" s="21"/>
      <c r="V1723" s="21">
        <v>15</v>
      </c>
      <c r="W1723" s="21"/>
      <c r="X1723" s="21">
        <v>5</v>
      </c>
      <c r="Y1723" s="21"/>
      <c r="Z1723" s="21"/>
      <c r="AA1723" s="21"/>
      <c r="AB1723" s="21"/>
      <c r="AC1723" s="21">
        <v>5</v>
      </c>
      <c r="AD1723" s="21"/>
      <c r="AE1723" s="21"/>
      <c r="AF1723" s="21"/>
      <c r="AG1723" s="21"/>
      <c r="AH1723" s="21">
        <v>55</v>
      </c>
      <c r="AI1723" s="21"/>
      <c r="AJ1723" s="21"/>
      <c r="AK1723" s="21"/>
      <c r="AL1723" s="21"/>
      <c r="AM1723" s="21"/>
      <c r="AN1723" s="21"/>
      <c r="AO1723" s="21">
        <v>5</v>
      </c>
      <c r="AP1723" s="21">
        <v>15</v>
      </c>
      <c r="AQ1723" s="21">
        <v>20</v>
      </c>
      <c r="AR1723" s="21">
        <v>15</v>
      </c>
      <c r="AS1723" s="21">
        <v>5</v>
      </c>
      <c r="AT1723" s="12" t="str">
        <f>HYPERLINK("http://www.openstreetmap.org/?mlat=35.5091&amp;mlon=44.2705&amp;zoom=12#map=12/35.5091/44.2705","Maplink1")</f>
        <v>Maplink1</v>
      </c>
      <c r="AU1723" s="12" t="str">
        <f>HYPERLINK("https://www.google.iq/maps/search/+35.5091,44.2705/@35.5091,44.2705,14z?hl=en","Maplink2")</f>
        <v>Maplink2</v>
      </c>
      <c r="AV1723" s="12" t="str">
        <f>HYPERLINK("http://www.bing.com/maps/?lvl=14&amp;sty=h&amp;cp=35.5091~44.2705&amp;sp=point.35.5091_44.2705","Maplink3")</f>
        <v>Maplink3</v>
      </c>
    </row>
    <row r="1724" spans="1:48" ht="15" customHeight="1" x14ac:dyDescent="0.25">
      <c r="A1724" s="19">
        <v>22495</v>
      </c>
      <c r="B1724" s="20" t="s">
        <v>17</v>
      </c>
      <c r="C1724" s="20" t="s">
        <v>17</v>
      </c>
      <c r="D1724" s="20" t="s">
        <v>3202</v>
      </c>
      <c r="E1724" s="20" t="s">
        <v>3203</v>
      </c>
      <c r="F1724" s="20">
        <v>35.396560000000001</v>
      </c>
      <c r="G1724" s="20">
        <v>44.280507999999998</v>
      </c>
      <c r="H1724" s="22">
        <v>146</v>
      </c>
      <c r="I1724" s="22">
        <v>876</v>
      </c>
      <c r="J1724" s="21"/>
      <c r="K1724" s="21"/>
      <c r="L1724" s="21"/>
      <c r="M1724" s="21"/>
      <c r="N1724" s="21"/>
      <c r="O1724" s="21"/>
      <c r="P1724" s="21"/>
      <c r="Q1724" s="21"/>
      <c r="R1724" s="21">
        <v>131</v>
      </c>
      <c r="S1724" s="21"/>
      <c r="T1724" s="21"/>
      <c r="U1724" s="21"/>
      <c r="V1724" s="21">
        <v>5</v>
      </c>
      <c r="W1724" s="21"/>
      <c r="X1724" s="21">
        <v>10</v>
      </c>
      <c r="Y1724" s="21"/>
      <c r="Z1724" s="21"/>
      <c r="AA1724" s="21"/>
      <c r="AB1724" s="21"/>
      <c r="AC1724" s="21"/>
      <c r="AD1724" s="21"/>
      <c r="AE1724" s="21"/>
      <c r="AF1724" s="21"/>
      <c r="AG1724" s="21"/>
      <c r="AH1724" s="21">
        <v>136</v>
      </c>
      <c r="AI1724" s="21"/>
      <c r="AJ1724" s="21">
        <v>10</v>
      </c>
      <c r="AK1724" s="21"/>
      <c r="AL1724" s="21"/>
      <c r="AM1724" s="21">
        <v>8</v>
      </c>
      <c r="AN1724" s="21"/>
      <c r="AO1724" s="21">
        <v>50</v>
      </c>
      <c r="AP1724" s="21">
        <v>30</v>
      </c>
      <c r="AQ1724" s="21">
        <v>10</v>
      </c>
      <c r="AR1724" s="21">
        <v>15</v>
      </c>
      <c r="AS1724" s="21">
        <v>33</v>
      </c>
      <c r="AT1724" s="12" t="str">
        <f>HYPERLINK("http://www.openstreetmap.org/?mlat=35.3966&amp;mlon=44.2805&amp;zoom=12#map=12/35.3966/44.2805","Maplink1")</f>
        <v>Maplink1</v>
      </c>
      <c r="AU1724" s="12" t="str">
        <f>HYPERLINK("https://www.google.iq/maps/search/+35.3966,44.2805/@35.3966,44.2805,14z?hl=en","Maplink2")</f>
        <v>Maplink2</v>
      </c>
      <c r="AV1724" s="12" t="str">
        <f>HYPERLINK("http://www.bing.com/maps/?lvl=14&amp;sty=h&amp;cp=35.3966~44.2805&amp;sp=point.35.3966_44.2805","Maplink3")</f>
        <v>Maplink3</v>
      </c>
    </row>
    <row r="1725" spans="1:48" ht="15" customHeight="1" x14ac:dyDescent="0.25">
      <c r="A1725" s="19">
        <v>14474</v>
      </c>
      <c r="B1725" s="20" t="s">
        <v>17</v>
      </c>
      <c r="C1725" s="20" t="s">
        <v>17</v>
      </c>
      <c r="D1725" s="20" t="s">
        <v>3204</v>
      </c>
      <c r="E1725" s="20" t="s">
        <v>3205</v>
      </c>
      <c r="F1725" s="20">
        <v>35.464910590899997</v>
      </c>
      <c r="G1725" s="20">
        <v>44.233904568299998</v>
      </c>
      <c r="H1725" s="22">
        <v>10</v>
      </c>
      <c r="I1725" s="22">
        <v>60</v>
      </c>
      <c r="J1725" s="21"/>
      <c r="K1725" s="21"/>
      <c r="L1725" s="21"/>
      <c r="M1725" s="21"/>
      <c r="N1725" s="21"/>
      <c r="O1725" s="21"/>
      <c r="P1725" s="21"/>
      <c r="Q1725" s="21"/>
      <c r="R1725" s="21">
        <v>10</v>
      </c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21"/>
      <c r="AH1725" s="21">
        <v>10</v>
      </c>
      <c r="AI1725" s="21"/>
      <c r="AJ1725" s="21"/>
      <c r="AK1725" s="21"/>
      <c r="AL1725" s="21"/>
      <c r="AM1725" s="21"/>
      <c r="AN1725" s="21"/>
      <c r="AO1725" s="21">
        <v>6</v>
      </c>
      <c r="AP1725" s="21"/>
      <c r="AQ1725" s="21"/>
      <c r="AR1725" s="21">
        <v>4</v>
      </c>
      <c r="AS1725" s="21"/>
      <c r="AT1725" s="12" t="str">
        <f>HYPERLINK("http://www.openstreetmap.org/?mlat=35.4649&amp;mlon=44.2339&amp;zoom=12#map=12/35.4649/44.2339","Maplink1")</f>
        <v>Maplink1</v>
      </c>
      <c r="AU1725" s="12" t="str">
        <f>HYPERLINK("https://www.google.iq/maps/search/+35.4649,44.2339/@35.4649,44.2339,14z?hl=en","Maplink2")</f>
        <v>Maplink2</v>
      </c>
      <c r="AV1725" s="12" t="str">
        <f>HYPERLINK("http://www.bing.com/maps/?lvl=14&amp;sty=h&amp;cp=35.4649~44.2339&amp;sp=point.35.4649_44.2339","Maplink3")</f>
        <v>Maplink3</v>
      </c>
    </row>
    <row r="1726" spans="1:48" ht="15" customHeight="1" x14ac:dyDescent="0.25">
      <c r="A1726" s="19">
        <v>14763</v>
      </c>
      <c r="B1726" s="20" t="s">
        <v>17</v>
      </c>
      <c r="C1726" s="20" t="s">
        <v>17</v>
      </c>
      <c r="D1726" s="20" t="s">
        <v>3206</v>
      </c>
      <c r="E1726" s="20" t="s">
        <v>5661</v>
      </c>
      <c r="F1726" s="20">
        <v>35.488765010000002</v>
      </c>
      <c r="G1726" s="20">
        <v>44.396685660000003</v>
      </c>
      <c r="H1726" s="22">
        <v>160</v>
      </c>
      <c r="I1726" s="22">
        <v>960</v>
      </c>
      <c r="J1726" s="21">
        <v>10</v>
      </c>
      <c r="K1726" s="21"/>
      <c r="L1726" s="21"/>
      <c r="M1726" s="21"/>
      <c r="N1726" s="21"/>
      <c r="O1726" s="21"/>
      <c r="P1726" s="21"/>
      <c r="Q1726" s="21"/>
      <c r="R1726" s="21">
        <v>30</v>
      </c>
      <c r="S1726" s="21"/>
      <c r="T1726" s="21"/>
      <c r="U1726" s="21"/>
      <c r="V1726" s="21">
        <v>80</v>
      </c>
      <c r="W1726" s="21"/>
      <c r="X1726" s="21">
        <v>40</v>
      </c>
      <c r="Y1726" s="21"/>
      <c r="Z1726" s="21"/>
      <c r="AA1726" s="21"/>
      <c r="AB1726" s="21"/>
      <c r="AC1726" s="21"/>
      <c r="AD1726" s="21"/>
      <c r="AE1726" s="21"/>
      <c r="AF1726" s="21"/>
      <c r="AG1726" s="21"/>
      <c r="AH1726" s="21">
        <v>160</v>
      </c>
      <c r="AI1726" s="21"/>
      <c r="AJ1726" s="21"/>
      <c r="AK1726" s="21"/>
      <c r="AL1726" s="21"/>
      <c r="AM1726" s="21">
        <v>50</v>
      </c>
      <c r="AN1726" s="21">
        <v>15</v>
      </c>
      <c r="AO1726" s="21">
        <v>5</v>
      </c>
      <c r="AP1726" s="21">
        <v>30</v>
      </c>
      <c r="AQ1726" s="21">
        <v>25</v>
      </c>
      <c r="AR1726" s="21">
        <v>15</v>
      </c>
      <c r="AS1726" s="21">
        <v>20</v>
      </c>
      <c r="AT1726" s="12" t="str">
        <f>HYPERLINK("http://www.openstreetmap.org/?mlat=35.4888&amp;mlon=44.3967&amp;zoom=12#map=12/35.4888/44.3967","Maplink1")</f>
        <v>Maplink1</v>
      </c>
      <c r="AU1726" s="12" t="str">
        <f>HYPERLINK("https://www.google.iq/maps/search/+35.4888,44.3967/@35.4888,44.3967,14z?hl=en","Maplink2")</f>
        <v>Maplink2</v>
      </c>
      <c r="AV1726" s="12" t="str">
        <f>HYPERLINK("http://www.bing.com/maps/?lvl=14&amp;sty=h&amp;cp=35.4888~44.3967&amp;sp=point.35.4888_44.3967","Maplink3")</f>
        <v>Maplink3</v>
      </c>
    </row>
    <row r="1727" spans="1:48" ht="15" customHeight="1" x14ac:dyDescent="0.25">
      <c r="A1727" s="19">
        <v>23634</v>
      </c>
      <c r="B1727" s="20" t="s">
        <v>17</v>
      </c>
      <c r="C1727" s="20" t="s">
        <v>17</v>
      </c>
      <c r="D1727" s="20" t="s">
        <v>2706</v>
      </c>
      <c r="E1727" s="20" t="s">
        <v>5662</v>
      </c>
      <c r="F1727" s="20">
        <v>35.445537889999997</v>
      </c>
      <c r="G1727" s="20">
        <v>44.398288000000001</v>
      </c>
      <c r="H1727" s="22">
        <v>180</v>
      </c>
      <c r="I1727" s="22">
        <v>1080</v>
      </c>
      <c r="J1727" s="21">
        <v>10</v>
      </c>
      <c r="K1727" s="21"/>
      <c r="L1727" s="21"/>
      <c r="M1727" s="21"/>
      <c r="N1727" s="21"/>
      <c r="O1727" s="21"/>
      <c r="P1727" s="21"/>
      <c r="Q1727" s="21"/>
      <c r="R1727" s="21">
        <v>100</v>
      </c>
      <c r="S1727" s="21"/>
      <c r="T1727" s="21"/>
      <c r="U1727" s="21"/>
      <c r="V1727" s="21">
        <v>15</v>
      </c>
      <c r="W1727" s="21"/>
      <c r="X1727" s="21">
        <v>55</v>
      </c>
      <c r="Y1727" s="21"/>
      <c r="Z1727" s="21"/>
      <c r="AA1727" s="21"/>
      <c r="AB1727" s="21"/>
      <c r="AC1727" s="21"/>
      <c r="AD1727" s="21"/>
      <c r="AE1727" s="21"/>
      <c r="AF1727" s="21"/>
      <c r="AG1727" s="21"/>
      <c r="AH1727" s="21">
        <v>180</v>
      </c>
      <c r="AI1727" s="21"/>
      <c r="AJ1727" s="21"/>
      <c r="AK1727" s="21"/>
      <c r="AL1727" s="21"/>
      <c r="AM1727" s="21">
        <v>15</v>
      </c>
      <c r="AN1727" s="21">
        <v>10</v>
      </c>
      <c r="AO1727" s="21">
        <v>5</v>
      </c>
      <c r="AP1727" s="21">
        <v>40</v>
      </c>
      <c r="AQ1727" s="21">
        <v>35</v>
      </c>
      <c r="AR1727" s="21">
        <v>55</v>
      </c>
      <c r="AS1727" s="21">
        <v>20</v>
      </c>
      <c r="AT1727" s="12" t="str">
        <f>HYPERLINK("http://www.openstreetmap.org/?mlat=35.4455&amp;mlon=44.3983&amp;zoom=12#map=12/35.4455/44.3983","Maplink1")</f>
        <v>Maplink1</v>
      </c>
      <c r="AU1727" s="12" t="str">
        <f>HYPERLINK("https://www.google.iq/maps/search/+35.4455,44.3983/@35.4455,44.3983,14z?hl=en","Maplink2")</f>
        <v>Maplink2</v>
      </c>
      <c r="AV1727" s="12" t="str">
        <f>HYPERLINK("http://www.bing.com/maps/?lvl=14&amp;sty=h&amp;cp=35.4455~44.3983&amp;sp=point.35.4455_44.3983","Maplink3")</f>
        <v>Maplink3</v>
      </c>
    </row>
    <row r="1728" spans="1:48" ht="15" customHeight="1" x14ac:dyDescent="0.25">
      <c r="A1728" s="19">
        <v>24806</v>
      </c>
      <c r="B1728" s="20" t="s">
        <v>17</v>
      </c>
      <c r="C1728" s="20" t="s">
        <v>17</v>
      </c>
      <c r="D1728" s="20" t="s">
        <v>3207</v>
      </c>
      <c r="E1728" s="20" t="s">
        <v>5663</v>
      </c>
      <c r="F1728" s="20">
        <v>35.460493999999997</v>
      </c>
      <c r="G1728" s="20">
        <v>44.377719999999997</v>
      </c>
      <c r="H1728" s="22">
        <v>191</v>
      </c>
      <c r="I1728" s="22">
        <v>1146</v>
      </c>
      <c r="J1728" s="21"/>
      <c r="K1728" s="21"/>
      <c r="L1728" s="21"/>
      <c r="M1728" s="21"/>
      <c r="N1728" s="21"/>
      <c r="O1728" s="21">
        <v>2</v>
      </c>
      <c r="P1728" s="21"/>
      <c r="Q1728" s="21"/>
      <c r="R1728" s="21">
        <v>75</v>
      </c>
      <c r="S1728" s="21"/>
      <c r="T1728" s="21"/>
      <c r="U1728" s="21"/>
      <c r="V1728" s="21">
        <v>14</v>
      </c>
      <c r="W1728" s="21"/>
      <c r="X1728" s="21">
        <v>100</v>
      </c>
      <c r="Y1728" s="21"/>
      <c r="Z1728" s="21"/>
      <c r="AA1728" s="21"/>
      <c r="AB1728" s="21"/>
      <c r="AC1728" s="21"/>
      <c r="AD1728" s="21"/>
      <c r="AE1728" s="21"/>
      <c r="AF1728" s="21"/>
      <c r="AG1728" s="21"/>
      <c r="AH1728" s="21">
        <v>191</v>
      </c>
      <c r="AI1728" s="21"/>
      <c r="AJ1728" s="21"/>
      <c r="AK1728" s="21"/>
      <c r="AL1728" s="21"/>
      <c r="AM1728" s="21">
        <v>14</v>
      </c>
      <c r="AN1728" s="21">
        <v>30</v>
      </c>
      <c r="AO1728" s="21">
        <v>25</v>
      </c>
      <c r="AP1728" s="21">
        <v>40</v>
      </c>
      <c r="AQ1728" s="21">
        <v>25</v>
      </c>
      <c r="AR1728" s="21">
        <v>40</v>
      </c>
      <c r="AS1728" s="21">
        <v>17</v>
      </c>
      <c r="AT1728" s="12" t="str">
        <f>HYPERLINK("http://www.openstreetmap.org/?mlat=35.4605&amp;mlon=44.3777&amp;zoom=12#map=12/35.4605/44.3777","Maplink1")</f>
        <v>Maplink1</v>
      </c>
      <c r="AU1728" s="12" t="str">
        <f>HYPERLINK("https://www.google.iq/maps/search/+35.4605,44.3777/@35.4605,44.3777,14z?hl=en","Maplink2")</f>
        <v>Maplink2</v>
      </c>
      <c r="AV1728" s="12" t="str">
        <f>HYPERLINK("http://www.bing.com/maps/?lvl=14&amp;sty=h&amp;cp=35.4605~44.3777&amp;sp=point.35.4605_44.3777","Maplink3")</f>
        <v>Maplink3</v>
      </c>
    </row>
    <row r="1729" spans="1:48" ht="15" customHeight="1" x14ac:dyDescent="0.25">
      <c r="A1729" s="19">
        <v>24422</v>
      </c>
      <c r="B1729" s="20" t="s">
        <v>17</v>
      </c>
      <c r="C1729" s="20" t="s">
        <v>17</v>
      </c>
      <c r="D1729" s="20" t="s">
        <v>3208</v>
      </c>
      <c r="E1729" s="20" t="s">
        <v>3209</v>
      </c>
      <c r="F1729" s="20">
        <v>35.364621956699999</v>
      </c>
      <c r="G1729" s="20">
        <v>44.330920963499999</v>
      </c>
      <c r="H1729" s="22">
        <v>35</v>
      </c>
      <c r="I1729" s="22">
        <v>210</v>
      </c>
      <c r="J1729" s="21"/>
      <c r="K1729" s="21"/>
      <c r="L1729" s="21"/>
      <c r="M1729" s="21"/>
      <c r="N1729" s="21"/>
      <c r="O1729" s="21"/>
      <c r="P1729" s="21"/>
      <c r="Q1729" s="21"/>
      <c r="R1729" s="21">
        <v>15</v>
      </c>
      <c r="S1729" s="21"/>
      <c r="T1729" s="21"/>
      <c r="U1729" s="21"/>
      <c r="V1729" s="21"/>
      <c r="W1729" s="21"/>
      <c r="X1729" s="21">
        <v>20</v>
      </c>
      <c r="Y1729" s="21"/>
      <c r="Z1729" s="21"/>
      <c r="AA1729" s="21"/>
      <c r="AB1729" s="21"/>
      <c r="AC1729" s="21">
        <v>15</v>
      </c>
      <c r="AD1729" s="21"/>
      <c r="AE1729" s="21">
        <v>20</v>
      </c>
      <c r="AF1729" s="21"/>
      <c r="AG1729" s="21"/>
      <c r="AH1729" s="21"/>
      <c r="AI1729" s="21"/>
      <c r="AJ1729" s="21"/>
      <c r="AK1729" s="21"/>
      <c r="AL1729" s="21"/>
      <c r="AM1729" s="21"/>
      <c r="AN1729" s="21">
        <v>5</v>
      </c>
      <c r="AO1729" s="21">
        <v>5</v>
      </c>
      <c r="AP1729" s="21">
        <v>4</v>
      </c>
      <c r="AQ1729" s="21">
        <v>6</v>
      </c>
      <c r="AR1729" s="21">
        <v>10</v>
      </c>
      <c r="AS1729" s="21">
        <v>5</v>
      </c>
      <c r="AT1729" s="12" t="str">
        <f>HYPERLINK("http://www.openstreetmap.org/?mlat=35.3646&amp;mlon=44.3309&amp;zoom=12#map=12/35.3646/44.3309","Maplink1")</f>
        <v>Maplink1</v>
      </c>
      <c r="AU1729" s="12" t="str">
        <f>HYPERLINK("https://www.google.iq/maps/search/+35.3646,44.3309/@35.3646,44.3309,14z?hl=en","Maplink2")</f>
        <v>Maplink2</v>
      </c>
      <c r="AV1729" s="12" t="str">
        <f>HYPERLINK("http://www.bing.com/maps/?lvl=14&amp;sty=h&amp;cp=35.3646~44.3309&amp;sp=point.35.3646_44.3309","Maplink3")</f>
        <v>Maplink3</v>
      </c>
    </row>
    <row r="1730" spans="1:48" ht="15" customHeight="1" x14ac:dyDescent="0.25">
      <c r="A1730" s="19">
        <v>28410</v>
      </c>
      <c r="B1730" s="20" t="s">
        <v>17</v>
      </c>
      <c r="C1730" s="20" t="s">
        <v>17</v>
      </c>
      <c r="D1730" s="20" t="s">
        <v>3210</v>
      </c>
      <c r="E1730" s="20" t="s">
        <v>3211</v>
      </c>
      <c r="F1730" s="20">
        <v>35.554110242999997</v>
      </c>
      <c r="G1730" s="20">
        <v>44.358290618300003</v>
      </c>
      <c r="H1730" s="22">
        <v>46</v>
      </c>
      <c r="I1730" s="22">
        <v>276</v>
      </c>
      <c r="J1730" s="21"/>
      <c r="K1730" s="21"/>
      <c r="L1730" s="21"/>
      <c r="M1730" s="21"/>
      <c r="N1730" s="21"/>
      <c r="O1730" s="21">
        <v>5</v>
      </c>
      <c r="P1730" s="21"/>
      <c r="Q1730" s="21"/>
      <c r="R1730" s="21">
        <v>10</v>
      </c>
      <c r="S1730" s="21"/>
      <c r="T1730" s="21"/>
      <c r="U1730" s="21"/>
      <c r="V1730" s="21">
        <v>31</v>
      </c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21"/>
      <c r="AH1730" s="21">
        <v>46</v>
      </c>
      <c r="AI1730" s="21"/>
      <c r="AJ1730" s="21"/>
      <c r="AK1730" s="21"/>
      <c r="AL1730" s="21"/>
      <c r="AM1730" s="21">
        <v>4</v>
      </c>
      <c r="AN1730" s="21">
        <v>21</v>
      </c>
      <c r="AO1730" s="21"/>
      <c r="AP1730" s="21"/>
      <c r="AQ1730" s="21">
        <v>2</v>
      </c>
      <c r="AR1730" s="21">
        <v>15</v>
      </c>
      <c r="AS1730" s="21">
        <v>4</v>
      </c>
      <c r="AT1730" s="12" t="str">
        <f>HYPERLINK("http://www.openstreetmap.org/?mlat=35.5541&amp;mlon=44.3583&amp;zoom=12#map=12/35.5541/44.3583","Maplink1")</f>
        <v>Maplink1</v>
      </c>
      <c r="AU1730" s="12" t="str">
        <f>HYPERLINK("https://www.google.iq/maps/search/+35.5541,44.3583/@35.5541,44.3583,14z?hl=en","Maplink2")</f>
        <v>Maplink2</v>
      </c>
      <c r="AV1730" s="12" t="str">
        <f>HYPERLINK("http://www.bing.com/maps/?lvl=14&amp;sty=h&amp;cp=35.5541~44.3583&amp;sp=point.35.5541_44.3583","Maplink3")</f>
        <v>Maplink3</v>
      </c>
    </row>
    <row r="1731" spans="1:48" ht="15" customHeight="1" x14ac:dyDescent="0.25">
      <c r="A1731" s="19">
        <v>15442</v>
      </c>
      <c r="B1731" s="20" t="s">
        <v>17</v>
      </c>
      <c r="C1731" s="20" t="s">
        <v>17</v>
      </c>
      <c r="D1731" s="20" t="s">
        <v>3212</v>
      </c>
      <c r="E1731" s="20" t="s">
        <v>3213</v>
      </c>
      <c r="F1731" s="20">
        <v>35.524788999999998</v>
      </c>
      <c r="G1731" s="20">
        <v>44.384492000000002</v>
      </c>
      <c r="H1731" s="22">
        <v>20</v>
      </c>
      <c r="I1731" s="22">
        <v>120</v>
      </c>
      <c r="J1731" s="21"/>
      <c r="K1731" s="21"/>
      <c r="L1731" s="21"/>
      <c r="M1731" s="21"/>
      <c r="N1731" s="21"/>
      <c r="O1731" s="21"/>
      <c r="P1731" s="21"/>
      <c r="Q1731" s="21"/>
      <c r="R1731" s="21">
        <v>10</v>
      </c>
      <c r="S1731" s="21"/>
      <c r="T1731" s="21"/>
      <c r="U1731" s="21"/>
      <c r="V1731" s="21">
        <v>10</v>
      </c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21"/>
      <c r="AH1731" s="21">
        <v>20</v>
      </c>
      <c r="AI1731" s="21"/>
      <c r="AJ1731" s="21"/>
      <c r="AK1731" s="21"/>
      <c r="AL1731" s="21"/>
      <c r="AM1731" s="21"/>
      <c r="AN1731" s="21"/>
      <c r="AO1731" s="21"/>
      <c r="AP1731" s="21">
        <v>10</v>
      </c>
      <c r="AQ1731" s="21"/>
      <c r="AR1731" s="21">
        <v>10</v>
      </c>
      <c r="AS1731" s="21"/>
      <c r="AT1731" s="12" t="str">
        <f>HYPERLINK("http://www.openstreetmap.org/?mlat=35.5248&amp;mlon=44.3845&amp;zoom=12#map=12/35.5248/44.3845","Maplink1")</f>
        <v>Maplink1</v>
      </c>
      <c r="AU1731" s="12" t="str">
        <f>HYPERLINK("https://www.google.iq/maps/search/+35.5248,44.3845/@35.5248,44.3845,14z?hl=en","Maplink2")</f>
        <v>Maplink2</v>
      </c>
      <c r="AV1731" s="12" t="str">
        <f>HYPERLINK("http://www.bing.com/maps/?lvl=14&amp;sty=h&amp;cp=35.5248~44.3845&amp;sp=point.35.5248_44.3845","Maplink3")</f>
        <v>Maplink3</v>
      </c>
    </row>
    <row r="1732" spans="1:48" ht="15" customHeight="1" x14ac:dyDescent="0.25">
      <c r="A1732" s="19">
        <v>15522</v>
      </c>
      <c r="B1732" s="20" t="s">
        <v>17</v>
      </c>
      <c r="C1732" s="20" t="s">
        <v>17</v>
      </c>
      <c r="D1732" s="20" t="s">
        <v>3214</v>
      </c>
      <c r="E1732" s="20" t="s">
        <v>5664</v>
      </c>
      <c r="F1732" s="20">
        <v>35.737211000000002</v>
      </c>
      <c r="G1732" s="20">
        <v>44.480522999999998</v>
      </c>
      <c r="H1732" s="22">
        <v>10</v>
      </c>
      <c r="I1732" s="22">
        <v>60</v>
      </c>
      <c r="J1732" s="21"/>
      <c r="K1732" s="21"/>
      <c r="L1732" s="21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>
        <v>7</v>
      </c>
      <c r="W1732" s="21"/>
      <c r="X1732" s="21">
        <v>3</v>
      </c>
      <c r="Y1732" s="21"/>
      <c r="Z1732" s="21"/>
      <c r="AA1732" s="21"/>
      <c r="AB1732" s="21"/>
      <c r="AC1732" s="21"/>
      <c r="AD1732" s="21"/>
      <c r="AE1732" s="21"/>
      <c r="AF1732" s="21"/>
      <c r="AG1732" s="21"/>
      <c r="AH1732" s="21">
        <v>10</v>
      </c>
      <c r="AI1732" s="21"/>
      <c r="AJ1732" s="21"/>
      <c r="AK1732" s="21"/>
      <c r="AL1732" s="21"/>
      <c r="AM1732" s="21">
        <v>3</v>
      </c>
      <c r="AN1732" s="21"/>
      <c r="AO1732" s="21">
        <v>2</v>
      </c>
      <c r="AP1732" s="21"/>
      <c r="AQ1732" s="21"/>
      <c r="AR1732" s="21">
        <v>5</v>
      </c>
      <c r="AS1732" s="21"/>
      <c r="AT1732" s="12" t="str">
        <f>HYPERLINK("http://www.openstreetmap.org/?mlat=35.7372&amp;mlon=44.4805&amp;zoom=12#map=12/35.7372/44.4805","Maplink1")</f>
        <v>Maplink1</v>
      </c>
      <c r="AU1732" s="12" t="str">
        <f>HYPERLINK("https://www.google.iq/maps/search/+35.7372,44.4805/@35.7372,44.4805,14z?hl=en","Maplink2")</f>
        <v>Maplink2</v>
      </c>
      <c r="AV1732" s="12" t="str">
        <f>HYPERLINK("http://www.bing.com/maps/?lvl=14&amp;sty=h&amp;cp=35.7372~44.4805&amp;sp=point.35.7372_44.4805","Maplink3")</f>
        <v>Maplink3</v>
      </c>
    </row>
    <row r="1733" spans="1:48" ht="15" customHeight="1" x14ac:dyDescent="0.25">
      <c r="A1733" s="19">
        <v>14703</v>
      </c>
      <c r="B1733" s="20" t="s">
        <v>17</v>
      </c>
      <c r="C1733" s="20" t="s">
        <v>17</v>
      </c>
      <c r="D1733" s="20" t="s">
        <v>3215</v>
      </c>
      <c r="E1733" s="20" t="s">
        <v>3216</v>
      </c>
      <c r="F1733" s="20">
        <v>35.44</v>
      </c>
      <c r="G1733" s="20">
        <v>44.36</v>
      </c>
      <c r="H1733" s="22">
        <v>133</v>
      </c>
      <c r="I1733" s="22">
        <v>798</v>
      </c>
      <c r="J1733" s="21"/>
      <c r="K1733" s="21"/>
      <c r="L1733" s="21">
        <v>2</v>
      </c>
      <c r="M1733" s="21"/>
      <c r="N1733" s="21"/>
      <c r="O1733" s="21">
        <v>2</v>
      </c>
      <c r="P1733" s="21"/>
      <c r="Q1733" s="21"/>
      <c r="R1733" s="21">
        <v>55</v>
      </c>
      <c r="S1733" s="21"/>
      <c r="T1733" s="21"/>
      <c r="U1733" s="21"/>
      <c r="V1733" s="21">
        <v>35</v>
      </c>
      <c r="W1733" s="21"/>
      <c r="X1733" s="21">
        <v>39</v>
      </c>
      <c r="Y1733" s="21"/>
      <c r="Z1733" s="21"/>
      <c r="AA1733" s="21"/>
      <c r="AB1733" s="21"/>
      <c r="AC1733" s="21">
        <v>28</v>
      </c>
      <c r="AD1733" s="21"/>
      <c r="AE1733" s="21"/>
      <c r="AF1733" s="21"/>
      <c r="AG1733" s="21"/>
      <c r="AH1733" s="21">
        <v>92</v>
      </c>
      <c r="AI1733" s="21"/>
      <c r="AJ1733" s="21">
        <v>13</v>
      </c>
      <c r="AK1733" s="21"/>
      <c r="AL1733" s="21"/>
      <c r="AM1733" s="21">
        <v>9</v>
      </c>
      <c r="AN1733" s="21">
        <v>7</v>
      </c>
      <c r="AO1733" s="21">
        <v>15</v>
      </c>
      <c r="AP1733" s="21">
        <v>32</v>
      </c>
      <c r="AQ1733" s="21">
        <v>19</v>
      </c>
      <c r="AR1733" s="21">
        <v>20</v>
      </c>
      <c r="AS1733" s="21">
        <v>31</v>
      </c>
      <c r="AT1733" s="12" t="str">
        <f>HYPERLINK("http://www.openstreetmap.org/?mlat=35.44&amp;mlon=44.36&amp;zoom=12#map=12/35.44/44.36","Maplink1")</f>
        <v>Maplink1</v>
      </c>
      <c r="AU1733" s="12" t="str">
        <f>HYPERLINK("https://www.google.iq/maps/search/+35.44,44.36/@35.44,44.36,14z?hl=en","Maplink2")</f>
        <v>Maplink2</v>
      </c>
      <c r="AV1733" s="12" t="str">
        <f>HYPERLINK("http://www.bing.com/maps/?lvl=14&amp;sty=h&amp;cp=35.44~44.36&amp;sp=point.35.44_44.36","Maplink3")</f>
        <v>Maplink3</v>
      </c>
    </row>
    <row r="1734" spans="1:48" ht="15" customHeight="1" x14ac:dyDescent="0.25">
      <c r="A1734" s="19">
        <v>14464</v>
      </c>
      <c r="B1734" s="20" t="s">
        <v>17</v>
      </c>
      <c r="C1734" s="20" t="s">
        <v>17</v>
      </c>
      <c r="D1734" s="20" t="s">
        <v>3217</v>
      </c>
      <c r="E1734" s="20" t="s">
        <v>3218</v>
      </c>
      <c r="F1734" s="20">
        <v>35.435096076100002</v>
      </c>
      <c r="G1734" s="20">
        <v>44.235604964300002</v>
      </c>
      <c r="H1734" s="22">
        <v>200</v>
      </c>
      <c r="I1734" s="22">
        <v>1200</v>
      </c>
      <c r="J1734" s="21">
        <v>5</v>
      </c>
      <c r="K1734" s="21"/>
      <c r="L1734" s="21"/>
      <c r="M1734" s="21"/>
      <c r="N1734" s="21"/>
      <c r="O1734" s="21"/>
      <c r="P1734" s="21"/>
      <c r="Q1734" s="21"/>
      <c r="R1734" s="21">
        <v>185</v>
      </c>
      <c r="S1734" s="21"/>
      <c r="T1734" s="21"/>
      <c r="U1734" s="21"/>
      <c r="V1734" s="21"/>
      <c r="W1734" s="21"/>
      <c r="X1734" s="21">
        <v>10</v>
      </c>
      <c r="Y1734" s="21"/>
      <c r="Z1734" s="21"/>
      <c r="AA1734" s="21"/>
      <c r="AB1734" s="21"/>
      <c r="AC1734" s="21">
        <v>30</v>
      </c>
      <c r="AD1734" s="21"/>
      <c r="AE1734" s="21"/>
      <c r="AF1734" s="21"/>
      <c r="AG1734" s="21"/>
      <c r="AH1734" s="21">
        <v>155</v>
      </c>
      <c r="AI1734" s="21"/>
      <c r="AJ1734" s="21">
        <v>15</v>
      </c>
      <c r="AK1734" s="21"/>
      <c r="AL1734" s="21"/>
      <c r="AM1734" s="21"/>
      <c r="AN1734" s="21">
        <v>5</v>
      </c>
      <c r="AO1734" s="21">
        <v>62</v>
      </c>
      <c r="AP1734" s="21">
        <v>35</v>
      </c>
      <c r="AQ1734" s="21">
        <v>25</v>
      </c>
      <c r="AR1734" s="21">
        <v>55</v>
      </c>
      <c r="AS1734" s="21">
        <v>18</v>
      </c>
      <c r="AT1734" s="12" t="str">
        <f>HYPERLINK("http://www.openstreetmap.org/?mlat=35.4351&amp;mlon=44.2356&amp;zoom=12#map=12/35.4351/44.2356","Maplink1")</f>
        <v>Maplink1</v>
      </c>
      <c r="AU1734" s="12" t="str">
        <f>HYPERLINK("https://www.google.iq/maps/search/+35.4351,44.2356/@35.4351,44.2356,14z?hl=en","Maplink2")</f>
        <v>Maplink2</v>
      </c>
      <c r="AV1734" s="12" t="str">
        <f>HYPERLINK("http://www.bing.com/maps/?lvl=14&amp;sty=h&amp;cp=35.4351~44.2356&amp;sp=point.35.4351_44.2356","Maplink3")</f>
        <v>Maplink3</v>
      </c>
    </row>
    <row r="1735" spans="1:48" ht="15" customHeight="1" x14ac:dyDescent="0.25">
      <c r="A1735" s="19">
        <v>23901</v>
      </c>
      <c r="B1735" s="20" t="s">
        <v>17</v>
      </c>
      <c r="C1735" s="20" t="s">
        <v>17</v>
      </c>
      <c r="D1735" s="20" t="s">
        <v>3219</v>
      </c>
      <c r="E1735" s="20" t="s">
        <v>3220</v>
      </c>
      <c r="F1735" s="20">
        <v>35.4424429301</v>
      </c>
      <c r="G1735" s="20">
        <v>44.283278890399998</v>
      </c>
      <c r="H1735" s="22">
        <v>30</v>
      </c>
      <c r="I1735" s="22">
        <v>180</v>
      </c>
      <c r="J1735" s="21"/>
      <c r="K1735" s="21"/>
      <c r="L1735" s="21"/>
      <c r="M1735" s="21"/>
      <c r="N1735" s="21"/>
      <c r="O1735" s="21"/>
      <c r="P1735" s="21"/>
      <c r="Q1735" s="21"/>
      <c r="R1735" s="21">
        <v>30</v>
      </c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>
        <v>10</v>
      </c>
      <c r="AD1735" s="21"/>
      <c r="AE1735" s="21"/>
      <c r="AF1735" s="21"/>
      <c r="AG1735" s="21"/>
      <c r="AH1735" s="21">
        <v>15</v>
      </c>
      <c r="AI1735" s="21"/>
      <c r="AJ1735" s="21">
        <v>5</v>
      </c>
      <c r="AK1735" s="21"/>
      <c r="AL1735" s="21"/>
      <c r="AM1735" s="21"/>
      <c r="AN1735" s="21"/>
      <c r="AO1735" s="21">
        <v>6</v>
      </c>
      <c r="AP1735" s="21">
        <v>14</v>
      </c>
      <c r="AQ1735" s="21">
        <v>5</v>
      </c>
      <c r="AR1735" s="21">
        <v>5</v>
      </c>
      <c r="AS1735" s="21"/>
      <c r="AT1735" s="12" t="str">
        <f>HYPERLINK("http://www.openstreetmap.org/?mlat=35.4424&amp;mlon=44.2833&amp;zoom=12#map=12/35.4424/44.2833","Maplink1")</f>
        <v>Maplink1</v>
      </c>
      <c r="AU1735" s="12" t="str">
        <f>HYPERLINK("https://www.google.iq/maps/search/+35.4424,44.2833/@35.4424,44.2833,14z?hl=en","Maplink2")</f>
        <v>Maplink2</v>
      </c>
      <c r="AV1735" s="12" t="str">
        <f>HYPERLINK("http://www.bing.com/maps/?lvl=14&amp;sty=h&amp;cp=35.4424~44.2833&amp;sp=point.35.4424_44.2833","Maplink3")</f>
        <v>Maplink3</v>
      </c>
    </row>
    <row r="1736" spans="1:48" ht="15" customHeight="1" x14ac:dyDescent="0.25">
      <c r="A1736" s="19">
        <v>23900</v>
      </c>
      <c r="B1736" s="20" t="s">
        <v>17</v>
      </c>
      <c r="C1736" s="20" t="s">
        <v>17</v>
      </c>
      <c r="D1736" s="20" t="s">
        <v>3221</v>
      </c>
      <c r="E1736" s="20" t="s">
        <v>3222</v>
      </c>
      <c r="F1736" s="20">
        <v>35.388033495599998</v>
      </c>
      <c r="G1736" s="20">
        <v>44.278269298799998</v>
      </c>
      <c r="H1736" s="22">
        <v>155</v>
      </c>
      <c r="I1736" s="22">
        <v>930</v>
      </c>
      <c r="J1736" s="21"/>
      <c r="K1736" s="21"/>
      <c r="L1736" s="21"/>
      <c r="M1736" s="21"/>
      <c r="N1736" s="21"/>
      <c r="O1736" s="21"/>
      <c r="P1736" s="21"/>
      <c r="Q1736" s="21"/>
      <c r="R1736" s="21">
        <v>150</v>
      </c>
      <c r="S1736" s="21"/>
      <c r="T1736" s="21"/>
      <c r="U1736" s="21"/>
      <c r="V1736" s="21"/>
      <c r="W1736" s="21"/>
      <c r="X1736" s="21">
        <v>5</v>
      </c>
      <c r="Y1736" s="21"/>
      <c r="Z1736" s="21"/>
      <c r="AA1736" s="21"/>
      <c r="AB1736" s="21"/>
      <c r="AC1736" s="21">
        <v>25</v>
      </c>
      <c r="AD1736" s="21"/>
      <c r="AE1736" s="21"/>
      <c r="AF1736" s="21"/>
      <c r="AG1736" s="21"/>
      <c r="AH1736" s="21">
        <v>130</v>
      </c>
      <c r="AI1736" s="21"/>
      <c r="AJ1736" s="21"/>
      <c r="AK1736" s="21"/>
      <c r="AL1736" s="21"/>
      <c r="AM1736" s="21"/>
      <c r="AN1736" s="21"/>
      <c r="AO1736" s="21">
        <v>35</v>
      </c>
      <c r="AP1736" s="21">
        <v>10</v>
      </c>
      <c r="AQ1736" s="21">
        <v>20</v>
      </c>
      <c r="AR1736" s="21">
        <v>20</v>
      </c>
      <c r="AS1736" s="21">
        <v>70</v>
      </c>
      <c r="AT1736" s="12" t="str">
        <f>HYPERLINK("http://www.openstreetmap.org/?mlat=35.388&amp;mlon=44.2783&amp;zoom=12#map=12/35.388/44.2783","Maplink1")</f>
        <v>Maplink1</v>
      </c>
      <c r="AU1736" s="12" t="str">
        <f>HYPERLINK("https://www.google.iq/maps/search/+35.388,44.2783/@35.388,44.2783,14z?hl=en","Maplink2")</f>
        <v>Maplink2</v>
      </c>
      <c r="AV1736" s="12" t="str">
        <f>HYPERLINK("http://www.bing.com/maps/?lvl=14&amp;sty=h&amp;cp=35.388~44.2783&amp;sp=point.35.388_44.2783","Maplink3")</f>
        <v>Maplink3</v>
      </c>
    </row>
    <row r="1737" spans="1:48" ht="15" customHeight="1" x14ac:dyDescent="0.25">
      <c r="A1737" s="19">
        <v>27379</v>
      </c>
      <c r="B1737" s="20" t="s">
        <v>18</v>
      </c>
      <c r="C1737" s="20" t="s">
        <v>3223</v>
      </c>
      <c r="D1737" s="20" t="s">
        <v>3224</v>
      </c>
      <c r="E1737" s="20" t="s">
        <v>3225</v>
      </c>
      <c r="F1737" s="20">
        <v>31.8019483052</v>
      </c>
      <c r="G1737" s="20">
        <v>47.3815493938</v>
      </c>
      <c r="H1737" s="22">
        <v>1</v>
      </c>
      <c r="I1737" s="22">
        <v>6</v>
      </c>
      <c r="J1737" s="21"/>
      <c r="K1737" s="21"/>
      <c r="L1737" s="21">
        <v>1</v>
      </c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21"/>
      <c r="AH1737" s="21">
        <v>1</v>
      </c>
      <c r="AI1737" s="21"/>
      <c r="AJ1737" s="21"/>
      <c r="AK1737" s="21"/>
      <c r="AL1737" s="21"/>
      <c r="AM1737" s="21"/>
      <c r="AN1737" s="21"/>
      <c r="AO1737" s="21">
        <v>1</v>
      </c>
      <c r="AP1737" s="21"/>
      <c r="AQ1737" s="21"/>
      <c r="AR1737" s="21"/>
      <c r="AS1737" s="21"/>
      <c r="AT1737" s="12" t="str">
        <f>HYPERLINK("http://www.openstreetmap.org/?mlat=31.8019&amp;mlon=47.3815&amp;zoom=12#map=12/31.8019/47.3815","Maplink1")</f>
        <v>Maplink1</v>
      </c>
      <c r="AU1737" s="12" t="str">
        <f>HYPERLINK("https://www.google.iq/maps/search/+31.8019,47.3815/@31.8019,47.3815,14z?hl=en","Maplink2")</f>
        <v>Maplink2</v>
      </c>
      <c r="AV1737" s="12" t="str">
        <f>HYPERLINK("http://www.bing.com/maps/?lvl=14&amp;sty=h&amp;cp=31.8019~47.3815&amp;sp=point.31.8019_47.3815","Maplink3")</f>
        <v>Maplink3</v>
      </c>
    </row>
    <row r="1738" spans="1:48" ht="15" customHeight="1" x14ac:dyDescent="0.25">
      <c r="A1738" s="19">
        <v>23871</v>
      </c>
      <c r="B1738" s="20" t="s">
        <v>18</v>
      </c>
      <c r="C1738" s="20" t="s">
        <v>3223</v>
      </c>
      <c r="D1738" s="20" t="s">
        <v>3226</v>
      </c>
      <c r="E1738" s="20" t="s">
        <v>3227</v>
      </c>
      <c r="F1738" s="20">
        <v>31.842215315000001</v>
      </c>
      <c r="G1738" s="20">
        <v>47.409738892199996</v>
      </c>
      <c r="H1738" s="22">
        <v>3</v>
      </c>
      <c r="I1738" s="22">
        <v>18</v>
      </c>
      <c r="J1738" s="21"/>
      <c r="K1738" s="21"/>
      <c r="L1738" s="21">
        <v>3</v>
      </c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>
        <v>3</v>
      </c>
      <c r="AF1738" s="21"/>
      <c r="AG1738" s="21"/>
      <c r="AH1738" s="21"/>
      <c r="AI1738" s="21"/>
      <c r="AJ1738" s="21"/>
      <c r="AK1738" s="21"/>
      <c r="AL1738" s="21"/>
      <c r="AM1738" s="21"/>
      <c r="AN1738" s="21">
        <v>3</v>
      </c>
      <c r="AO1738" s="21"/>
      <c r="AP1738" s="21"/>
      <c r="AQ1738" s="21"/>
      <c r="AR1738" s="21"/>
      <c r="AS1738" s="21"/>
      <c r="AT1738" s="12" t="str">
        <f>HYPERLINK("http://www.openstreetmap.org/?mlat=31.8422&amp;mlon=47.4097&amp;zoom=12#map=12/31.8422/47.4097","Maplink1")</f>
        <v>Maplink1</v>
      </c>
      <c r="AU1738" s="12" t="str">
        <f>HYPERLINK("https://www.google.iq/maps/search/+31.8422,47.4097/@31.8422,47.4097,14z?hl=en","Maplink2")</f>
        <v>Maplink2</v>
      </c>
      <c r="AV1738" s="12" t="str">
        <f>HYPERLINK("http://www.bing.com/maps/?lvl=14&amp;sty=h&amp;cp=31.8422~47.4097&amp;sp=point.31.8422_47.4097","Maplink3")</f>
        <v>Maplink3</v>
      </c>
    </row>
    <row r="1739" spans="1:48" ht="15" customHeight="1" x14ac:dyDescent="0.25">
      <c r="A1739" s="19">
        <v>29505</v>
      </c>
      <c r="B1739" s="20" t="s">
        <v>18</v>
      </c>
      <c r="C1739" s="20" t="s">
        <v>3223</v>
      </c>
      <c r="D1739" s="20" t="s">
        <v>3228</v>
      </c>
      <c r="E1739" s="20" t="s">
        <v>3229</v>
      </c>
      <c r="F1739" s="20">
        <v>31.67661953</v>
      </c>
      <c r="G1739" s="20">
        <v>47.283754289999997</v>
      </c>
      <c r="H1739" s="22">
        <v>1</v>
      </c>
      <c r="I1739" s="22">
        <v>6</v>
      </c>
      <c r="J1739" s="21"/>
      <c r="K1739" s="21"/>
      <c r="L1739" s="21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>
        <v>1</v>
      </c>
      <c r="Y1739" s="21"/>
      <c r="Z1739" s="21"/>
      <c r="AA1739" s="21"/>
      <c r="AB1739" s="21"/>
      <c r="AC1739" s="21"/>
      <c r="AD1739" s="21"/>
      <c r="AE1739" s="21"/>
      <c r="AF1739" s="21"/>
      <c r="AG1739" s="21"/>
      <c r="AH1739" s="21">
        <v>1</v>
      </c>
      <c r="AI1739" s="21"/>
      <c r="AJ1739" s="21"/>
      <c r="AK1739" s="21"/>
      <c r="AL1739" s="21"/>
      <c r="AM1739" s="21"/>
      <c r="AN1739" s="21">
        <v>1</v>
      </c>
      <c r="AO1739" s="21"/>
      <c r="AP1739" s="21"/>
      <c r="AQ1739" s="21"/>
      <c r="AR1739" s="21"/>
      <c r="AS1739" s="21"/>
      <c r="AT1739" s="12" t="str">
        <f>HYPERLINK("http://www.openstreetmap.org/?mlat=31.6766&amp;mlon=47.2838&amp;zoom=12#map=12/31.6766/47.2838","Maplink1")</f>
        <v>Maplink1</v>
      </c>
      <c r="AU1739" s="12" t="str">
        <f>HYPERLINK("https://www.google.iq/maps/search/+31.6766,47.2838/@31.6766,47.2838,14z?hl=en","Maplink2")</f>
        <v>Maplink2</v>
      </c>
      <c r="AV1739" s="12" t="str">
        <f>HYPERLINK("http://www.bing.com/maps/?lvl=14&amp;sty=h&amp;cp=31.6766~47.2838&amp;sp=point.31.6766_47.2838","Maplink3")</f>
        <v>Maplink3</v>
      </c>
    </row>
    <row r="1740" spans="1:48" ht="15" customHeight="1" x14ac:dyDescent="0.25">
      <c r="A1740" s="19">
        <v>16292</v>
      </c>
      <c r="B1740" s="20" t="s">
        <v>18</v>
      </c>
      <c r="C1740" s="20" t="s">
        <v>3223</v>
      </c>
      <c r="D1740" s="20" t="s">
        <v>3230</v>
      </c>
      <c r="E1740" s="20" t="s">
        <v>3231</v>
      </c>
      <c r="F1740" s="20">
        <v>31.6759038</v>
      </c>
      <c r="G1740" s="20">
        <v>47.293280070000002</v>
      </c>
      <c r="H1740" s="22">
        <v>2</v>
      </c>
      <c r="I1740" s="22">
        <v>12</v>
      </c>
      <c r="J1740" s="21"/>
      <c r="K1740" s="21"/>
      <c r="L1740" s="21"/>
      <c r="M1740" s="21"/>
      <c r="N1740" s="21"/>
      <c r="O1740" s="21"/>
      <c r="P1740" s="21"/>
      <c r="Q1740" s="21"/>
      <c r="R1740" s="21">
        <v>2</v>
      </c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>
        <v>1</v>
      </c>
      <c r="AD1740" s="21"/>
      <c r="AE1740" s="21"/>
      <c r="AF1740" s="21"/>
      <c r="AG1740" s="21"/>
      <c r="AH1740" s="21">
        <v>1</v>
      </c>
      <c r="AI1740" s="21"/>
      <c r="AJ1740" s="21"/>
      <c r="AK1740" s="21"/>
      <c r="AL1740" s="21"/>
      <c r="AM1740" s="21"/>
      <c r="AN1740" s="21">
        <v>2</v>
      </c>
      <c r="AO1740" s="21"/>
      <c r="AP1740" s="21"/>
      <c r="AQ1740" s="21"/>
      <c r="AR1740" s="21"/>
      <c r="AS1740" s="21"/>
      <c r="AT1740" s="12" t="str">
        <f>HYPERLINK("http://www.openstreetmap.org/?mlat=31.6759&amp;mlon=47.2933&amp;zoom=12#map=12/31.6759/47.2933","Maplink1")</f>
        <v>Maplink1</v>
      </c>
      <c r="AU1740" s="12" t="str">
        <f>HYPERLINK("https://www.google.iq/maps/search/+31.6759,47.2933/@31.6759,47.2933,14z?hl=en","Maplink2")</f>
        <v>Maplink2</v>
      </c>
      <c r="AV1740" s="12" t="str">
        <f>HYPERLINK("http://www.bing.com/maps/?lvl=14&amp;sty=h&amp;cp=31.6759~47.2933&amp;sp=point.31.6759_47.2933","Maplink3")</f>
        <v>Maplink3</v>
      </c>
    </row>
    <row r="1741" spans="1:48" ht="15" customHeight="1" x14ac:dyDescent="0.25">
      <c r="A1741" s="19">
        <v>22093</v>
      </c>
      <c r="B1741" s="20" t="s">
        <v>18</v>
      </c>
      <c r="C1741" s="20" t="s">
        <v>3223</v>
      </c>
      <c r="D1741" s="20" t="s">
        <v>3232</v>
      </c>
      <c r="E1741" s="20" t="s">
        <v>1416</v>
      </c>
      <c r="F1741" s="20">
        <v>31.666176</v>
      </c>
      <c r="G1741" s="20">
        <v>47.297423999999999</v>
      </c>
      <c r="H1741" s="22">
        <v>1</v>
      </c>
      <c r="I1741" s="22">
        <v>6</v>
      </c>
      <c r="J1741" s="21"/>
      <c r="K1741" s="21"/>
      <c r="L1741" s="21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>
        <v>1</v>
      </c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21"/>
      <c r="AH1741" s="21">
        <v>1</v>
      </c>
      <c r="AI1741" s="21"/>
      <c r="AJ1741" s="21"/>
      <c r="AK1741" s="21"/>
      <c r="AL1741" s="21"/>
      <c r="AM1741" s="21">
        <v>1</v>
      </c>
      <c r="AN1741" s="21"/>
      <c r="AO1741" s="21"/>
      <c r="AP1741" s="21"/>
      <c r="AQ1741" s="21"/>
      <c r="AR1741" s="21"/>
      <c r="AS1741" s="21"/>
      <c r="AT1741" s="12" t="str">
        <f>HYPERLINK("http://www.openstreetmap.org/?mlat=31.6662&amp;mlon=47.2974&amp;zoom=12#map=12/31.6662/47.2974","Maplink1")</f>
        <v>Maplink1</v>
      </c>
      <c r="AU1741" s="12" t="str">
        <f>HYPERLINK("https://www.google.iq/maps/search/+31.6662,47.2974/@31.6662,47.2974,14z?hl=en","Maplink2")</f>
        <v>Maplink2</v>
      </c>
      <c r="AV1741" s="12" t="str">
        <f>HYPERLINK("http://www.bing.com/maps/?lvl=14&amp;sty=h&amp;cp=31.6662~47.2974&amp;sp=point.31.6662_47.2974","Maplink3")</f>
        <v>Maplink3</v>
      </c>
    </row>
    <row r="1742" spans="1:48" ht="15" customHeight="1" x14ac:dyDescent="0.25">
      <c r="A1742" s="19">
        <v>16170</v>
      </c>
      <c r="B1742" s="20" t="s">
        <v>18</v>
      </c>
      <c r="C1742" s="20" t="s">
        <v>3233</v>
      </c>
      <c r="D1742" s="20" t="s">
        <v>3234</v>
      </c>
      <c r="E1742" s="20" t="s">
        <v>3235</v>
      </c>
      <c r="F1742" s="20">
        <v>31.543156710000002</v>
      </c>
      <c r="G1742" s="20">
        <v>46.97010641</v>
      </c>
      <c r="H1742" s="22">
        <v>1</v>
      </c>
      <c r="I1742" s="22">
        <v>6</v>
      </c>
      <c r="J1742" s="21"/>
      <c r="K1742" s="21"/>
      <c r="L1742" s="21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>
        <v>1</v>
      </c>
      <c r="Y1742" s="21"/>
      <c r="Z1742" s="21"/>
      <c r="AA1742" s="21"/>
      <c r="AB1742" s="21"/>
      <c r="AC1742" s="21">
        <v>1</v>
      </c>
      <c r="AD1742" s="21"/>
      <c r="AE1742" s="21"/>
      <c r="AF1742" s="21"/>
      <c r="AG1742" s="21"/>
      <c r="AH1742" s="21"/>
      <c r="AI1742" s="21"/>
      <c r="AJ1742" s="21"/>
      <c r="AK1742" s="21"/>
      <c r="AL1742" s="21"/>
      <c r="AM1742" s="21">
        <v>1</v>
      </c>
      <c r="AN1742" s="21"/>
      <c r="AO1742" s="21"/>
      <c r="AP1742" s="21"/>
      <c r="AQ1742" s="21"/>
      <c r="AR1742" s="21"/>
      <c r="AS1742" s="21"/>
      <c r="AT1742" s="12" t="str">
        <f>HYPERLINK("http://www.openstreetmap.org/?mlat=31.5432&amp;mlon=46.9701&amp;zoom=12#map=12/31.5432/46.9701","Maplink1")</f>
        <v>Maplink1</v>
      </c>
      <c r="AU1742" s="12" t="str">
        <f>HYPERLINK("https://www.google.iq/maps/search/+31.5432,46.9701/@31.5432,46.9701,14z?hl=en","Maplink2")</f>
        <v>Maplink2</v>
      </c>
      <c r="AV1742" s="12" t="str">
        <f>HYPERLINK("http://www.bing.com/maps/?lvl=14&amp;sty=h&amp;cp=31.5432~46.9701&amp;sp=point.31.5432_46.9701","Maplink3")</f>
        <v>Maplink3</v>
      </c>
    </row>
    <row r="1743" spans="1:48" ht="15" customHeight="1" x14ac:dyDescent="0.25">
      <c r="A1743" s="19">
        <v>27267</v>
      </c>
      <c r="B1743" s="20" t="s">
        <v>18</v>
      </c>
      <c r="C1743" s="20" t="s">
        <v>3233</v>
      </c>
      <c r="D1743" s="20" t="s">
        <v>3236</v>
      </c>
      <c r="E1743" s="20" t="s">
        <v>3237</v>
      </c>
      <c r="F1743" s="20">
        <v>31.679575159999999</v>
      </c>
      <c r="G1743" s="20">
        <v>46.961758289999999</v>
      </c>
      <c r="H1743" s="22">
        <v>2</v>
      </c>
      <c r="I1743" s="22">
        <v>12</v>
      </c>
      <c r="J1743" s="21"/>
      <c r="K1743" s="21"/>
      <c r="L1743" s="21">
        <v>1</v>
      </c>
      <c r="M1743" s="21"/>
      <c r="N1743" s="21"/>
      <c r="O1743" s="21">
        <v>1</v>
      </c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>
        <v>1</v>
      </c>
      <c r="AD1743" s="21"/>
      <c r="AE1743" s="21"/>
      <c r="AF1743" s="21"/>
      <c r="AG1743" s="21"/>
      <c r="AH1743" s="21">
        <v>1</v>
      </c>
      <c r="AI1743" s="21"/>
      <c r="AJ1743" s="21"/>
      <c r="AK1743" s="21"/>
      <c r="AL1743" s="21"/>
      <c r="AM1743" s="21"/>
      <c r="AN1743" s="21">
        <v>1</v>
      </c>
      <c r="AO1743" s="21">
        <v>1</v>
      </c>
      <c r="AP1743" s="21"/>
      <c r="AQ1743" s="21"/>
      <c r="AR1743" s="21"/>
      <c r="AS1743" s="21"/>
      <c r="AT1743" s="12" t="str">
        <f>HYPERLINK("http://www.openstreetmap.org/?mlat=31.6796&amp;mlon=46.9618&amp;zoom=12#map=12/31.6796/46.9618","Maplink1")</f>
        <v>Maplink1</v>
      </c>
      <c r="AU1743" s="12" t="str">
        <f>HYPERLINK("https://www.google.iq/maps/search/+31.6796,46.9618/@31.6796,46.9618,14z?hl=en","Maplink2")</f>
        <v>Maplink2</v>
      </c>
      <c r="AV1743" s="12" t="str">
        <f>HYPERLINK("http://www.bing.com/maps/?lvl=14&amp;sty=h&amp;cp=31.6796~46.9618&amp;sp=point.31.6796_46.9618","Maplink3")</f>
        <v>Maplink3</v>
      </c>
    </row>
    <row r="1744" spans="1:48" ht="15" customHeight="1" x14ac:dyDescent="0.25">
      <c r="A1744" s="19">
        <v>25276</v>
      </c>
      <c r="B1744" s="20" t="s">
        <v>18</v>
      </c>
      <c r="C1744" s="20" t="s">
        <v>3238</v>
      </c>
      <c r="D1744" s="20" t="s">
        <v>3239</v>
      </c>
      <c r="E1744" s="20" t="s">
        <v>1416</v>
      </c>
      <c r="F1744" s="20">
        <v>31.576392930000001</v>
      </c>
      <c r="G1744" s="20">
        <v>47.165207610000003</v>
      </c>
      <c r="H1744" s="22">
        <v>7</v>
      </c>
      <c r="I1744" s="22">
        <v>42</v>
      </c>
      <c r="J1744" s="21"/>
      <c r="K1744" s="21"/>
      <c r="L1744" s="21">
        <v>3</v>
      </c>
      <c r="M1744" s="21"/>
      <c r="N1744" s="21"/>
      <c r="O1744" s="21"/>
      <c r="P1744" s="21"/>
      <c r="Q1744" s="21"/>
      <c r="R1744" s="21">
        <v>4</v>
      </c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>
        <v>3</v>
      </c>
      <c r="AD1744" s="21"/>
      <c r="AE1744" s="21"/>
      <c r="AF1744" s="21"/>
      <c r="AG1744" s="21"/>
      <c r="AH1744" s="21">
        <v>4</v>
      </c>
      <c r="AI1744" s="21"/>
      <c r="AJ1744" s="21"/>
      <c r="AK1744" s="21"/>
      <c r="AL1744" s="21"/>
      <c r="AM1744" s="21">
        <v>6</v>
      </c>
      <c r="AN1744" s="21">
        <v>1</v>
      </c>
      <c r="AO1744" s="21"/>
      <c r="AP1744" s="21"/>
      <c r="AQ1744" s="21"/>
      <c r="AR1744" s="21"/>
      <c r="AS1744" s="21"/>
      <c r="AT1744" s="12" t="str">
        <f>HYPERLINK("http://www.openstreetmap.org/?mlat=31.5764&amp;mlon=47.1652&amp;zoom=12#map=12/31.5764/47.1652","Maplink1")</f>
        <v>Maplink1</v>
      </c>
      <c r="AU1744" s="12" t="str">
        <f>HYPERLINK("https://www.google.iq/maps/search/+31.5764,47.1652/@31.5764,47.1652,14z?hl=en","Maplink2")</f>
        <v>Maplink2</v>
      </c>
      <c r="AV1744" s="12" t="str">
        <f>HYPERLINK("http://www.bing.com/maps/?lvl=14&amp;sty=h&amp;cp=31.5764~47.1652&amp;sp=point.31.5764_47.1652","Maplink3")</f>
        <v>Maplink3</v>
      </c>
    </row>
    <row r="1745" spans="1:48" ht="15" customHeight="1" x14ac:dyDescent="0.25">
      <c r="A1745" s="19">
        <v>16214</v>
      </c>
      <c r="B1745" s="20" t="s">
        <v>18</v>
      </c>
      <c r="C1745" s="20" t="s">
        <v>3238</v>
      </c>
      <c r="D1745" s="20" t="s">
        <v>3240</v>
      </c>
      <c r="E1745" s="20" t="s">
        <v>3241</v>
      </c>
      <c r="F1745" s="20">
        <v>31.571908570000002</v>
      </c>
      <c r="G1745" s="20">
        <v>47.1677532</v>
      </c>
      <c r="H1745" s="22">
        <v>6</v>
      </c>
      <c r="I1745" s="22">
        <v>36</v>
      </c>
      <c r="J1745" s="21"/>
      <c r="K1745" s="21"/>
      <c r="L1745" s="21"/>
      <c r="M1745" s="21"/>
      <c r="N1745" s="21"/>
      <c r="O1745" s="21"/>
      <c r="P1745" s="21"/>
      <c r="Q1745" s="21"/>
      <c r="R1745" s="21">
        <v>5</v>
      </c>
      <c r="S1745" s="21"/>
      <c r="T1745" s="21"/>
      <c r="U1745" s="21"/>
      <c r="V1745" s="21"/>
      <c r="W1745" s="21"/>
      <c r="X1745" s="21">
        <v>1</v>
      </c>
      <c r="Y1745" s="21"/>
      <c r="Z1745" s="21"/>
      <c r="AA1745" s="21"/>
      <c r="AB1745" s="21"/>
      <c r="AC1745" s="21">
        <v>3</v>
      </c>
      <c r="AD1745" s="21"/>
      <c r="AE1745" s="21"/>
      <c r="AF1745" s="21"/>
      <c r="AG1745" s="21"/>
      <c r="AH1745" s="21">
        <v>3</v>
      </c>
      <c r="AI1745" s="21"/>
      <c r="AJ1745" s="21"/>
      <c r="AK1745" s="21"/>
      <c r="AL1745" s="21"/>
      <c r="AM1745" s="21">
        <v>1</v>
      </c>
      <c r="AN1745" s="21">
        <v>2</v>
      </c>
      <c r="AO1745" s="21">
        <v>2</v>
      </c>
      <c r="AP1745" s="21"/>
      <c r="AQ1745" s="21"/>
      <c r="AR1745" s="21">
        <v>1</v>
      </c>
      <c r="AS1745" s="21"/>
      <c r="AT1745" s="12" t="str">
        <f>HYPERLINK("http://www.openstreetmap.org/?mlat=31.5719&amp;mlon=47.1678&amp;zoom=12#map=12/31.5719/47.1678","Maplink1")</f>
        <v>Maplink1</v>
      </c>
      <c r="AU1745" s="12" t="str">
        <f>HYPERLINK("https://www.google.iq/maps/search/+31.5719,47.1678/@31.5719,47.1678,14z?hl=en","Maplink2")</f>
        <v>Maplink2</v>
      </c>
      <c r="AV1745" s="12" t="str">
        <f>HYPERLINK("http://www.bing.com/maps/?lvl=14&amp;sty=h&amp;cp=31.5719~47.1678&amp;sp=point.31.5719_47.1678","Maplink3")</f>
        <v>Maplink3</v>
      </c>
    </row>
    <row r="1746" spans="1:48" ht="15" customHeight="1" x14ac:dyDescent="0.25">
      <c r="A1746" s="19">
        <v>24533</v>
      </c>
      <c r="B1746" s="20" t="s">
        <v>18</v>
      </c>
      <c r="C1746" s="20" t="s">
        <v>3238</v>
      </c>
      <c r="D1746" s="20" t="s">
        <v>3242</v>
      </c>
      <c r="E1746" s="20" t="s">
        <v>3243</v>
      </c>
      <c r="F1746" s="20">
        <v>31.578765000000001</v>
      </c>
      <c r="G1746" s="20">
        <v>47.18206</v>
      </c>
      <c r="H1746" s="22">
        <v>3</v>
      </c>
      <c r="I1746" s="22">
        <v>18</v>
      </c>
      <c r="J1746" s="21"/>
      <c r="K1746" s="21"/>
      <c r="L1746" s="21">
        <v>1</v>
      </c>
      <c r="M1746" s="21"/>
      <c r="N1746" s="21"/>
      <c r="O1746" s="21"/>
      <c r="P1746" s="21"/>
      <c r="Q1746" s="21"/>
      <c r="R1746" s="21">
        <v>1</v>
      </c>
      <c r="S1746" s="21"/>
      <c r="T1746" s="21"/>
      <c r="U1746" s="21"/>
      <c r="V1746" s="21">
        <v>1</v>
      </c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21"/>
      <c r="AH1746" s="21">
        <v>3</v>
      </c>
      <c r="AI1746" s="21"/>
      <c r="AJ1746" s="21"/>
      <c r="AK1746" s="21"/>
      <c r="AL1746" s="21"/>
      <c r="AM1746" s="21"/>
      <c r="AN1746" s="21">
        <v>2</v>
      </c>
      <c r="AO1746" s="21">
        <v>1</v>
      </c>
      <c r="AP1746" s="21"/>
      <c r="AQ1746" s="21"/>
      <c r="AR1746" s="21"/>
      <c r="AS1746" s="21"/>
      <c r="AT1746" s="12" t="str">
        <f>HYPERLINK("http://www.openstreetmap.org/?mlat=31.5788&amp;mlon=47.1821&amp;zoom=12#map=12/31.5788/47.1821","Maplink1")</f>
        <v>Maplink1</v>
      </c>
      <c r="AU1746" s="12" t="str">
        <f>HYPERLINK("https://www.google.iq/maps/search/+31.5788,47.1821/@31.5788,47.1821,14z?hl=en","Maplink2")</f>
        <v>Maplink2</v>
      </c>
      <c r="AV1746" s="12" t="str">
        <f>HYPERLINK("http://www.bing.com/maps/?lvl=14&amp;sty=h&amp;cp=31.5788~47.1821&amp;sp=point.31.5788_47.1821","Maplink3")</f>
        <v>Maplink3</v>
      </c>
    </row>
    <row r="1747" spans="1:48" ht="15" customHeight="1" x14ac:dyDescent="0.25">
      <c r="A1747" s="19">
        <v>24372</v>
      </c>
      <c r="B1747" s="20" t="s">
        <v>18</v>
      </c>
      <c r="C1747" s="20" t="s">
        <v>3238</v>
      </c>
      <c r="D1747" s="20" t="s">
        <v>3244</v>
      </c>
      <c r="E1747" s="20" t="s">
        <v>3245</v>
      </c>
      <c r="F1747" s="20">
        <v>31.579388739999999</v>
      </c>
      <c r="G1747" s="20">
        <v>47.164871159999997</v>
      </c>
      <c r="H1747" s="22">
        <v>4</v>
      </c>
      <c r="I1747" s="22">
        <v>24</v>
      </c>
      <c r="J1747" s="21"/>
      <c r="K1747" s="21"/>
      <c r="L1747" s="21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>
        <v>4</v>
      </c>
      <c r="W1747" s="21"/>
      <c r="X1747" s="21"/>
      <c r="Y1747" s="21"/>
      <c r="Z1747" s="21"/>
      <c r="AA1747" s="21"/>
      <c r="AB1747" s="21"/>
      <c r="AC1747" s="21">
        <v>1</v>
      </c>
      <c r="AD1747" s="21"/>
      <c r="AE1747" s="21"/>
      <c r="AF1747" s="21"/>
      <c r="AG1747" s="21"/>
      <c r="AH1747" s="21"/>
      <c r="AI1747" s="21">
        <v>3</v>
      </c>
      <c r="AJ1747" s="21"/>
      <c r="AK1747" s="21"/>
      <c r="AL1747" s="21"/>
      <c r="AM1747" s="21">
        <v>2</v>
      </c>
      <c r="AN1747" s="21">
        <v>1</v>
      </c>
      <c r="AO1747" s="21">
        <v>1</v>
      </c>
      <c r="AP1747" s="21"/>
      <c r="AQ1747" s="21"/>
      <c r="AR1747" s="21"/>
      <c r="AS1747" s="21"/>
      <c r="AT1747" s="12" t="str">
        <f>HYPERLINK("http://www.openstreetmap.org/?mlat=31.5794&amp;mlon=47.1649&amp;zoom=12#map=12/31.5794/47.1649","Maplink1")</f>
        <v>Maplink1</v>
      </c>
      <c r="AU1747" s="12" t="str">
        <f>HYPERLINK("https://www.google.iq/maps/search/+31.5794,47.1649/@31.5794,47.1649,14z?hl=en","Maplink2")</f>
        <v>Maplink2</v>
      </c>
      <c r="AV1747" s="12" t="str">
        <f>HYPERLINK("http://www.bing.com/maps/?lvl=14&amp;sty=h&amp;cp=31.5794~47.1649&amp;sp=point.31.5794_47.1649","Maplink3")</f>
        <v>Maplink3</v>
      </c>
    </row>
    <row r="1748" spans="1:48" ht="15" customHeight="1" x14ac:dyDescent="0.25">
      <c r="A1748" s="19">
        <v>16186</v>
      </c>
      <c r="B1748" s="20" t="s">
        <v>18</v>
      </c>
      <c r="C1748" s="20" t="s">
        <v>3238</v>
      </c>
      <c r="D1748" s="20" t="s">
        <v>3247</v>
      </c>
      <c r="E1748" s="20" t="s">
        <v>119</v>
      </c>
      <c r="F1748" s="20">
        <v>31.575439530000001</v>
      </c>
      <c r="G1748" s="20">
        <v>47.168328780000003</v>
      </c>
      <c r="H1748" s="22">
        <v>2</v>
      </c>
      <c r="I1748" s="22">
        <v>12</v>
      </c>
      <c r="J1748" s="21"/>
      <c r="K1748" s="21"/>
      <c r="L1748" s="21"/>
      <c r="M1748" s="21"/>
      <c r="N1748" s="21"/>
      <c r="O1748" s="21"/>
      <c r="P1748" s="21"/>
      <c r="Q1748" s="21"/>
      <c r="R1748" s="21">
        <v>2</v>
      </c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>
        <v>1</v>
      </c>
      <c r="AD1748" s="21"/>
      <c r="AE1748" s="21"/>
      <c r="AF1748" s="21"/>
      <c r="AG1748" s="21"/>
      <c r="AH1748" s="21">
        <v>1</v>
      </c>
      <c r="AI1748" s="21"/>
      <c r="AJ1748" s="21"/>
      <c r="AK1748" s="21"/>
      <c r="AL1748" s="21"/>
      <c r="AM1748" s="21"/>
      <c r="AN1748" s="21"/>
      <c r="AO1748" s="21">
        <v>2</v>
      </c>
      <c r="AP1748" s="21"/>
      <c r="AQ1748" s="21"/>
      <c r="AR1748" s="21"/>
      <c r="AS1748" s="21"/>
      <c r="AT1748" s="12" t="str">
        <f>HYPERLINK("http://www.openstreetmap.org/?mlat=31.5754&amp;mlon=47.1683&amp;zoom=12#map=12/31.5754/47.1683","Maplink1")</f>
        <v>Maplink1</v>
      </c>
      <c r="AU1748" s="12" t="str">
        <f>HYPERLINK("https://www.google.iq/maps/search/+31.5754,47.1683/@31.5754,47.1683,14z?hl=en","Maplink2")</f>
        <v>Maplink2</v>
      </c>
      <c r="AV1748" s="12" t="str">
        <f>HYPERLINK("http://www.bing.com/maps/?lvl=14&amp;sty=h&amp;cp=31.5754~47.1683&amp;sp=point.31.5754_47.1683","Maplink3")</f>
        <v>Maplink3</v>
      </c>
    </row>
    <row r="1749" spans="1:48" ht="15" customHeight="1" x14ac:dyDescent="0.25">
      <c r="A1749" s="19">
        <v>16864</v>
      </c>
      <c r="B1749" s="20" t="s">
        <v>18</v>
      </c>
      <c r="C1749" s="20" t="s">
        <v>3238</v>
      </c>
      <c r="D1749" s="20" t="s">
        <v>3248</v>
      </c>
      <c r="E1749" s="20" t="s">
        <v>1020</v>
      </c>
      <c r="F1749" s="20">
        <v>31.588359730000001</v>
      </c>
      <c r="G1749" s="20">
        <v>47.159175740000002</v>
      </c>
      <c r="H1749" s="22">
        <v>1</v>
      </c>
      <c r="I1749" s="22">
        <v>6</v>
      </c>
      <c r="J1749" s="21"/>
      <c r="K1749" s="21"/>
      <c r="L1749" s="21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>
        <v>1</v>
      </c>
      <c r="W1749" s="21"/>
      <c r="X1749" s="21"/>
      <c r="Y1749" s="21"/>
      <c r="Z1749" s="21"/>
      <c r="AA1749" s="21"/>
      <c r="AB1749" s="21"/>
      <c r="AC1749" s="21">
        <v>1</v>
      </c>
      <c r="AD1749" s="21"/>
      <c r="AE1749" s="21"/>
      <c r="AF1749" s="21"/>
      <c r="AG1749" s="21"/>
      <c r="AH1749" s="21"/>
      <c r="AI1749" s="21"/>
      <c r="AJ1749" s="21"/>
      <c r="AK1749" s="21"/>
      <c r="AL1749" s="21"/>
      <c r="AM1749" s="21">
        <v>1</v>
      </c>
      <c r="AN1749" s="21"/>
      <c r="AO1749" s="21"/>
      <c r="AP1749" s="21"/>
      <c r="AQ1749" s="21"/>
      <c r="AR1749" s="21"/>
      <c r="AS1749" s="21"/>
      <c r="AT1749" s="12" t="str">
        <f>HYPERLINK("http://www.openstreetmap.org/?mlat=31.5884&amp;mlon=47.1592&amp;zoom=12#map=12/31.5884/47.1592","Maplink1")</f>
        <v>Maplink1</v>
      </c>
      <c r="AU1749" s="12" t="str">
        <f>HYPERLINK("https://www.google.iq/maps/search/+31.5884,47.1592/@31.5884,47.1592,14z?hl=en","Maplink2")</f>
        <v>Maplink2</v>
      </c>
      <c r="AV1749" s="12" t="str">
        <f>HYPERLINK("http://www.bing.com/maps/?lvl=14&amp;sty=h&amp;cp=31.5884~47.1592&amp;sp=point.31.5884_47.1592","Maplink3")</f>
        <v>Maplink3</v>
      </c>
    </row>
    <row r="1750" spans="1:48" ht="15" customHeight="1" x14ac:dyDescent="0.25">
      <c r="A1750" s="19">
        <v>15997</v>
      </c>
      <c r="B1750" s="20" t="s">
        <v>18</v>
      </c>
      <c r="C1750" s="20" t="s">
        <v>3238</v>
      </c>
      <c r="D1750" s="20" t="s">
        <v>3249</v>
      </c>
      <c r="E1750" s="20" t="s">
        <v>318</v>
      </c>
      <c r="F1750" s="20">
        <v>31.583491890000001</v>
      </c>
      <c r="G1750" s="20">
        <v>47.1742335</v>
      </c>
      <c r="H1750" s="22">
        <v>2</v>
      </c>
      <c r="I1750" s="22">
        <v>12</v>
      </c>
      <c r="J1750" s="21"/>
      <c r="K1750" s="21"/>
      <c r="L1750" s="21"/>
      <c r="M1750" s="21"/>
      <c r="N1750" s="21"/>
      <c r="O1750" s="21"/>
      <c r="P1750" s="21"/>
      <c r="Q1750" s="21"/>
      <c r="R1750" s="21">
        <v>2</v>
      </c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>
        <v>1</v>
      </c>
      <c r="AD1750" s="21"/>
      <c r="AE1750" s="21"/>
      <c r="AF1750" s="21"/>
      <c r="AG1750" s="21"/>
      <c r="AH1750" s="21">
        <v>1</v>
      </c>
      <c r="AI1750" s="21"/>
      <c r="AJ1750" s="21"/>
      <c r="AK1750" s="21"/>
      <c r="AL1750" s="21"/>
      <c r="AM1750" s="21"/>
      <c r="AN1750" s="21">
        <v>2</v>
      </c>
      <c r="AO1750" s="21"/>
      <c r="AP1750" s="21"/>
      <c r="AQ1750" s="21"/>
      <c r="AR1750" s="21"/>
      <c r="AS1750" s="21"/>
      <c r="AT1750" s="12" t="str">
        <f>HYPERLINK("http://www.openstreetmap.org/?mlat=31.5835&amp;mlon=47.1742&amp;zoom=12#map=12/31.5835/47.1742","Maplink1")</f>
        <v>Maplink1</v>
      </c>
      <c r="AU1750" s="12" t="str">
        <f>HYPERLINK("https://www.google.iq/maps/search/+31.5835,47.1742/@31.5835,47.1742,14z?hl=en","Maplink2")</f>
        <v>Maplink2</v>
      </c>
      <c r="AV1750" s="12" t="str">
        <f>HYPERLINK("http://www.bing.com/maps/?lvl=14&amp;sty=h&amp;cp=31.5835~47.1742&amp;sp=point.31.5835_47.1742","Maplink3")</f>
        <v>Maplink3</v>
      </c>
    </row>
    <row r="1751" spans="1:48" ht="15" customHeight="1" x14ac:dyDescent="0.25">
      <c r="A1751" s="19">
        <v>24536</v>
      </c>
      <c r="B1751" s="20" t="s">
        <v>18</v>
      </c>
      <c r="C1751" s="20" t="s">
        <v>3238</v>
      </c>
      <c r="D1751" s="20" t="s">
        <v>3250</v>
      </c>
      <c r="E1751" s="20" t="s">
        <v>3251</v>
      </c>
      <c r="F1751" s="20">
        <v>31.488823119999999</v>
      </c>
      <c r="G1751" s="20">
        <v>47.116581259999997</v>
      </c>
      <c r="H1751" s="22">
        <v>2</v>
      </c>
      <c r="I1751" s="22">
        <v>12</v>
      </c>
      <c r="J1751" s="21"/>
      <c r="K1751" s="21"/>
      <c r="L1751" s="21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>
        <v>2</v>
      </c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>
        <v>2</v>
      </c>
      <c r="AG1751" s="21"/>
      <c r="AH1751" s="21"/>
      <c r="AI1751" s="21"/>
      <c r="AJ1751" s="21"/>
      <c r="AK1751" s="21"/>
      <c r="AL1751" s="21"/>
      <c r="AM1751" s="21"/>
      <c r="AN1751" s="21">
        <v>2</v>
      </c>
      <c r="AO1751" s="21"/>
      <c r="AP1751" s="21"/>
      <c r="AQ1751" s="21"/>
      <c r="AR1751" s="21"/>
      <c r="AS1751" s="21"/>
      <c r="AT1751" s="12" t="str">
        <f>HYPERLINK("http://www.openstreetmap.org/?mlat=31.4888&amp;mlon=47.1166&amp;zoom=12#map=12/31.4888/47.1166","Maplink1")</f>
        <v>Maplink1</v>
      </c>
      <c r="AU1751" s="12" t="str">
        <f>HYPERLINK("https://www.google.iq/maps/search/+31.4888,47.1166/@31.4888,47.1166,14z?hl=en","Maplink2")</f>
        <v>Maplink2</v>
      </c>
      <c r="AV1751" s="12" t="str">
        <f>HYPERLINK("http://www.bing.com/maps/?lvl=14&amp;sty=h&amp;cp=31.4888~47.1166&amp;sp=point.31.4888_47.1166","Maplink3")</f>
        <v>Maplink3</v>
      </c>
    </row>
    <row r="1752" spans="1:48" ht="15" customHeight="1" x14ac:dyDescent="0.25">
      <c r="A1752" s="19">
        <v>16210</v>
      </c>
      <c r="B1752" s="20" t="s">
        <v>18</v>
      </c>
      <c r="C1752" s="20" t="s">
        <v>3238</v>
      </c>
      <c r="D1752" s="20" t="s">
        <v>3252</v>
      </c>
      <c r="E1752" s="20" t="s">
        <v>3253</v>
      </c>
      <c r="F1752" s="20">
        <v>31.575017920000001</v>
      </c>
      <c r="G1752" s="20">
        <v>47.158540899999998</v>
      </c>
      <c r="H1752" s="22">
        <v>4</v>
      </c>
      <c r="I1752" s="22">
        <v>24</v>
      </c>
      <c r="J1752" s="21"/>
      <c r="K1752" s="21"/>
      <c r="L1752" s="21"/>
      <c r="M1752" s="21"/>
      <c r="N1752" s="21"/>
      <c r="O1752" s="21"/>
      <c r="P1752" s="21"/>
      <c r="Q1752" s="21"/>
      <c r="R1752" s="21">
        <v>3</v>
      </c>
      <c r="S1752" s="21"/>
      <c r="T1752" s="21"/>
      <c r="U1752" s="21"/>
      <c r="V1752" s="21">
        <v>1</v>
      </c>
      <c r="W1752" s="21"/>
      <c r="X1752" s="21"/>
      <c r="Y1752" s="21"/>
      <c r="Z1752" s="21"/>
      <c r="AA1752" s="21"/>
      <c r="AB1752" s="21"/>
      <c r="AC1752" s="21">
        <v>1</v>
      </c>
      <c r="AD1752" s="21"/>
      <c r="AE1752" s="21">
        <v>3</v>
      </c>
      <c r="AF1752" s="21"/>
      <c r="AG1752" s="21"/>
      <c r="AH1752" s="21"/>
      <c r="AI1752" s="21"/>
      <c r="AJ1752" s="21"/>
      <c r="AK1752" s="21"/>
      <c r="AL1752" s="21"/>
      <c r="AM1752" s="21"/>
      <c r="AN1752" s="21">
        <v>1</v>
      </c>
      <c r="AO1752" s="21">
        <v>3</v>
      </c>
      <c r="AP1752" s="21"/>
      <c r="AQ1752" s="21"/>
      <c r="AR1752" s="21"/>
      <c r="AS1752" s="21"/>
      <c r="AT1752" s="12" t="str">
        <f>HYPERLINK("http://www.openstreetmap.org/?mlat=31.575&amp;mlon=47.1585&amp;zoom=12#map=12/31.575/47.1585","Maplink1")</f>
        <v>Maplink1</v>
      </c>
      <c r="AU1752" s="12" t="str">
        <f>HYPERLINK("https://www.google.iq/maps/search/+31.575,47.1585/@31.575,47.1585,14z?hl=en","Maplink2")</f>
        <v>Maplink2</v>
      </c>
      <c r="AV1752" s="12" t="str">
        <f>HYPERLINK("http://www.bing.com/maps/?lvl=14&amp;sty=h&amp;cp=31.575~47.1585&amp;sp=point.31.575_47.1585","Maplink3")</f>
        <v>Maplink3</v>
      </c>
    </row>
    <row r="1753" spans="1:48" ht="15" customHeight="1" x14ac:dyDescent="0.25">
      <c r="A1753" s="19">
        <v>16773</v>
      </c>
      <c r="B1753" s="20" t="s">
        <v>18</v>
      </c>
      <c r="C1753" s="20" t="s">
        <v>3254</v>
      </c>
      <c r="D1753" s="20" t="s">
        <v>3255</v>
      </c>
      <c r="E1753" s="20" t="s">
        <v>3256</v>
      </c>
      <c r="F1753" s="20">
        <v>32.462217099999997</v>
      </c>
      <c r="G1753" s="20">
        <v>46.68746428</v>
      </c>
      <c r="H1753" s="22">
        <v>5</v>
      </c>
      <c r="I1753" s="22">
        <v>30</v>
      </c>
      <c r="J1753" s="21">
        <v>1</v>
      </c>
      <c r="K1753" s="21"/>
      <c r="L1753" s="21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>
        <v>3</v>
      </c>
      <c r="W1753" s="21"/>
      <c r="X1753" s="21">
        <v>1</v>
      </c>
      <c r="Y1753" s="21"/>
      <c r="Z1753" s="21"/>
      <c r="AA1753" s="21"/>
      <c r="AB1753" s="21"/>
      <c r="AC1753" s="21"/>
      <c r="AD1753" s="21"/>
      <c r="AE1753" s="21">
        <v>2</v>
      </c>
      <c r="AF1753" s="21"/>
      <c r="AG1753" s="21"/>
      <c r="AH1753" s="21">
        <v>3</v>
      </c>
      <c r="AI1753" s="21"/>
      <c r="AJ1753" s="21"/>
      <c r="AK1753" s="21"/>
      <c r="AL1753" s="21"/>
      <c r="AM1753" s="21">
        <v>1</v>
      </c>
      <c r="AN1753" s="21">
        <v>3</v>
      </c>
      <c r="AO1753" s="21">
        <v>1</v>
      </c>
      <c r="AP1753" s="21"/>
      <c r="AQ1753" s="21"/>
      <c r="AR1753" s="21"/>
      <c r="AS1753" s="21"/>
      <c r="AT1753" s="12" t="str">
        <f>HYPERLINK("http://www.openstreetmap.org/?mlat=32.4622&amp;mlon=46.6875&amp;zoom=12#map=12/32.4622/46.6875","Maplink1")</f>
        <v>Maplink1</v>
      </c>
      <c r="AU1753" s="12" t="str">
        <f>HYPERLINK("https://www.google.iq/maps/search/+32.4622,46.6875/@32.4622,46.6875,14z?hl=en","Maplink2")</f>
        <v>Maplink2</v>
      </c>
      <c r="AV1753" s="12" t="str">
        <f>HYPERLINK("http://www.bing.com/maps/?lvl=14&amp;sty=h&amp;cp=32.4622~46.6875&amp;sp=point.32.4622_46.6875","Maplink3")</f>
        <v>Maplink3</v>
      </c>
    </row>
    <row r="1754" spans="1:48" ht="15" customHeight="1" x14ac:dyDescent="0.25">
      <c r="A1754" s="19">
        <v>16881</v>
      </c>
      <c r="B1754" s="20" t="s">
        <v>18</v>
      </c>
      <c r="C1754" s="20" t="s">
        <v>3254</v>
      </c>
      <c r="D1754" s="20" t="s">
        <v>3257</v>
      </c>
      <c r="E1754" s="20" t="s">
        <v>1833</v>
      </c>
      <c r="F1754" s="20">
        <v>32.473203210000001</v>
      </c>
      <c r="G1754" s="20">
        <v>46.69348282</v>
      </c>
      <c r="H1754" s="22">
        <v>3</v>
      </c>
      <c r="I1754" s="22">
        <v>18</v>
      </c>
      <c r="J1754" s="21"/>
      <c r="K1754" s="21"/>
      <c r="L1754" s="21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>
        <v>3</v>
      </c>
      <c r="W1754" s="21"/>
      <c r="X1754" s="21"/>
      <c r="Y1754" s="21"/>
      <c r="Z1754" s="21"/>
      <c r="AA1754" s="21"/>
      <c r="AB1754" s="21"/>
      <c r="AC1754" s="21">
        <v>1</v>
      </c>
      <c r="AD1754" s="21"/>
      <c r="AE1754" s="21"/>
      <c r="AF1754" s="21"/>
      <c r="AG1754" s="21"/>
      <c r="AH1754" s="21">
        <v>2</v>
      </c>
      <c r="AI1754" s="21"/>
      <c r="AJ1754" s="21"/>
      <c r="AK1754" s="21"/>
      <c r="AL1754" s="21"/>
      <c r="AM1754" s="21"/>
      <c r="AN1754" s="21">
        <v>2</v>
      </c>
      <c r="AO1754" s="21">
        <v>1</v>
      </c>
      <c r="AP1754" s="21"/>
      <c r="AQ1754" s="21"/>
      <c r="AR1754" s="21"/>
      <c r="AS1754" s="21"/>
      <c r="AT1754" s="12" t="str">
        <f>HYPERLINK("http://www.openstreetmap.org/?mlat=32.4732&amp;mlon=46.6935&amp;zoom=12#map=12/32.4732/46.6935","Maplink1")</f>
        <v>Maplink1</v>
      </c>
      <c r="AU1754" s="12" t="str">
        <f>HYPERLINK("https://www.google.iq/maps/search/+32.4732,46.6935/@32.4732,46.6935,14z?hl=en","Maplink2")</f>
        <v>Maplink2</v>
      </c>
      <c r="AV1754" s="12" t="str">
        <f>HYPERLINK("http://www.bing.com/maps/?lvl=14&amp;sty=h&amp;cp=32.4732~46.6935&amp;sp=point.32.4732_46.6935","Maplink3")</f>
        <v>Maplink3</v>
      </c>
    </row>
    <row r="1755" spans="1:48" ht="15" customHeight="1" x14ac:dyDescent="0.25">
      <c r="A1755" s="19">
        <v>22504</v>
      </c>
      <c r="B1755" s="20" t="s">
        <v>18</v>
      </c>
      <c r="C1755" s="20" t="s">
        <v>3254</v>
      </c>
      <c r="D1755" s="20" t="s">
        <v>116</v>
      </c>
      <c r="E1755" s="20" t="s">
        <v>3258</v>
      </c>
      <c r="F1755" s="20">
        <v>32.120518339999997</v>
      </c>
      <c r="G1755" s="20">
        <v>46.730517749999997</v>
      </c>
      <c r="H1755" s="22">
        <v>1</v>
      </c>
      <c r="I1755" s="22">
        <v>6</v>
      </c>
      <c r="J1755" s="21"/>
      <c r="K1755" s="21"/>
      <c r="L1755" s="21">
        <v>1</v>
      </c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>
        <v>1</v>
      </c>
      <c r="AD1755" s="21"/>
      <c r="AE1755" s="21"/>
      <c r="AF1755" s="21"/>
      <c r="AG1755" s="21"/>
      <c r="AH1755" s="21"/>
      <c r="AI1755" s="21"/>
      <c r="AJ1755" s="21"/>
      <c r="AK1755" s="21"/>
      <c r="AL1755" s="21"/>
      <c r="AM1755" s="21">
        <v>1</v>
      </c>
      <c r="AN1755" s="21"/>
      <c r="AO1755" s="21"/>
      <c r="AP1755" s="21"/>
      <c r="AQ1755" s="21"/>
      <c r="AR1755" s="21"/>
      <c r="AS1755" s="21"/>
      <c r="AT1755" s="12" t="str">
        <f>HYPERLINK("http://www.openstreetmap.org/?mlat=32.1205&amp;mlon=46.7305&amp;zoom=12#map=12/32.1205/46.7305","Maplink1")</f>
        <v>Maplink1</v>
      </c>
      <c r="AU1755" s="12" t="str">
        <f>HYPERLINK("https://www.google.iq/maps/search/+32.1205,46.7305/@32.1205,46.7305,14z?hl=en","Maplink2")</f>
        <v>Maplink2</v>
      </c>
      <c r="AV1755" s="12" t="str">
        <f>HYPERLINK("http://www.bing.com/maps/?lvl=14&amp;sty=h&amp;cp=32.1205~46.7305&amp;sp=point.32.1205_46.7305","Maplink3")</f>
        <v>Maplink3</v>
      </c>
    </row>
    <row r="1756" spans="1:48" ht="15" customHeight="1" x14ac:dyDescent="0.25">
      <c r="A1756" s="19">
        <v>16833</v>
      </c>
      <c r="B1756" s="20" t="s">
        <v>18</v>
      </c>
      <c r="C1756" s="20" t="s">
        <v>3254</v>
      </c>
      <c r="D1756" s="20" t="s">
        <v>3259</v>
      </c>
      <c r="E1756" s="20" t="s">
        <v>3260</v>
      </c>
      <c r="F1756" s="20">
        <v>32.118899370000001</v>
      </c>
      <c r="G1756" s="20">
        <v>46.733810669999997</v>
      </c>
      <c r="H1756" s="22">
        <v>1</v>
      </c>
      <c r="I1756" s="22">
        <v>6</v>
      </c>
      <c r="J1756" s="21"/>
      <c r="K1756" s="21"/>
      <c r="L1756" s="21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>
        <v>1</v>
      </c>
      <c r="Y1756" s="21"/>
      <c r="Z1756" s="21"/>
      <c r="AA1756" s="21"/>
      <c r="AB1756" s="21"/>
      <c r="AC1756" s="21"/>
      <c r="AD1756" s="21"/>
      <c r="AE1756" s="21"/>
      <c r="AF1756" s="21"/>
      <c r="AG1756" s="21"/>
      <c r="AH1756" s="21">
        <v>1</v>
      </c>
      <c r="AI1756" s="21"/>
      <c r="AJ1756" s="21"/>
      <c r="AK1756" s="21"/>
      <c r="AL1756" s="21"/>
      <c r="AM1756" s="21">
        <v>1</v>
      </c>
      <c r="AN1756" s="21"/>
      <c r="AO1756" s="21"/>
      <c r="AP1756" s="21"/>
      <c r="AQ1756" s="21"/>
      <c r="AR1756" s="21"/>
      <c r="AS1756" s="21"/>
      <c r="AT1756" s="12" t="str">
        <f>HYPERLINK("http://www.openstreetmap.org/?mlat=32.1189&amp;mlon=46.7338&amp;zoom=12#map=12/32.1189/46.7338","Maplink1")</f>
        <v>Maplink1</v>
      </c>
      <c r="AU1756" s="12" t="str">
        <f>HYPERLINK("https://www.google.iq/maps/search/+32.1189,46.7338/@32.1189,46.7338,14z?hl=en","Maplink2")</f>
        <v>Maplink2</v>
      </c>
      <c r="AV1756" s="12" t="str">
        <f>HYPERLINK("http://www.bing.com/maps/?lvl=14&amp;sty=h&amp;cp=32.1189~46.7338&amp;sp=point.32.1189_46.7338","Maplink3")</f>
        <v>Maplink3</v>
      </c>
    </row>
    <row r="1757" spans="1:48" ht="15" customHeight="1" x14ac:dyDescent="0.25">
      <c r="A1757" s="19">
        <v>16834</v>
      </c>
      <c r="B1757" s="20" t="s">
        <v>18</v>
      </c>
      <c r="C1757" s="20" t="s">
        <v>3254</v>
      </c>
      <c r="D1757" s="20" t="s">
        <v>3261</v>
      </c>
      <c r="E1757" s="20" t="s">
        <v>3262</v>
      </c>
      <c r="F1757" s="20">
        <v>32.125128170000004</v>
      </c>
      <c r="G1757" s="20">
        <v>46.735627870000002</v>
      </c>
      <c r="H1757" s="22">
        <v>1</v>
      </c>
      <c r="I1757" s="22">
        <v>6</v>
      </c>
      <c r="J1757" s="21"/>
      <c r="K1757" s="21"/>
      <c r="L1757" s="21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>
        <v>1</v>
      </c>
      <c r="W1757" s="21"/>
      <c r="X1757" s="21"/>
      <c r="Y1757" s="21"/>
      <c r="Z1757" s="21"/>
      <c r="AA1757" s="21"/>
      <c r="AB1757" s="21"/>
      <c r="AC1757" s="21">
        <v>1</v>
      </c>
      <c r="AD1757" s="21"/>
      <c r="AE1757" s="21"/>
      <c r="AF1757" s="21"/>
      <c r="AG1757" s="21"/>
      <c r="AH1757" s="21"/>
      <c r="AI1757" s="21"/>
      <c r="AJ1757" s="21"/>
      <c r="AK1757" s="21"/>
      <c r="AL1757" s="21"/>
      <c r="AM1757" s="21"/>
      <c r="AN1757" s="21"/>
      <c r="AO1757" s="21"/>
      <c r="AP1757" s="21"/>
      <c r="AQ1757" s="21"/>
      <c r="AR1757" s="21">
        <v>1</v>
      </c>
      <c r="AS1757" s="21"/>
      <c r="AT1757" s="12" t="str">
        <f>HYPERLINK("http://www.openstreetmap.org/?mlat=32.1251&amp;mlon=46.7356&amp;zoom=12#map=12/32.1251/46.7356","Maplink1")</f>
        <v>Maplink1</v>
      </c>
      <c r="AU1757" s="12" t="str">
        <f>HYPERLINK("https://www.google.iq/maps/search/+32.1251,46.7356/@32.1251,46.7356,14z?hl=en","Maplink2")</f>
        <v>Maplink2</v>
      </c>
      <c r="AV1757" s="12" t="str">
        <f>HYPERLINK("http://www.bing.com/maps/?lvl=14&amp;sty=h&amp;cp=32.1251~46.7356&amp;sp=point.32.1251_46.7356","Maplink3")</f>
        <v>Maplink3</v>
      </c>
    </row>
    <row r="1758" spans="1:48" ht="15" customHeight="1" x14ac:dyDescent="0.25">
      <c r="A1758" s="19">
        <v>15808</v>
      </c>
      <c r="B1758" s="20" t="s">
        <v>18</v>
      </c>
      <c r="C1758" s="20" t="s">
        <v>3254</v>
      </c>
      <c r="D1758" s="20" t="s">
        <v>3263</v>
      </c>
      <c r="E1758" s="20" t="s">
        <v>3264</v>
      </c>
      <c r="F1758" s="20">
        <v>32.475436682999998</v>
      </c>
      <c r="G1758" s="20">
        <v>46.685965041099998</v>
      </c>
      <c r="H1758" s="22">
        <v>3</v>
      </c>
      <c r="I1758" s="22">
        <v>18</v>
      </c>
      <c r="J1758" s="21"/>
      <c r="K1758" s="21"/>
      <c r="L1758" s="21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>
        <v>1</v>
      </c>
      <c r="W1758" s="21"/>
      <c r="X1758" s="21">
        <v>2</v>
      </c>
      <c r="Y1758" s="21"/>
      <c r="Z1758" s="21"/>
      <c r="AA1758" s="21"/>
      <c r="AB1758" s="21"/>
      <c r="AC1758" s="21">
        <v>2</v>
      </c>
      <c r="AD1758" s="21"/>
      <c r="AE1758" s="21"/>
      <c r="AF1758" s="21"/>
      <c r="AG1758" s="21"/>
      <c r="AH1758" s="21">
        <v>1</v>
      </c>
      <c r="AI1758" s="21"/>
      <c r="AJ1758" s="21"/>
      <c r="AK1758" s="21"/>
      <c r="AL1758" s="21"/>
      <c r="AM1758" s="21">
        <v>2</v>
      </c>
      <c r="AN1758" s="21"/>
      <c r="AO1758" s="21"/>
      <c r="AP1758" s="21">
        <v>1</v>
      </c>
      <c r="AQ1758" s="21"/>
      <c r="AR1758" s="21"/>
      <c r="AS1758" s="21"/>
      <c r="AT1758" s="12" t="str">
        <f>HYPERLINK("http://www.openstreetmap.org/?mlat=32.4754&amp;mlon=46.686&amp;zoom=12#map=12/32.4754/46.686","Maplink1")</f>
        <v>Maplink1</v>
      </c>
      <c r="AU1758" s="12" t="str">
        <f>HYPERLINK("https://www.google.iq/maps/search/+32.4754,46.686/@32.4754,46.686,14z?hl=en","Maplink2")</f>
        <v>Maplink2</v>
      </c>
      <c r="AV1758" s="12" t="str">
        <f>HYPERLINK("http://www.bing.com/maps/?lvl=14&amp;sty=h&amp;cp=32.4754~46.686&amp;sp=point.32.4754_46.686","Maplink3")</f>
        <v>Maplink3</v>
      </c>
    </row>
    <row r="1759" spans="1:48" ht="15" customHeight="1" x14ac:dyDescent="0.25">
      <c r="A1759" s="19">
        <v>24532</v>
      </c>
      <c r="B1759" s="20" t="s">
        <v>18</v>
      </c>
      <c r="C1759" s="20" t="s">
        <v>3265</v>
      </c>
      <c r="D1759" s="20" t="s">
        <v>3266</v>
      </c>
      <c r="E1759" s="20" t="s">
        <v>3267</v>
      </c>
      <c r="F1759" s="20">
        <v>31.805722930000002</v>
      </c>
      <c r="G1759" s="20">
        <v>47.176904559999997</v>
      </c>
      <c r="H1759" s="22">
        <v>120</v>
      </c>
      <c r="I1759" s="22">
        <v>720</v>
      </c>
      <c r="J1759" s="21">
        <v>8</v>
      </c>
      <c r="K1759" s="21">
        <v>1</v>
      </c>
      <c r="L1759" s="21"/>
      <c r="M1759" s="21"/>
      <c r="N1759" s="21"/>
      <c r="O1759" s="21">
        <v>1</v>
      </c>
      <c r="P1759" s="21"/>
      <c r="Q1759" s="21"/>
      <c r="R1759" s="21">
        <v>10</v>
      </c>
      <c r="S1759" s="21"/>
      <c r="T1759" s="21"/>
      <c r="U1759" s="21"/>
      <c r="V1759" s="21">
        <v>82</v>
      </c>
      <c r="W1759" s="21"/>
      <c r="X1759" s="21">
        <v>18</v>
      </c>
      <c r="Y1759" s="21"/>
      <c r="Z1759" s="21"/>
      <c r="AA1759" s="21"/>
      <c r="AB1759" s="21"/>
      <c r="AC1759" s="21">
        <v>45</v>
      </c>
      <c r="AD1759" s="21"/>
      <c r="AE1759" s="21"/>
      <c r="AF1759" s="21"/>
      <c r="AG1759" s="21"/>
      <c r="AH1759" s="21">
        <v>73</v>
      </c>
      <c r="AI1759" s="21">
        <v>2</v>
      </c>
      <c r="AJ1759" s="21"/>
      <c r="AK1759" s="21"/>
      <c r="AL1759" s="21">
        <v>3</v>
      </c>
      <c r="AM1759" s="21">
        <v>42</v>
      </c>
      <c r="AN1759" s="21">
        <v>42</v>
      </c>
      <c r="AO1759" s="21">
        <v>16</v>
      </c>
      <c r="AP1759" s="21">
        <v>4</v>
      </c>
      <c r="AQ1759" s="21"/>
      <c r="AR1759" s="21">
        <v>13</v>
      </c>
      <c r="AS1759" s="21"/>
      <c r="AT1759" s="12" t="str">
        <f>HYPERLINK("http://www.openstreetmap.org/?mlat=31.8057&amp;mlon=47.1769&amp;zoom=12#map=12/31.8057/47.1769","Maplink1")</f>
        <v>Maplink1</v>
      </c>
      <c r="AU1759" s="12" t="str">
        <f>HYPERLINK("https://www.google.iq/maps/search/+31.8057,47.1769/@31.8057,47.1769,14z?hl=en","Maplink2")</f>
        <v>Maplink2</v>
      </c>
      <c r="AV1759" s="12" t="str">
        <f>HYPERLINK("http://www.bing.com/maps/?lvl=14&amp;sty=h&amp;cp=31.8057~47.1769&amp;sp=point.31.8057_47.1769","Maplink3")</f>
        <v>Maplink3</v>
      </c>
    </row>
    <row r="1760" spans="1:48" ht="15" customHeight="1" x14ac:dyDescent="0.25">
      <c r="A1760" s="19">
        <v>21620</v>
      </c>
      <c r="B1760" s="20" t="s">
        <v>18</v>
      </c>
      <c r="C1760" s="20" t="s">
        <v>3265</v>
      </c>
      <c r="D1760" s="20" t="s">
        <v>3268</v>
      </c>
      <c r="E1760" s="20" t="s">
        <v>3269</v>
      </c>
      <c r="F1760" s="20">
        <v>31.785893990000002</v>
      </c>
      <c r="G1760" s="20">
        <v>47.185385949999997</v>
      </c>
      <c r="H1760" s="22">
        <v>2</v>
      </c>
      <c r="I1760" s="22">
        <v>12</v>
      </c>
      <c r="J1760" s="21"/>
      <c r="K1760" s="21"/>
      <c r="L1760" s="21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>
        <v>2</v>
      </c>
      <c r="W1760" s="21"/>
      <c r="X1760" s="21"/>
      <c r="Y1760" s="21"/>
      <c r="Z1760" s="21"/>
      <c r="AA1760" s="21"/>
      <c r="AB1760" s="21"/>
      <c r="AC1760" s="21">
        <v>1</v>
      </c>
      <c r="AD1760" s="21"/>
      <c r="AE1760" s="21"/>
      <c r="AF1760" s="21"/>
      <c r="AG1760" s="21"/>
      <c r="AH1760" s="21">
        <v>1</v>
      </c>
      <c r="AI1760" s="21"/>
      <c r="AJ1760" s="21"/>
      <c r="AK1760" s="21"/>
      <c r="AL1760" s="21"/>
      <c r="AM1760" s="21">
        <v>1</v>
      </c>
      <c r="AN1760" s="21">
        <v>1</v>
      </c>
      <c r="AO1760" s="21"/>
      <c r="AP1760" s="21"/>
      <c r="AQ1760" s="21"/>
      <c r="AR1760" s="21"/>
      <c r="AS1760" s="21"/>
      <c r="AT1760" s="12" t="str">
        <f>HYPERLINK("http://www.openstreetmap.org/?mlat=31.7859&amp;mlon=47.1854&amp;zoom=12#map=12/31.7859/47.1854","Maplink1")</f>
        <v>Maplink1</v>
      </c>
      <c r="AU1760" s="12" t="str">
        <f>HYPERLINK("https://www.google.iq/maps/search/+31.7859,47.1854/@31.7859,47.1854,14z?hl=en","Maplink2")</f>
        <v>Maplink2</v>
      </c>
      <c r="AV1760" s="12" t="str">
        <f>HYPERLINK("http://www.bing.com/maps/?lvl=14&amp;sty=h&amp;cp=31.7859~47.1854&amp;sp=point.31.7859_47.1854","Maplink3")</f>
        <v>Maplink3</v>
      </c>
    </row>
    <row r="1761" spans="1:48" ht="15" customHeight="1" x14ac:dyDescent="0.25">
      <c r="A1761" s="19">
        <v>24291</v>
      </c>
      <c r="B1761" s="20" t="s">
        <v>18</v>
      </c>
      <c r="C1761" s="20" t="s">
        <v>3265</v>
      </c>
      <c r="D1761" s="20" t="s">
        <v>3270</v>
      </c>
      <c r="E1761" s="20" t="s">
        <v>3271</v>
      </c>
      <c r="F1761" s="20">
        <v>31.886158000000002</v>
      </c>
      <c r="G1761" s="20">
        <v>47.166668999999999</v>
      </c>
      <c r="H1761" s="22">
        <v>2</v>
      </c>
      <c r="I1761" s="22">
        <v>12</v>
      </c>
      <c r="J1761" s="21"/>
      <c r="K1761" s="21"/>
      <c r="L1761" s="21">
        <v>1</v>
      </c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>
        <v>1</v>
      </c>
      <c r="Y1761" s="21"/>
      <c r="Z1761" s="21"/>
      <c r="AA1761" s="21"/>
      <c r="AB1761" s="21"/>
      <c r="AC1761" s="21"/>
      <c r="AD1761" s="21"/>
      <c r="AE1761" s="21"/>
      <c r="AF1761" s="21"/>
      <c r="AG1761" s="21"/>
      <c r="AH1761" s="21">
        <v>2</v>
      </c>
      <c r="AI1761" s="21"/>
      <c r="AJ1761" s="21"/>
      <c r="AK1761" s="21"/>
      <c r="AL1761" s="21"/>
      <c r="AM1761" s="21">
        <v>1</v>
      </c>
      <c r="AN1761" s="21"/>
      <c r="AO1761" s="21"/>
      <c r="AP1761" s="21"/>
      <c r="AQ1761" s="21"/>
      <c r="AR1761" s="21">
        <v>1</v>
      </c>
      <c r="AS1761" s="21"/>
      <c r="AT1761" s="12" t="str">
        <f>HYPERLINK("http://www.openstreetmap.org/?mlat=31.8862&amp;mlon=47.1667&amp;zoom=12#map=12/31.8862/47.1667","Maplink1")</f>
        <v>Maplink1</v>
      </c>
      <c r="AU1761" s="12" t="str">
        <f>HYPERLINK("https://www.google.iq/maps/search/+31.8862,47.1667/@31.8862,47.1667,14z?hl=en","Maplink2")</f>
        <v>Maplink2</v>
      </c>
      <c r="AV1761" s="12" t="str">
        <f>HYPERLINK("http://www.bing.com/maps/?lvl=14&amp;sty=h&amp;cp=31.8862~47.1667&amp;sp=point.31.8862_47.1667","Maplink3")</f>
        <v>Maplink3</v>
      </c>
    </row>
    <row r="1762" spans="1:48" ht="15" customHeight="1" x14ac:dyDescent="0.25">
      <c r="A1762" s="19">
        <v>22208</v>
      </c>
      <c r="B1762" s="20" t="s">
        <v>18</v>
      </c>
      <c r="C1762" s="20" t="s">
        <v>3265</v>
      </c>
      <c r="D1762" s="20" t="s">
        <v>681</v>
      </c>
      <c r="E1762" s="20" t="s">
        <v>117</v>
      </c>
      <c r="F1762" s="20">
        <v>31.87858057</v>
      </c>
      <c r="G1762" s="20">
        <v>47.146669359999997</v>
      </c>
      <c r="H1762" s="22">
        <v>26</v>
      </c>
      <c r="I1762" s="22">
        <v>156</v>
      </c>
      <c r="J1762" s="21"/>
      <c r="K1762" s="21"/>
      <c r="L1762" s="21">
        <v>1</v>
      </c>
      <c r="M1762" s="21"/>
      <c r="N1762" s="21"/>
      <c r="O1762" s="21"/>
      <c r="P1762" s="21"/>
      <c r="Q1762" s="21"/>
      <c r="R1762" s="21">
        <v>17</v>
      </c>
      <c r="S1762" s="21"/>
      <c r="T1762" s="21"/>
      <c r="U1762" s="21"/>
      <c r="V1762" s="21">
        <v>8</v>
      </c>
      <c r="W1762" s="21"/>
      <c r="X1762" s="21"/>
      <c r="Y1762" s="21"/>
      <c r="Z1762" s="21"/>
      <c r="AA1762" s="21"/>
      <c r="AB1762" s="21"/>
      <c r="AC1762" s="21">
        <v>14</v>
      </c>
      <c r="AD1762" s="21"/>
      <c r="AE1762" s="21"/>
      <c r="AF1762" s="21"/>
      <c r="AG1762" s="21"/>
      <c r="AH1762" s="21">
        <v>12</v>
      </c>
      <c r="AI1762" s="21"/>
      <c r="AJ1762" s="21"/>
      <c r="AK1762" s="21"/>
      <c r="AL1762" s="21">
        <v>1</v>
      </c>
      <c r="AM1762" s="21">
        <v>7</v>
      </c>
      <c r="AN1762" s="21">
        <v>9</v>
      </c>
      <c r="AO1762" s="21">
        <v>9</v>
      </c>
      <c r="AP1762" s="21"/>
      <c r="AQ1762" s="21"/>
      <c r="AR1762" s="21"/>
      <c r="AS1762" s="21"/>
      <c r="AT1762" s="12" t="str">
        <f>HYPERLINK("http://www.openstreetmap.org/?mlat=31.8786&amp;mlon=47.1467&amp;zoom=12#map=12/31.8786/47.1467","Maplink1")</f>
        <v>Maplink1</v>
      </c>
      <c r="AU1762" s="12" t="str">
        <f>HYPERLINK("https://www.google.iq/maps/search/+31.8786,47.1467/@31.8786,47.1467,14z?hl=en","Maplink2")</f>
        <v>Maplink2</v>
      </c>
      <c r="AV1762" s="12" t="str">
        <f>HYPERLINK("http://www.bing.com/maps/?lvl=14&amp;sty=h&amp;cp=31.8786~47.1467&amp;sp=point.31.8786_47.1467","Maplink3")</f>
        <v>Maplink3</v>
      </c>
    </row>
    <row r="1763" spans="1:48" ht="15" customHeight="1" x14ac:dyDescent="0.25">
      <c r="A1763" s="19">
        <v>24416</v>
      </c>
      <c r="B1763" s="20" t="s">
        <v>18</v>
      </c>
      <c r="C1763" s="20" t="s">
        <v>3265</v>
      </c>
      <c r="D1763" s="20" t="s">
        <v>3272</v>
      </c>
      <c r="E1763" s="20" t="s">
        <v>3273</v>
      </c>
      <c r="F1763" s="20">
        <v>31.849864749999998</v>
      </c>
      <c r="G1763" s="20">
        <v>47.125594820000003</v>
      </c>
      <c r="H1763" s="22">
        <v>1</v>
      </c>
      <c r="I1763" s="22">
        <v>6</v>
      </c>
      <c r="J1763" s="21"/>
      <c r="K1763" s="21"/>
      <c r="L1763" s="21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>
        <v>1</v>
      </c>
      <c r="Y1763" s="21"/>
      <c r="Z1763" s="21"/>
      <c r="AA1763" s="21"/>
      <c r="AB1763" s="21"/>
      <c r="AC1763" s="21"/>
      <c r="AD1763" s="21"/>
      <c r="AE1763" s="21"/>
      <c r="AF1763" s="21"/>
      <c r="AG1763" s="21"/>
      <c r="AH1763" s="21">
        <v>1</v>
      </c>
      <c r="AI1763" s="21"/>
      <c r="AJ1763" s="21"/>
      <c r="AK1763" s="21"/>
      <c r="AL1763" s="21"/>
      <c r="AM1763" s="21"/>
      <c r="AN1763" s="21">
        <v>1</v>
      </c>
      <c r="AO1763" s="21"/>
      <c r="AP1763" s="21"/>
      <c r="AQ1763" s="21"/>
      <c r="AR1763" s="21"/>
      <c r="AS1763" s="21"/>
      <c r="AT1763" s="12" t="str">
        <f>HYPERLINK("http://www.openstreetmap.org/?mlat=31.8499&amp;mlon=47.1256&amp;zoom=12#map=12/31.8499/47.1256","Maplink1")</f>
        <v>Maplink1</v>
      </c>
      <c r="AU1763" s="12" t="str">
        <f>HYPERLINK("https://www.google.iq/maps/search/+31.8499,47.1256/@31.8499,47.1256,14z?hl=en","Maplink2")</f>
        <v>Maplink2</v>
      </c>
      <c r="AV1763" s="12" t="str">
        <f>HYPERLINK("http://www.bing.com/maps/?lvl=14&amp;sty=h&amp;cp=31.8499~47.1256&amp;sp=point.31.8499_47.1256","Maplink3")</f>
        <v>Maplink3</v>
      </c>
    </row>
    <row r="1764" spans="1:48" ht="15" customHeight="1" x14ac:dyDescent="0.25">
      <c r="A1764" s="19">
        <v>24290</v>
      </c>
      <c r="B1764" s="20" t="s">
        <v>18</v>
      </c>
      <c r="C1764" s="20" t="s">
        <v>3265</v>
      </c>
      <c r="D1764" s="20" t="s">
        <v>3274</v>
      </c>
      <c r="E1764" s="20" t="s">
        <v>3275</v>
      </c>
      <c r="F1764" s="20">
        <v>31.893599300000002</v>
      </c>
      <c r="G1764" s="20">
        <v>47.125581410000002</v>
      </c>
      <c r="H1764" s="22">
        <v>4</v>
      </c>
      <c r="I1764" s="22">
        <v>24</v>
      </c>
      <c r="J1764" s="21"/>
      <c r="K1764" s="21"/>
      <c r="L1764" s="21">
        <v>1</v>
      </c>
      <c r="M1764" s="21"/>
      <c r="N1764" s="21"/>
      <c r="O1764" s="21"/>
      <c r="P1764" s="21"/>
      <c r="Q1764" s="21"/>
      <c r="R1764" s="21"/>
      <c r="S1764" s="21"/>
      <c r="T1764" s="21"/>
      <c r="U1764" s="21"/>
      <c r="V1764" s="21">
        <v>2</v>
      </c>
      <c r="W1764" s="21"/>
      <c r="X1764" s="21">
        <v>1</v>
      </c>
      <c r="Y1764" s="21"/>
      <c r="Z1764" s="21"/>
      <c r="AA1764" s="21"/>
      <c r="AB1764" s="21"/>
      <c r="AC1764" s="21">
        <v>1</v>
      </c>
      <c r="AD1764" s="21"/>
      <c r="AE1764" s="21"/>
      <c r="AF1764" s="21"/>
      <c r="AG1764" s="21"/>
      <c r="AH1764" s="21">
        <v>3</v>
      </c>
      <c r="AI1764" s="21"/>
      <c r="AJ1764" s="21"/>
      <c r="AK1764" s="21"/>
      <c r="AL1764" s="21"/>
      <c r="AM1764" s="21"/>
      <c r="AN1764" s="21">
        <v>1</v>
      </c>
      <c r="AO1764" s="21">
        <v>3</v>
      </c>
      <c r="AP1764" s="21"/>
      <c r="AQ1764" s="21"/>
      <c r="AR1764" s="21"/>
      <c r="AS1764" s="21"/>
      <c r="AT1764" s="12" t="str">
        <f>HYPERLINK("http://www.openstreetmap.org/?mlat=31.8936&amp;mlon=47.1256&amp;zoom=12#map=12/31.8936/47.1256","Maplink1")</f>
        <v>Maplink1</v>
      </c>
      <c r="AU1764" s="12" t="str">
        <f>HYPERLINK("https://www.google.iq/maps/search/+31.8936,47.1256/@31.8936,47.1256,14z?hl=en","Maplink2")</f>
        <v>Maplink2</v>
      </c>
      <c r="AV1764" s="12" t="str">
        <f>HYPERLINK("http://www.bing.com/maps/?lvl=14&amp;sty=h&amp;cp=31.8936~47.1256&amp;sp=point.31.8936_47.1256","Maplink3")</f>
        <v>Maplink3</v>
      </c>
    </row>
    <row r="1765" spans="1:48" ht="15" customHeight="1" x14ac:dyDescent="0.25">
      <c r="A1765" s="19">
        <v>24808</v>
      </c>
      <c r="B1765" s="20" t="s">
        <v>18</v>
      </c>
      <c r="C1765" s="20" t="s">
        <v>3265</v>
      </c>
      <c r="D1765" s="20" t="s">
        <v>3276</v>
      </c>
      <c r="E1765" s="20" t="s">
        <v>3277</v>
      </c>
      <c r="F1765" s="20">
        <v>31.884853710000002</v>
      </c>
      <c r="G1765" s="20">
        <v>47.167170319999997</v>
      </c>
      <c r="H1765" s="22">
        <v>17</v>
      </c>
      <c r="I1765" s="22">
        <v>102</v>
      </c>
      <c r="J1765" s="21"/>
      <c r="K1765" s="21"/>
      <c r="L1765" s="21"/>
      <c r="M1765" s="21"/>
      <c r="N1765" s="21"/>
      <c r="O1765" s="21">
        <v>1</v>
      </c>
      <c r="P1765" s="21"/>
      <c r="Q1765" s="21"/>
      <c r="R1765" s="21">
        <v>3</v>
      </c>
      <c r="S1765" s="21"/>
      <c r="T1765" s="21"/>
      <c r="U1765" s="21"/>
      <c r="V1765" s="21">
        <v>13</v>
      </c>
      <c r="W1765" s="21"/>
      <c r="X1765" s="21"/>
      <c r="Y1765" s="21"/>
      <c r="Z1765" s="21"/>
      <c r="AA1765" s="21"/>
      <c r="AB1765" s="21">
        <v>17</v>
      </c>
      <c r="AC1765" s="21"/>
      <c r="AD1765" s="21"/>
      <c r="AE1765" s="21"/>
      <c r="AF1765" s="21"/>
      <c r="AG1765" s="21"/>
      <c r="AH1765" s="21"/>
      <c r="AI1765" s="21"/>
      <c r="AJ1765" s="21"/>
      <c r="AK1765" s="21"/>
      <c r="AL1765" s="21"/>
      <c r="AM1765" s="21">
        <v>3</v>
      </c>
      <c r="AN1765" s="21">
        <v>14</v>
      </c>
      <c r="AO1765" s="21"/>
      <c r="AP1765" s="21"/>
      <c r="AQ1765" s="21"/>
      <c r="AR1765" s="21"/>
      <c r="AS1765" s="21"/>
      <c r="AT1765" s="12" t="str">
        <f>HYPERLINK("http://www.openstreetmap.org/?mlat=31.8849&amp;mlon=47.1672&amp;zoom=12#map=12/31.8849/47.1672","Maplink1")</f>
        <v>Maplink1</v>
      </c>
      <c r="AU1765" s="12" t="str">
        <f>HYPERLINK("https://www.google.iq/maps/search/+31.8849,47.1672/@31.8849,47.1672,14z?hl=en","Maplink2")</f>
        <v>Maplink2</v>
      </c>
      <c r="AV1765" s="12" t="str">
        <f>HYPERLINK("http://www.bing.com/maps/?lvl=14&amp;sty=h&amp;cp=31.8849~47.1672&amp;sp=point.31.8849_47.1672","Maplink3")</f>
        <v>Maplink3</v>
      </c>
    </row>
    <row r="1766" spans="1:48" ht="15" customHeight="1" x14ac:dyDescent="0.25">
      <c r="A1766" s="19">
        <v>16835</v>
      </c>
      <c r="B1766" s="20" t="s">
        <v>18</v>
      </c>
      <c r="C1766" s="20" t="s">
        <v>3265</v>
      </c>
      <c r="D1766" s="20" t="s">
        <v>3228</v>
      </c>
      <c r="E1766" s="20" t="s">
        <v>3229</v>
      </c>
      <c r="F1766" s="20">
        <v>31.849738980000001</v>
      </c>
      <c r="G1766" s="20">
        <v>47.134056020000003</v>
      </c>
      <c r="H1766" s="22">
        <v>16</v>
      </c>
      <c r="I1766" s="22">
        <v>96</v>
      </c>
      <c r="J1766" s="21"/>
      <c r="K1766" s="21">
        <v>3</v>
      </c>
      <c r="L1766" s="21"/>
      <c r="M1766" s="21"/>
      <c r="N1766" s="21"/>
      <c r="O1766" s="21"/>
      <c r="P1766" s="21"/>
      <c r="Q1766" s="21"/>
      <c r="R1766" s="21">
        <v>1</v>
      </c>
      <c r="S1766" s="21"/>
      <c r="T1766" s="21"/>
      <c r="U1766" s="21"/>
      <c r="V1766" s="21">
        <v>6</v>
      </c>
      <c r="W1766" s="21"/>
      <c r="X1766" s="21">
        <v>6</v>
      </c>
      <c r="Y1766" s="21"/>
      <c r="Z1766" s="21"/>
      <c r="AA1766" s="21"/>
      <c r="AB1766" s="21"/>
      <c r="AC1766" s="21">
        <v>10</v>
      </c>
      <c r="AD1766" s="21"/>
      <c r="AE1766" s="21"/>
      <c r="AF1766" s="21"/>
      <c r="AG1766" s="21"/>
      <c r="AH1766" s="21">
        <v>6</v>
      </c>
      <c r="AI1766" s="21"/>
      <c r="AJ1766" s="21"/>
      <c r="AK1766" s="21"/>
      <c r="AL1766" s="21">
        <v>4</v>
      </c>
      <c r="AM1766" s="21">
        <v>7</v>
      </c>
      <c r="AN1766" s="21">
        <v>4</v>
      </c>
      <c r="AO1766" s="21"/>
      <c r="AP1766" s="21"/>
      <c r="AQ1766" s="21"/>
      <c r="AR1766" s="21">
        <v>1</v>
      </c>
      <c r="AS1766" s="21"/>
      <c r="AT1766" s="12" t="str">
        <f>HYPERLINK("http://www.openstreetmap.org/?mlat=31.8497&amp;mlon=47.1341&amp;zoom=12#map=12/31.8497/47.1341","Maplink1")</f>
        <v>Maplink1</v>
      </c>
      <c r="AU1766" s="12" t="str">
        <f>HYPERLINK("https://www.google.iq/maps/search/+31.8497,47.1341/@31.8497,47.1341,14z?hl=en","Maplink2")</f>
        <v>Maplink2</v>
      </c>
      <c r="AV1766" s="12" t="str">
        <f>HYPERLINK("http://www.bing.com/maps/?lvl=14&amp;sty=h&amp;cp=31.8497~47.1341&amp;sp=point.31.8497_47.1341","Maplink3")</f>
        <v>Maplink3</v>
      </c>
    </row>
    <row r="1767" spans="1:48" ht="15" customHeight="1" x14ac:dyDescent="0.25">
      <c r="A1767" s="19">
        <v>24289</v>
      </c>
      <c r="B1767" s="20" t="s">
        <v>18</v>
      </c>
      <c r="C1767" s="20" t="s">
        <v>3265</v>
      </c>
      <c r="D1767" s="20" t="s">
        <v>3278</v>
      </c>
      <c r="E1767" s="20" t="s">
        <v>3279</v>
      </c>
      <c r="F1767" s="20">
        <v>31.84116513</v>
      </c>
      <c r="G1767" s="20">
        <v>47.139014750000001</v>
      </c>
      <c r="H1767" s="22">
        <v>3</v>
      </c>
      <c r="I1767" s="22">
        <v>18</v>
      </c>
      <c r="J1767" s="21"/>
      <c r="K1767" s="21"/>
      <c r="L1767" s="21"/>
      <c r="M1767" s="21"/>
      <c r="N1767" s="21"/>
      <c r="O1767" s="21">
        <v>1</v>
      </c>
      <c r="P1767" s="21"/>
      <c r="Q1767" s="21"/>
      <c r="R1767" s="21"/>
      <c r="S1767" s="21"/>
      <c r="T1767" s="21"/>
      <c r="U1767" s="21"/>
      <c r="V1767" s="21">
        <v>1</v>
      </c>
      <c r="W1767" s="21"/>
      <c r="X1767" s="21">
        <v>1</v>
      </c>
      <c r="Y1767" s="21"/>
      <c r="Z1767" s="21"/>
      <c r="AA1767" s="21"/>
      <c r="AB1767" s="21"/>
      <c r="AC1767" s="21">
        <v>3</v>
      </c>
      <c r="AD1767" s="21"/>
      <c r="AE1767" s="21"/>
      <c r="AF1767" s="21"/>
      <c r="AG1767" s="21"/>
      <c r="AH1767" s="21"/>
      <c r="AI1767" s="21"/>
      <c r="AJ1767" s="21"/>
      <c r="AK1767" s="21"/>
      <c r="AL1767" s="21"/>
      <c r="AM1767" s="21">
        <v>1</v>
      </c>
      <c r="AN1767" s="21"/>
      <c r="AO1767" s="21">
        <v>1</v>
      </c>
      <c r="AP1767" s="21"/>
      <c r="AQ1767" s="21"/>
      <c r="AR1767" s="21">
        <v>1</v>
      </c>
      <c r="AS1767" s="21"/>
      <c r="AT1767" s="12" t="str">
        <f>HYPERLINK("http://www.openstreetmap.org/?mlat=31.8412&amp;mlon=47.139&amp;zoom=12#map=12/31.8412/47.139","Maplink1")</f>
        <v>Maplink1</v>
      </c>
      <c r="AU1767" s="12" t="str">
        <f>HYPERLINK("https://www.google.iq/maps/search/+31.8412,47.139/@31.8412,47.139,14z?hl=en","Maplink2")</f>
        <v>Maplink2</v>
      </c>
      <c r="AV1767" s="12" t="str">
        <f>HYPERLINK("http://www.bing.com/maps/?lvl=14&amp;sty=h&amp;cp=31.8412~47.139&amp;sp=point.31.8412_47.139","Maplink3")</f>
        <v>Maplink3</v>
      </c>
    </row>
    <row r="1768" spans="1:48" ht="15" customHeight="1" x14ac:dyDescent="0.25">
      <c r="A1768" s="19">
        <v>24370</v>
      </c>
      <c r="B1768" s="20" t="s">
        <v>18</v>
      </c>
      <c r="C1768" s="20" t="s">
        <v>3265</v>
      </c>
      <c r="D1768" s="20" t="s">
        <v>3280</v>
      </c>
      <c r="E1768" s="20" t="s">
        <v>3281</v>
      </c>
      <c r="F1768" s="20">
        <v>31.832578000000002</v>
      </c>
      <c r="G1768" s="20">
        <v>47.11605789</v>
      </c>
      <c r="H1768" s="22">
        <v>4</v>
      </c>
      <c r="I1768" s="22">
        <v>24</v>
      </c>
      <c r="J1768" s="21">
        <v>1</v>
      </c>
      <c r="K1768" s="21"/>
      <c r="L1768" s="21"/>
      <c r="M1768" s="21"/>
      <c r="N1768" s="21"/>
      <c r="O1768" s="21">
        <v>2</v>
      </c>
      <c r="P1768" s="21"/>
      <c r="Q1768" s="21"/>
      <c r="R1768" s="21"/>
      <c r="S1768" s="21"/>
      <c r="T1768" s="21"/>
      <c r="U1768" s="21"/>
      <c r="V1768" s="21">
        <v>1</v>
      </c>
      <c r="W1768" s="21"/>
      <c r="X1768" s="21"/>
      <c r="Y1768" s="21"/>
      <c r="Z1768" s="21"/>
      <c r="AA1768" s="21"/>
      <c r="AB1768" s="21"/>
      <c r="AC1768" s="21">
        <v>1</v>
      </c>
      <c r="AD1768" s="21"/>
      <c r="AE1768" s="21">
        <v>1</v>
      </c>
      <c r="AF1768" s="21"/>
      <c r="AG1768" s="21"/>
      <c r="AH1768" s="21">
        <v>2</v>
      </c>
      <c r="AI1768" s="21"/>
      <c r="AJ1768" s="21"/>
      <c r="AK1768" s="21"/>
      <c r="AL1768" s="21">
        <v>2</v>
      </c>
      <c r="AM1768" s="21">
        <v>1</v>
      </c>
      <c r="AN1768" s="21">
        <v>1</v>
      </c>
      <c r="AO1768" s="21"/>
      <c r="AP1768" s="21"/>
      <c r="AQ1768" s="21"/>
      <c r="AR1768" s="21"/>
      <c r="AS1768" s="21"/>
      <c r="AT1768" s="12" t="str">
        <f>HYPERLINK("http://www.openstreetmap.org/?mlat=31.8326&amp;mlon=47.1161&amp;zoom=12#map=12/31.8326/47.1161","Maplink1")</f>
        <v>Maplink1</v>
      </c>
      <c r="AU1768" s="12" t="str">
        <f>HYPERLINK("https://www.google.iq/maps/search/+31.8326,47.1161/@31.8326,47.1161,14z?hl=en","Maplink2")</f>
        <v>Maplink2</v>
      </c>
      <c r="AV1768" s="12" t="str">
        <f>HYPERLINK("http://www.bing.com/maps/?lvl=14&amp;sty=h&amp;cp=31.8326~47.1161&amp;sp=point.31.8326_47.1161","Maplink3")</f>
        <v>Maplink3</v>
      </c>
    </row>
    <row r="1769" spans="1:48" ht="15" customHeight="1" x14ac:dyDescent="0.25">
      <c r="A1769" s="19">
        <v>16505</v>
      </c>
      <c r="B1769" s="20" t="s">
        <v>18</v>
      </c>
      <c r="C1769" s="20" t="s">
        <v>3265</v>
      </c>
      <c r="D1769" s="20" t="s">
        <v>3282</v>
      </c>
      <c r="E1769" s="20" t="s">
        <v>3283</v>
      </c>
      <c r="F1769" s="20">
        <v>31.84328232</v>
      </c>
      <c r="G1769" s="20">
        <v>47.153048149999996</v>
      </c>
      <c r="H1769" s="22">
        <v>3</v>
      </c>
      <c r="I1769" s="22">
        <v>18</v>
      </c>
      <c r="J1769" s="21"/>
      <c r="K1769" s="21"/>
      <c r="L1769" s="21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>
        <v>2</v>
      </c>
      <c r="W1769" s="21"/>
      <c r="X1769" s="21">
        <v>1</v>
      </c>
      <c r="Y1769" s="21"/>
      <c r="Z1769" s="21"/>
      <c r="AA1769" s="21"/>
      <c r="AB1769" s="21"/>
      <c r="AC1769" s="21">
        <v>1</v>
      </c>
      <c r="AD1769" s="21"/>
      <c r="AE1769" s="21"/>
      <c r="AF1769" s="21"/>
      <c r="AG1769" s="21"/>
      <c r="AH1769" s="21">
        <v>2</v>
      </c>
      <c r="AI1769" s="21"/>
      <c r="AJ1769" s="21"/>
      <c r="AK1769" s="21"/>
      <c r="AL1769" s="21"/>
      <c r="AM1769" s="21">
        <v>1</v>
      </c>
      <c r="AN1769" s="21">
        <v>1</v>
      </c>
      <c r="AO1769" s="21">
        <v>1</v>
      </c>
      <c r="AP1769" s="21"/>
      <c r="AQ1769" s="21"/>
      <c r="AR1769" s="21"/>
      <c r="AS1769" s="21"/>
      <c r="AT1769" s="12" t="str">
        <f>HYPERLINK("http://www.openstreetmap.org/?mlat=31.8433&amp;mlon=47.153&amp;zoom=12#map=12/31.8433/47.153","Maplink1")</f>
        <v>Maplink1</v>
      </c>
      <c r="AU1769" s="12" t="str">
        <f>HYPERLINK("https://www.google.iq/maps/search/+31.8433,47.153/@31.8433,47.153,14z?hl=en","Maplink2")</f>
        <v>Maplink2</v>
      </c>
      <c r="AV1769" s="12" t="str">
        <f>HYPERLINK("http://www.bing.com/maps/?lvl=14&amp;sty=h&amp;cp=31.8433~47.153&amp;sp=point.31.8433_47.153","Maplink3")</f>
        <v>Maplink3</v>
      </c>
    </row>
    <row r="1770" spans="1:48" ht="15" customHeight="1" x14ac:dyDescent="0.25">
      <c r="A1770" s="19">
        <v>24371</v>
      </c>
      <c r="B1770" s="20" t="s">
        <v>18</v>
      </c>
      <c r="C1770" s="20" t="s">
        <v>3265</v>
      </c>
      <c r="D1770" s="20" t="s">
        <v>3284</v>
      </c>
      <c r="E1770" s="20" t="s">
        <v>3285</v>
      </c>
      <c r="F1770" s="20">
        <v>31.8632905511</v>
      </c>
      <c r="G1770" s="20">
        <v>47.175748441400003</v>
      </c>
      <c r="H1770" s="22">
        <v>2</v>
      </c>
      <c r="I1770" s="22">
        <v>12</v>
      </c>
      <c r="J1770" s="21"/>
      <c r="K1770" s="21"/>
      <c r="L1770" s="21"/>
      <c r="M1770" s="21"/>
      <c r="N1770" s="21"/>
      <c r="O1770" s="21"/>
      <c r="P1770" s="21"/>
      <c r="Q1770" s="21"/>
      <c r="R1770" s="21">
        <v>1</v>
      </c>
      <c r="S1770" s="21"/>
      <c r="T1770" s="21"/>
      <c r="U1770" s="21"/>
      <c r="V1770" s="21">
        <v>1</v>
      </c>
      <c r="W1770" s="21"/>
      <c r="X1770" s="21"/>
      <c r="Y1770" s="21"/>
      <c r="Z1770" s="21"/>
      <c r="AA1770" s="21"/>
      <c r="AB1770" s="21"/>
      <c r="AC1770" s="21">
        <v>1</v>
      </c>
      <c r="AD1770" s="21"/>
      <c r="AE1770" s="21">
        <v>1</v>
      </c>
      <c r="AF1770" s="21"/>
      <c r="AG1770" s="21"/>
      <c r="AH1770" s="21"/>
      <c r="AI1770" s="21"/>
      <c r="AJ1770" s="21"/>
      <c r="AK1770" s="21"/>
      <c r="AL1770" s="21"/>
      <c r="AM1770" s="21"/>
      <c r="AN1770" s="21">
        <v>1</v>
      </c>
      <c r="AO1770" s="21">
        <v>1</v>
      </c>
      <c r="AP1770" s="21"/>
      <c r="AQ1770" s="21"/>
      <c r="AR1770" s="21"/>
      <c r="AS1770" s="21"/>
      <c r="AT1770" s="12" t="str">
        <f>HYPERLINK("http://www.openstreetmap.org/?mlat=31.8633&amp;mlon=47.1757&amp;zoom=12#map=12/31.8633/47.1757","Maplink1")</f>
        <v>Maplink1</v>
      </c>
      <c r="AU1770" s="12" t="str">
        <f>HYPERLINK("https://www.google.iq/maps/search/+31.8633,47.1757/@31.8633,47.1757,14z?hl=en","Maplink2")</f>
        <v>Maplink2</v>
      </c>
      <c r="AV1770" s="12" t="str">
        <f>HYPERLINK("http://www.bing.com/maps/?lvl=14&amp;sty=h&amp;cp=31.8633~47.1757&amp;sp=point.31.8633_47.1757","Maplink3")</f>
        <v>Maplink3</v>
      </c>
    </row>
    <row r="1771" spans="1:48" ht="15" customHeight="1" x14ac:dyDescent="0.25">
      <c r="A1771" s="19">
        <v>16568</v>
      </c>
      <c r="B1771" s="20" t="s">
        <v>18</v>
      </c>
      <c r="C1771" s="20" t="s">
        <v>3265</v>
      </c>
      <c r="D1771" s="20" t="s">
        <v>3286</v>
      </c>
      <c r="E1771" s="20" t="s">
        <v>3287</v>
      </c>
      <c r="F1771" s="20">
        <v>31.85980326</v>
      </c>
      <c r="G1771" s="20">
        <v>47.158343000000002</v>
      </c>
      <c r="H1771" s="22">
        <v>4</v>
      </c>
      <c r="I1771" s="22">
        <v>24</v>
      </c>
      <c r="J1771" s="21">
        <v>3</v>
      </c>
      <c r="K1771" s="21"/>
      <c r="L1771" s="21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>
        <v>1</v>
      </c>
      <c r="W1771" s="21"/>
      <c r="X1771" s="21"/>
      <c r="Y1771" s="21"/>
      <c r="Z1771" s="21"/>
      <c r="AA1771" s="21"/>
      <c r="AB1771" s="21"/>
      <c r="AC1771" s="21">
        <v>3</v>
      </c>
      <c r="AD1771" s="21"/>
      <c r="AE1771" s="21"/>
      <c r="AF1771" s="21"/>
      <c r="AG1771" s="21"/>
      <c r="AH1771" s="21">
        <v>1</v>
      </c>
      <c r="AI1771" s="21"/>
      <c r="AJ1771" s="21"/>
      <c r="AK1771" s="21"/>
      <c r="AL1771" s="21">
        <v>1</v>
      </c>
      <c r="AM1771" s="21"/>
      <c r="AN1771" s="21"/>
      <c r="AO1771" s="21"/>
      <c r="AP1771" s="21">
        <v>2</v>
      </c>
      <c r="AQ1771" s="21"/>
      <c r="AR1771" s="21">
        <v>1</v>
      </c>
      <c r="AS1771" s="21"/>
      <c r="AT1771" s="12" t="str">
        <f>HYPERLINK("http://www.openstreetmap.org/?mlat=31.8598&amp;mlon=47.1583&amp;zoom=12#map=12/31.8598/47.1583","Maplink1")</f>
        <v>Maplink1</v>
      </c>
      <c r="AU1771" s="12" t="str">
        <f>HYPERLINK("https://www.google.iq/maps/search/+31.8598,47.1583/@31.8598,47.1583,14z?hl=en","Maplink2")</f>
        <v>Maplink2</v>
      </c>
      <c r="AV1771" s="12" t="str">
        <f>HYPERLINK("http://www.bing.com/maps/?lvl=14&amp;sty=h&amp;cp=31.8598~47.1583&amp;sp=point.31.8598_47.1583","Maplink3")</f>
        <v>Maplink3</v>
      </c>
    </row>
    <row r="1772" spans="1:48" ht="15" customHeight="1" x14ac:dyDescent="0.25">
      <c r="A1772" s="19">
        <v>20844</v>
      </c>
      <c r="B1772" s="20" t="s">
        <v>18</v>
      </c>
      <c r="C1772" s="20" t="s">
        <v>3265</v>
      </c>
      <c r="D1772" s="20" t="s">
        <v>3288</v>
      </c>
      <c r="E1772" s="20" t="s">
        <v>1914</v>
      </c>
      <c r="F1772" s="20">
        <v>31.85088885</v>
      </c>
      <c r="G1772" s="20">
        <v>47.120633820000002</v>
      </c>
      <c r="H1772" s="22">
        <v>10</v>
      </c>
      <c r="I1772" s="22">
        <v>60</v>
      </c>
      <c r="J1772" s="21">
        <v>1</v>
      </c>
      <c r="K1772" s="21"/>
      <c r="L1772" s="21"/>
      <c r="M1772" s="21"/>
      <c r="N1772" s="21"/>
      <c r="O1772" s="21"/>
      <c r="P1772" s="21"/>
      <c r="Q1772" s="21"/>
      <c r="R1772" s="21">
        <v>5</v>
      </c>
      <c r="S1772" s="21"/>
      <c r="T1772" s="21"/>
      <c r="U1772" s="21"/>
      <c r="V1772" s="21">
        <v>3</v>
      </c>
      <c r="W1772" s="21"/>
      <c r="X1772" s="21">
        <v>1</v>
      </c>
      <c r="Y1772" s="21"/>
      <c r="Z1772" s="21"/>
      <c r="AA1772" s="21"/>
      <c r="AB1772" s="21"/>
      <c r="AC1772" s="21">
        <v>4</v>
      </c>
      <c r="AD1772" s="21"/>
      <c r="AE1772" s="21">
        <v>3</v>
      </c>
      <c r="AF1772" s="21"/>
      <c r="AG1772" s="21"/>
      <c r="AH1772" s="21">
        <v>3</v>
      </c>
      <c r="AI1772" s="21"/>
      <c r="AJ1772" s="21"/>
      <c r="AK1772" s="21"/>
      <c r="AL1772" s="21">
        <v>1</v>
      </c>
      <c r="AM1772" s="21">
        <v>4</v>
      </c>
      <c r="AN1772" s="21">
        <v>2</v>
      </c>
      <c r="AO1772" s="21">
        <v>2</v>
      </c>
      <c r="AP1772" s="21"/>
      <c r="AQ1772" s="21"/>
      <c r="AR1772" s="21">
        <v>1</v>
      </c>
      <c r="AS1772" s="21"/>
      <c r="AT1772" s="12" t="str">
        <f>HYPERLINK("http://www.openstreetmap.org/?mlat=31.8509&amp;mlon=47.1206&amp;zoom=12#map=12/31.8509/47.1206","Maplink1")</f>
        <v>Maplink1</v>
      </c>
      <c r="AU1772" s="12" t="str">
        <f>HYPERLINK("https://www.google.iq/maps/search/+31.8509,47.1206/@31.8509,47.1206,14z?hl=en","Maplink2")</f>
        <v>Maplink2</v>
      </c>
      <c r="AV1772" s="12" t="str">
        <f>HYPERLINK("http://www.bing.com/maps/?lvl=14&amp;sty=h&amp;cp=31.8509~47.1206&amp;sp=point.31.8509_47.1206","Maplink3")</f>
        <v>Maplink3</v>
      </c>
    </row>
    <row r="1773" spans="1:48" ht="15" customHeight="1" x14ac:dyDescent="0.25">
      <c r="A1773" s="19">
        <v>24781</v>
      </c>
      <c r="B1773" s="20" t="s">
        <v>18</v>
      </c>
      <c r="C1773" s="20" t="s">
        <v>3265</v>
      </c>
      <c r="D1773" s="20" t="s">
        <v>3289</v>
      </c>
      <c r="E1773" s="20" t="s">
        <v>3290</v>
      </c>
      <c r="F1773" s="20">
        <v>31.834990059999999</v>
      </c>
      <c r="G1773" s="20">
        <v>47.121647279999998</v>
      </c>
      <c r="H1773" s="22">
        <v>2</v>
      </c>
      <c r="I1773" s="22">
        <v>12</v>
      </c>
      <c r="J1773" s="21"/>
      <c r="K1773" s="21"/>
      <c r="L1773" s="21"/>
      <c r="M1773" s="21"/>
      <c r="N1773" s="21"/>
      <c r="O1773" s="21"/>
      <c r="P1773" s="21"/>
      <c r="Q1773" s="21"/>
      <c r="R1773" s="21">
        <v>1</v>
      </c>
      <c r="S1773" s="21"/>
      <c r="T1773" s="21"/>
      <c r="U1773" s="21"/>
      <c r="V1773" s="21">
        <v>1</v>
      </c>
      <c r="W1773" s="21"/>
      <c r="X1773" s="21"/>
      <c r="Y1773" s="21"/>
      <c r="Z1773" s="21"/>
      <c r="AA1773" s="21"/>
      <c r="AB1773" s="21"/>
      <c r="AC1773" s="21">
        <v>1</v>
      </c>
      <c r="AD1773" s="21"/>
      <c r="AE1773" s="21"/>
      <c r="AF1773" s="21"/>
      <c r="AG1773" s="21"/>
      <c r="AH1773" s="21">
        <v>1</v>
      </c>
      <c r="AI1773" s="21"/>
      <c r="AJ1773" s="21"/>
      <c r="AK1773" s="21"/>
      <c r="AL1773" s="21">
        <v>1</v>
      </c>
      <c r="AM1773" s="21">
        <v>1</v>
      </c>
      <c r="AN1773" s="21"/>
      <c r="AO1773" s="21"/>
      <c r="AP1773" s="21"/>
      <c r="AQ1773" s="21"/>
      <c r="AR1773" s="21"/>
      <c r="AS1773" s="21"/>
      <c r="AT1773" s="12" t="str">
        <f>HYPERLINK("http://www.openstreetmap.org/?mlat=31.835&amp;mlon=47.1216&amp;zoom=12#map=12/31.835/47.1216","Maplink1")</f>
        <v>Maplink1</v>
      </c>
      <c r="AU1773" s="12" t="str">
        <f>HYPERLINK("https://www.google.iq/maps/search/+31.835,47.1216/@31.835,47.1216,14z?hl=en","Maplink2")</f>
        <v>Maplink2</v>
      </c>
      <c r="AV1773" s="12" t="str">
        <f>HYPERLINK("http://www.bing.com/maps/?lvl=14&amp;sty=h&amp;cp=31.835~47.1216&amp;sp=point.31.835_47.1216","Maplink3")</f>
        <v>Maplink3</v>
      </c>
    </row>
    <row r="1774" spans="1:48" ht="15" customHeight="1" x14ac:dyDescent="0.25">
      <c r="A1774" s="19">
        <v>16499</v>
      </c>
      <c r="B1774" s="20" t="s">
        <v>18</v>
      </c>
      <c r="C1774" s="20" t="s">
        <v>3265</v>
      </c>
      <c r="D1774" s="20" t="s">
        <v>3291</v>
      </c>
      <c r="E1774" s="20" t="s">
        <v>3292</v>
      </c>
      <c r="F1774" s="20">
        <v>31.834261300000001</v>
      </c>
      <c r="G1774" s="20">
        <v>47.131977050000003</v>
      </c>
      <c r="H1774" s="22">
        <v>2</v>
      </c>
      <c r="I1774" s="22">
        <v>12</v>
      </c>
      <c r="J1774" s="21"/>
      <c r="K1774" s="21"/>
      <c r="L1774" s="21"/>
      <c r="M1774" s="21"/>
      <c r="N1774" s="21"/>
      <c r="O1774" s="21">
        <v>1</v>
      </c>
      <c r="P1774" s="21"/>
      <c r="Q1774" s="21"/>
      <c r="R1774" s="21"/>
      <c r="S1774" s="21"/>
      <c r="T1774" s="21"/>
      <c r="U1774" s="21"/>
      <c r="V1774" s="21">
        <v>1</v>
      </c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21"/>
      <c r="AH1774" s="21">
        <v>2</v>
      </c>
      <c r="AI1774" s="21"/>
      <c r="AJ1774" s="21"/>
      <c r="AK1774" s="21"/>
      <c r="AL1774" s="21"/>
      <c r="AM1774" s="21">
        <v>2</v>
      </c>
      <c r="AN1774" s="21"/>
      <c r="AO1774" s="21"/>
      <c r="AP1774" s="21"/>
      <c r="AQ1774" s="21"/>
      <c r="AR1774" s="21"/>
      <c r="AS1774" s="21"/>
      <c r="AT1774" s="12" t="str">
        <f>HYPERLINK("http://www.openstreetmap.org/?mlat=31.8343&amp;mlon=47.132&amp;zoom=12#map=12/31.8343/47.132","Maplink1")</f>
        <v>Maplink1</v>
      </c>
      <c r="AU1774" s="12" t="str">
        <f>HYPERLINK("https://www.google.iq/maps/search/+31.8343,47.132/@31.8343,47.132,14z?hl=en","Maplink2")</f>
        <v>Maplink2</v>
      </c>
      <c r="AV1774" s="12" t="str">
        <f>HYPERLINK("http://www.bing.com/maps/?lvl=14&amp;sty=h&amp;cp=31.8343~47.132&amp;sp=point.31.8343_47.132","Maplink3")</f>
        <v>Maplink3</v>
      </c>
    </row>
    <row r="1775" spans="1:48" ht="15" customHeight="1" x14ac:dyDescent="0.25">
      <c r="A1775" s="19">
        <v>24292</v>
      </c>
      <c r="B1775" s="20" t="s">
        <v>18</v>
      </c>
      <c r="C1775" s="20" t="s">
        <v>3265</v>
      </c>
      <c r="D1775" s="20" t="s">
        <v>3244</v>
      </c>
      <c r="E1775" s="20" t="s">
        <v>3245</v>
      </c>
      <c r="F1775" s="20">
        <v>31.864034069999999</v>
      </c>
      <c r="G1775" s="20">
        <v>47.141285320000001</v>
      </c>
      <c r="H1775" s="22">
        <v>4</v>
      </c>
      <c r="I1775" s="22">
        <v>24</v>
      </c>
      <c r="J1775" s="21">
        <v>1</v>
      </c>
      <c r="K1775" s="21"/>
      <c r="L1775" s="21"/>
      <c r="M1775" s="21"/>
      <c r="N1775" s="21"/>
      <c r="O1775" s="21"/>
      <c r="P1775" s="21"/>
      <c r="Q1775" s="21"/>
      <c r="R1775" s="21">
        <v>1</v>
      </c>
      <c r="S1775" s="21"/>
      <c r="T1775" s="21"/>
      <c r="U1775" s="21"/>
      <c r="V1775" s="21">
        <v>1</v>
      </c>
      <c r="W1775" s="21"/>
      <c r="X1775" s="21">
        <v>1</v>
      </c>
      <c r="Y1775" s="21"/>
      <c r="Z1775" s="21"/>
      <c r="AA1775" s="21"/>
      <c r="AB1775" s="21"/>
      <c r="AC1775" s="21"/>
      <c r="AD1775" s="21"/>
      <c r="AE1775" s="21">
        <v>3</v>
      </c>
      <c r="AF1775" s="21"/>
      <c r="AG1775" s="21"/>
      <c r="AH1775" s="21">
        <v>1</v>
      </c>
      <c r="AI1775" s="21"/>
      <c r="AJ1775" s="21"/>
      <c r="AK1775" s="21"/>
      <c r="AL1775" s="21"/>
      <c r="AM1775" s="21">
        <v>3</v>
      </c>
      <c r="AN1775" s="21"/>
      <c r="AO1775" s="21"/>
      <c r="AP1775" s="21"/>
      <c r="AQ1775" s="21"/>
      <c r="AR1775" s="21">
        <v>1</v>
      </c>
      <c r="AS1775" s="21"/>
      <c r="AT1775" s="12" t="str">
        <f>HYPERLINK("http://www.openstreetmap.org/?mlat=31.864&amp;mlon=47.1413&amp;zoom=12#map=12/31.864/47.1413","Maplink1")</f>
        <v>Maplink1</v>
      </c>
      <c r="AU1775" s="12" t="str">
        <f>HYPERLINK("https://www.google.iq/maps/search/+31.864,47.1413/@31.864,47.1413,14z?hl=en","Maplink2")</f>
        <v>Maplink2</v>
      </c>
      <c r="AV1775" s="12" t="str">
        <f>HYPERLINK("http://www.bing.com/maps/?lvl=14&amp;sty=h&amp;cp=31.864~47.1413&amp;sp=point.31.864_47.1413","Maplink3")</f>
        <v>Maplink3</v>
      </c>
    </row>
    <row r="1776" spans="1:48" ht="15" customHeight="1" x14ac:dyDescent="0.25">
      <c r="A1776" s="19">
        <v>15991</v>
      </c>
      <c r="B1776" s="20" t="s">
        <v>18</v>
      </c>
      <c r="C1776" s="20" t="s">
        <v>3265</v>
      </c>
      <c r="D1776" s="20" t="s">
        <v>215</v>
      </c>
      <c r="E1776" s="20" t="s">
        <v>216</v>
      </c>
      <c r="F1776" s="20">
        <v>31.821126939999999</v>
      </c>
      <c r="G1776" s="20">
        <v>47.119647860000001</v>
      </c>
      <c r="H1776" s="22">
        <v>11</v>
      </c>
      <c r="I1776" s="22">
        <v>66</v>
      </c>
      <c r="J1776" s="21"/>
      <c r="K1776" s="21"/>
      <c r="L1776" s="21"/>
      <c r="M1776" s="21"/>
      <c r="N1776" s="21"/>
      <c r="O1776" s="21"/>
      <c r="P1776" s="21"/>
      <c r="Q1776" s="21"/>
      <c r="R1776" s="21">
        <v>2</v>
      </c>
      <c r="S1776" s="21"/>
      <c r="T1776" s="21"/>
      <c r="U1776" s="21"/>
      <c r="V1776" s="21">
        <v>8</v>
      </c>
      <c r="W1776" s="21"/>
      <c r="X1776" s="21">
        <v>1</v>
      </c>
      <c r="Y1776" s="21"/>
      <c r="Z1776" s="21"/>
      <c r="AA1776" s="21"/>
      <c r="AB1776" s="21"/>
      <c r="AC1776" s="21">
        <v>7</v>
      </c>
      <c r="AD1776" s="21"/>
      <c r="AE1776" s="21"/>
      <c r="AF1776" s="21"/>
      <c r="AG1776" s="21"/>
      <c r="AH1776" s="21">
        <v>4</v>
      </c>
      <c r="AI1776" s="21"/>
      <c r="AJ1776" s="21"/>
      <c r="AK1776" s="21"/>
      <c r="AL1776" s="21"/>
      <c r="AM1776" s="21">
        <v>1</v>
      </c>
      <c r="AN1776" s="21">
        <v>5</v>
      </c>
      <c r="AO1776" s="21">
        <v>5</v>
      </c>
      <c r="AP1776" s="21"/>
      <c r="AQ1776" s="21"/>
      <c r="AR1776" s="21"/>
      <c r="AS1776" s="21"/>
      <c r="AT1776" s="12" t="str">
        <f>HYPERLINK("http://www.openstreetmap.org/?mlat=31.8211&amp;mlon=47.1196&amp;zoom=12#map=12/31.8211/47.1196","Maplink1")</f>
        <v>Maplink1</v>
      </c>
      <c r="AU1776" s="12" t="str">
        <f>HYPERLINK("https://www.google.iq/maps/search/+31.8211,47.1196/@31.8211,47.1196,14z?hl=en","Maplink2")</f>
        <v>Maplink2</v>
      </c>
      <c r="AV1776" s="12" t="str">
        <f>HYPERLINK("http://www.bing.com/maps/?lvl=14&amp;sty=h&amp;cp=31.8211~47.1196&amp;sp=point.31.8211_47.1196","Maplink3")</f>
        <v>Maplink3</v>
      </c>
    </row>
    <row r="1777" spans="1:48" ht="15" customHeight="1" x14ac:dyDescent="0.25">
      <c r="A1777" s="19">
        <v>16859</v>
      </c>
      <c r="B1777" s="20" t="s">
        <v>18</v>
      </c>
      <c r="C1777" s="20" t="s">
        <v>3265</v>
      </c>
      <c r="D1777" s="20" t="s">
        <v>3293</v>
      </c>
      <c r="E1777" s="20" t="s">
        <v>3294</v>
      </c>
      <c r="F1777" s="20">
        <v>31.848282999999999</v>
      </c>
      <c r="G1777" s="20">
        <v>47.165956999999999</v>
      </c>
      <c r="H1777" s="22">
        <v>3</v>
      </c>
      <c r="I1777" s="22">
        <v>18</v>
      </c>
      <c r="J1777" s="21"/>
      <c r="K1777" s="21"/>
      <c r="L1777" s="21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>
        <v>3</v>
      </c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21"/>
      <c r="AH1777" s="21">
        <v>3</v>
      </c>
      <c r="AI1777" s="21"/>
      <c r="AJ1777" s="21"/>
      <c r="AK1777" s="21"/>
      <c r="AL1777" s="21"/>
      <c r="AM1777" s="21">
        <v>1</v>
      </c>
      <c r="AN1777" s="21">
        <v>1</v>
      </c>
      <c r="AO1777" s="21">
        <v>1</v>
      </c>
      <c r="AP1777" s="21"/>
      <c r="AQ1777" s="21"/>
      <c r="AR1777" s="21"/>
      <c r="AS1777" s="21"/>
      <c r="AT1777" s="12" t="str">
        <f>HYPERLINK("http://www.openstreetmap.org/?mlat=31.8483&amp;mlon=47.166&amp;zoom=12#map=12/31.8483/47.166","Maplink1")</f>
        <v>Maplink1</v>
      </c>
      <c r="AU1777" s="12" t="str">
        <f>HYPERLINK("https://www.google.iq/maps/search/+31.8483,47.166/@31.8483,47.166,14z?hl=en","Maplink2")</f>
        <v>Maplink2</v>
      </c>
      <c r="AV1777" s="12" t="str">
        <f>HYPERLINK("http://www.bing.com/maps/?lvl=14&amp;sty=h&amp;cp=31.8483~47.166&amp;sp=point.31.8483_47.166","Maplink3")</f>
        <v>Maplink3</v>
      </c>
    </row>
    <row r="1778" spans="1:48" ht="15" customHeight="1" x14ac:dyDescent="0.25">
      <c r="A1778" s="19">
        <v>16825</v>
      </c>
      <c r="B1778" s="20" t="s">
        <v>18</v>
      </c>
      <c r="C1778" s="20" t="s">
        <v>3265</v>
      </c>
      <c r="D1778" s="20" t="s">
        <v>3295</v>
      </c>
      <c r="E1778" s="20" t="s">
        <v>277</v>
      </c>
      <c r="F1778" s="20">
        <v>31.829326999999999</v>
      </c>
      <c r="G1778" s="20">
        <v>47.120531999999997</v>
      </c>
      <c r="H1778" s="22">
        <v>5</v>
      </c>
      <c r="I1778" s="22">
        <v>30</v>
      </c>
      <c r="J1778" s="21">
        <v>1</v>
      </c>
      <c r="K1778" s="21"/>
      <c r="L1778" s="21">
        <v>4</v>
      </c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>
        <v>2</v>
      </c>
      <c r="AD1778" s="21"/>
      <c r="AE1778" s="21"/>
      <c r="AF1778" s="21"/>
      <c r="AG1778" s="21"/>
      <c r="AH1778" s="21">
        <v>3</v>
      </c>
      <c r="AI1778" s="21"/>
      <c r="AJ1778" s="21"/>
      <c r="AK1778" s="21"/>
      <c r="AL1778" s="21"/>
      <c r="AM1778" s="21">
        <v>2</v>
      </c>
      <c r="AN1778" s="21"/>
      <c r="AO1778" s="21">
        <v>3</v>
      </c>
      <c r="AP1778" s="21"/>
      <c r="AQ1778" s="21"/>
      <c r="AR1778" s="21"/>
      <c r="AS1778" s="21"/>
      <c r="AT1778" s="12" t="str">
        <f>HYPERLINK("http://www.openstreetmap.org/?mlat=31.8293&amp;mlon=47.1205&amp;zoom=12#map=12/31.8293/47.1205","Maplink1")</f>
        <v>Maplink1</v>
      </c>
      <c r="AU1778" s="12" t="str">
        <f>HYPERLINK("https://www.google.iq/maps/search/+31.8293,47.1205/@31.8293,47.1205,14z?hl=en","Maplink2")</f>
        <v>Maplink2</v>
      </c>
      <c r="AV1778" s="12" t="str">
        <f>HYPERLINK("http://www.bing.com/maps/?lvl=14&amp;sty=h&amp;cp=31.8293~47.1205&amp;sp=point.31.8293_47.1205","Maplink3")</f>
        <v>Maplink3</v>
      </c>
    </row>
    <row r="1779" spans="1:48" ht="15" customHeight="1" x14ac:dyDescent="0.25">
      <c r="A1779" s="19">
        <v>16830</v>
      </c>
      <c r="B1779" s="20" t="s">
        <v>18</v>
      </c>
      <c r="C1779" s="20" t="s">
        <v>3265</v>
      </c>
      <c r="D1779" s="20" t="s">
        <v>3296</v>
      </c>
      <c r="E1779" s="20" t="s">
        <v>3297</v>
      </c>
      <c r="F1779" s="20">
        <v>31.823305999999999</v>
      </c>
      <c r="G1779" s="20">
        <v>47.143653999999998</v>
      </c>
      <c r="H1779" s="22">
        <v>1</v>
      </c>
      <c r="I1779" s="22">
        <v>6</v>
      </c>
      <c r="J1779" s="21"/>
      <c r="K1779" s="21"/>
      <c r="L1779" s="21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>
        <v>1</v>
      </c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21"/>
      <c r="AH1779" s="21">
        <v>1</v>
      </c>
      <c r="AI1779" s="21"/>
      <c r="AJ1779" s="21"/>
      <c r="AK1779" s="21"/>
      <c r="AL1779" s="21"/>
      <c r="AM1779" s="21"/>
      <c r="AN1779" s="21">
        <v>1</v>
      </c>
      <c r="AO1779" s="21"/>
      <c r="AP1779" s="21"/>
      <c r="AQ1779" s="21"/>
      <c r="AR1779" s="21"/>
      <c r="AS1779" s="21"/>
      <c r="AT1779" s="12" t="str">
        <f>HYPERLINK("http://www.openstreetmap.org/?mlat=31.8233&amp;mlon=47.1437&amp;zoom=12#map=12/31.8233/47.1437","Maplink1")</f>
        <v>Maplink1</v>
      </c>
      <c r="AU1779" s="12" t="str">
        <f>HYPERLINK("https://www.google.iq/maps/search/+31.8233,47.1437/@31.8233,47.1437,14z?hl=en","Maplink2")</f>
        <v>Maplink2</v>
      </c>
      <c r="AV1779" s="12" t="str">
        <f>HYPERLINK("http://www.bing.com/maps/?lvl=14&amp;sty=h&amp;cp=31.8233~47.1437&amp;sp=point.31.8233_47.1437","Maplink3")</f>
        <v>Maplink3</v>
      </c>
    </row>
    <row r="1780" spans="1:48" ht="15" customHeight="1" x14ac:dyDescent="0.25">
      <c r="A1780" s="19">
        <v>16822</v>
      </c>
      <c r="B1780" s="20" t="s">
        <v>18</v>
      </c>
      <c r="C1780" s="20" t="s">
        <v>3265</v>
      </c>
      <c r="D1780" s="20" t="s">
        <v>3298</v>
      </c>
      <c r="E1780" s="20" t="s">
        <v>3299</v>
      </c>
      <c r="F1780" s="20">
        <v>31.857064179999998</v>
      </c>
      <c r="G1780" s="20">
        <v>47.110411509999999</v>
      </c>
      <c r="H1780" s="22">
        <v>5</v>
      </c>
      <c r="I1780" s="22">
        <v>30</v>
      </c>
      <c r="J1780" s="21"/>
      <c r="K1780" s="21"/>
      <c r="L1780" s="21">
        <v>5</v>
      </c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>
        <v>5</v>
      </c>
      <c r="AF1780" s="21"/>
      <c r="AG1780" s="21"/>
      <c r="AH1780" s="21"/>
      <c r="AI1780" s="21"/>
      <c r="AJ1780" s="21"/>
      <c r="AK1780" s="21"/>
      <c r="AL1780" s="21"/>
      <c r="AM1780" s="21">
        <v>5</v>
      </c>
      <c r="AN1780" s="21"/>
      <c r="AO1780" s="21"/>
      <c r="AP1780" s="21"/>
      <c r="AQ1780" s="21"/>
      <c r="AR1780" s="21"/>
      <c r="AS1780" s="21"/>
      <c r="AT1780" s="12" t="str">
        <f>HYPERLINK("http://www.openstreetmap.org/?mlat=31.8571&amp;mlon=47.1104&amp;zoom=12#map=12/31.8571/47.1104","Maplink1")</f>
        <v>Maplink1</v>
      </c>
      <c r="AU1780" s="12" t="str">
        <f>HYPERLINK("https://www.google.iq/maps/search/+31.8571,47.1104/@31.8571,47.1104,14z?hl=en","Maplink2")</f>
        <v>Maplink2</v>
      </c>
      <c r="AV1780" s="12" t="str">
        <f>HYPERLINK("http://www.bing.com/maps/?lvl=14&amp;sty=h&amp;cp=31.8571~47.1104&amp;sp=point.31.8571_47.1104","Maplink3")</f>
        <v>Maplink3</v>
      </c>
    </row>
    <row r="1781" spans="1:48" ht="15" customHeight="1" x14ac:dyDescent="0.25">
      <c r="A1781" s="19">
        <v>23872</v>
      </c>
      <c r="B1781" s="20" t="s">
        <v>18</v>
      </c>
      <c r="C1781" s="20" t="s">
        <v>3265</v>
      </c>
      <c r="D1781" s="20" t="s">
        <v>3300</v>
      </c>
      <c r="E1781" s="20" t="s">
        <v>3301</v>
      </c>
      <c r="F1781" s="20">
        <v>31.840869000000001</v>
      </c>
      <c r="G1781" s="20">
        <v>47.106952</v>
      </c>
      <c r="H1781" s="22">
        <v>3</v>
      </c>
      <c r="I1781" s="22">
        <v>18</v>
      </c>
      <c r="J1781" s="21"/>
      <c r="K1781" s="21"/>
      <c r="L1781" s="21"/>
      <c r="M1781" s="21"/>
      <c r="N1781" s="21"/>
      <c r="O1781" s="21">
        <v>1</v>
      </c>
      <c r="P1781" s="21"/>
      <c r="Q1781" s="21"/>
      <c r="R1781" s="21">
        <v>1</v>
      </c>
      <c r="S1781" s="21"/>
      <c r="T1781" s="21"/>
      <c r="U1781" s="21"/>
      <c r="V1781" s="21">
        <v>1</v>
      </c>
      <c r="W1781" s="21"/>
      <c r="X1781" s="21"/>
      <c r="Y1781" s="21"/>
      <c r="Z1781" s="21"/>
      <c r="AA1781" s="21"/>
      <c r="AB1781" s="21"/>
      <c r="AC1781" s="21">
        <v>2</v>
      </c>
      <c r="AD1781" s="21"/>
      <c r="AE1781" s="21"/>
      <c r="AF1781" s="21"/>
      <c r="AG1781" s="21"/>
      <c r="AH1781" s="21">
        <v>1</v>
      </c>
      <c r="AI1781" s="21"/>
      <c r="AJ1781" s="21"/>
      <c r="AK1781" s="21"/>
      <c r="AL1781" s="21"/>
      <c r="AM1781" s="21"/>
      <c r="AN1781" s="21">
        <v>1</v>
      </c>
      <c r="AO1781" s="21">
        <v>2</v>
      </c>
      <c r="AP1781" s="21"/>
      <c r="AQ1781" s="21"/>
      <c r="AR1781" s="21"/>
      <c r="AS1781" s="21"/>
      <c r="AT1781" s="12" t="str">
        <f>HYPERLINK("http://www.openstreetmap.org/?mlat=31.8409&amp;mlon=47.107&amp;zoom=12#map=12/31.8409/47.107","Maplink1")</f>
        <v>Maplink1</v>
      </c>
      <c r="AU1781" s="12" t="str">
        <f>HYPERLINK("https://www.google.iq/maps/search/+31.8409,47.107/@31.8409,47.107,14z?hl=en","Maplink2")</f>
        <v>Maplink2</v>
      </c>
      <c r="AV1781" s="12" t="str">
        <f>HYPERLINK("http://www.bing.com/maps/?lvl=14&amp;sty=h&amp;cp=31.8409~47.107&amp;sp=point.31.8409_47.107","Maplink3")</f>
        <v>Maplink3</v>
      </c>
    </row>
    <row r="1782" spans="1:48" ht="15" customHeight="1" x14ac:dyDescent="0.25">
      <c r="A1782" s="19">
        <v>16816</v>
      </c>
      <c r="B1782" s="20" t="s">
        <v>18</v>
      </c>
      <c r="C1782" s="20" t="s">
        <v>3265</v>
      </c>
      <c r="D1782" s="20" t="s">
        <v>3302</v>
      </c>
      <c r="E1782" s="20" t="s">
        <v>365</v>
      </c>
      <c r="F1782" s="20">
        <v>31.86623419</v>
      </c>
      <c r="G1782" s="20">
        <v>47.153703450000002</v>
      </c>
      <c r="H1782" s="22">
        <v>12</v>
      </c>
      <c r="I1782" s="22">
        <v>72</v>
      </c>
      <c r="J1782" s="21">
        <v>3</v>
      </c>
      <c r="K1782" s="21"/>
      <c r="L1782" s="21"/>
      <c r="M1782" s="21"/>
      <c r="N1782" s="21"/>
      <c r="O1782" s="21">
        <v>1</v>
      </c>
      <c r="P1782" s="21"/>
      <c r="Q1782" s="21"/>
      <c r="R1782" s="21">
        <v>5</v>
      </c>
      <c r="S1782" s="21"/>
      <c r="T1782" s="21"/>
      <c r="U1782" s="21"/>
      <c r="V1782" s="21">
        <v>2</v>
      </c>
      <c r="W1782" s="21"/>
      <c r="X1782" s="21">
        <v>1</v>
      </c>
      <c r="Y1782" s="21"/>
      <c r="Z1782" s="21"/>
      <c r="AA1782" s="21"/>
      <c r="AB1782" s="21"/>
      <c r="AC1782" s="21">
        <v>6</v>
      </c>
      <c r="AD1782" s="21"/>
      <c r="AE1782" s="21">
        <v>1</v>
      </c>
      <c r="AF1782" s="21"/>
      <c r="AG1782" s="21"/>
      <c r="AH1782" s="21">
        <v>5</v>
      </c>
      <c r="AI1782" s="21"/>
      <c r="AJ1782" s="21"/>
      <c r="AK1782" s="21"/>
      <c r="AL1782" s="21">
        <v>3</v>
      </c>
      <c r="AM1782" s="21">
        <v>3</v>
      </c>
      <c r="AN1782" s="21">
        <v>4</v>
      </c>
      <c r="AO1782" s="21">
        <v>2</v>
      </c>
      <c r="AP1782" s="21"/>
      <c r="AQ1782" s="21"/>
      <c r="AR1782" s="21"/>
      <c r="AS1782" s="21"/>
      <c r="AT1782" s="12" t="str">
        <f>HYPERLINK("http://www.openstreetmap.org/?mlat=31.8662&amp;mlon=47.1537&amp;zoom=12#map=12/31.8662/47.1537","Maplink1")</f>
        <v>Maplink1</v>
      </c>
      <c r="AU1782" s="12" t="str">
        <f>HYPERLINK("https://www.google.iq/maps/search/+31.8662,47.1537/@31.8662,47.1537,14z?hl=en","Maplink2")</f>
        <v>Maplink2</v>
      </c>
      <c r="AV1782" s="12" t="str">
        <f>HYPERLINK("http://www.bing.com/maps/?lvl=14&amp;sty=h&amp;cp=31.8662~47.1537&amp;sp=point.31.8662_47.1537","Maplink3")</f>
        <v>Maplink3</v>
      </c>
    </row>
    <row r="1783" spans="1:48" ht="15" customHeight="1" x14ac:dyDescent="0.25">
      <c r="A1783" s="19">
        <v>24547</v>
      </c>
      <c r="B1783" s="20" t="s">
        <v>18</v>
      </c>
      <c r="C1783" s="20" t="s">
        <v>3265</v>
      </c>
      <c r="D1783" s="20" t="s">
        <v>3303</v>
      </c>
      <c r="E1783" s="20" t="s">
        <v>3304</v>
      </c>
      <c r="F1783" s="20">
        <v>31.82859551</v>
      </c>
      <c r="G1783" s="20">
        <v>47.139814889999997</v>
      </c>
      <c r="H1783" s="22">
        <v>3</v>
      </c>
      <c r="I1783" s="22">
        <v>18</v>
      </c>
      <c r="J1783" s="21"/>
      <c r="K1783" s="21"/>
      <c r="L1783" s="21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>
        <v>2</v>
      </c>
      <c r="W1783" s="21"/>
      <c r="X1783" s="21">
        <v>1</v>
      </c>
      <c r="Y1783" s="21"/>
      <c r="Z1783" s="21"/>
      <c r="AA1783" s="21"/>
      <c r="AB1783" s="21"/>
      <c r="AC1783" s="21">
        <v>1</v>
      </c>
      <c r="AD1783" s="21"/>
      <c r="AE1783" s="21"/>
      <c r="AF1783" s="21"/>
      <c r="AG1783" s="21"/>
      <c r="AH1783" s="21">
        <v>2</v>
      </c>
      <c r="AI1783" s="21"/>
      <c r="AJ1783" s="21"/>
      <c r="AK1783" s="21"/>
      <c r="AL1783" s="21"/>
      <c r="AM1783" s="21"/>
      <c r="AN1783" s="21">
        <v>2</v>
      </c>
      <c r="AO1783" s="21">
        <v>1</v>
      </c>
      <c r="AP1783" s="21"/>
      <c r="AQ1783" s="21"/>
      <c r="AR1783" s="21"/>
      <c r="AS1783" s="21"/>
      <c r="AT1783" s="12" t="str">
        <f>HYPERLINK("http://www.openstreetmap.org/?mlat=31.8286&amp;mlon=47.1398&amp;zoom=12#map=12/31.8286/47.1398","Maplink1")</f>
        <v>Maplink1</v>
      </c>
      <c r="AU1783" s="12" t="str">
        <f>HYPERLINK("https://www.google.iq/maps/search/+31.8286,47.1398/@31.8286,47.1398,14z?hl=en","Maplink2")</f>
        <v>Maplink2</v>
      </c>
      <c r="AV1783" s="12" t="str">
        <f>HYPERLINK("http://www.bing.com/maps/?lvl=14&amp;sty=h&amp;cp=31.8286~47.1398&amp;sp=point.31.8286_47.1398","Maplink3")</f>
        <v>Maplink3</v>
      </c>
    </row>
    <row r="1784" spans="1:48" ht="15" customHeight="1" x14ac:dyDescent="0.25">
      <c r="A1784" s="19">
        <v>16808</v>
      </c>
      <c r="B1784" s="20" t="s">
        <v>18</v>
      </c>
      <c r="C1784" s="20" t="s">
        <v>3265</v>
      </c>
      <c r="D1784" s="20" t="s">
        <v>3305</v>
      </c>
      <c r="E1784" s="20" t="s">
        <v>1020</v>
      </c>
      <c r="F1784" s="20">
        <v>31.828287849999999</v>
      </c>
      <c r="G1784" s="20">
        <v>47.173177379999998</v>
      </c>
      <c r="H1784" s="22">
        <v>6</v>
      </c>
      <c r="I1784" s="22">
        <v>36</v>
      </c>
      <c r="J1784" s="21"/>
      <c r="K1784" s="21"/>
      <c r="L1784" s="21"/>
      <c r="M1784" s="21"/>
      <c r="N1784" s="21"/>
      <c r="O1784" s="21">
        <v>1</v>
      </c>
      <c r="P1784" s="21"/>
      <c r="Q1784" s="21"/>
      <c r="R1784" s="21">
        <v>1</v>
      </c>
      <c r="S1784" s="21"/>
      <c r="T1784" s="21"/>
      <c r="U1784" s="21"/>
      <c r="V1784" s="21">
        <v>3</v>
      </c>
      <c r="W1784" s="21"/>
      <c r="X1784" s="21">
        <v>1</v>
      </c>
      <c r="Y1784" s="21"/>
      <c r="Z1784" s="21"/>
      <c r="AA1784" s="21"/>
      <c r="AB1784" s="21"/>
      <c r="AC1784" s="21">
        <v>2</v>
      </c>
      <c r="AD1784" s="21"/>
      <c r="AE1784" s="21">
        <v>2</v>
      </c>
      <c r="AF1784" s="21"/>
      <c r="AG1784" s="21"/>
      <c r="AH1784" s="21">
        <v>2</v>
      </c>
      <c r="AI1784" s="21"/>
      <c r="AJ1784" s="21"/>
      <c r="AK1784" s="21"/>
      <c r="AL1784" s="21"/>
      <c r="AM1784" s="21">
        <v>3</v>
      </c>
      <c r="AN1784" s="21"/>
      <c r="AO1784" s="21"/>
      <c r="AP1784" s="21">
        <v>2</v>
      </c>
      <c r="AQ1784" s="21"/>
      <c r="AR1784" s="21">
        <v>1</v>
      </c>
      <c r="AS1784" s="21"/>
      <c r="AT1784" s="12" t="str">
        <f>HYPERLINK("http://www.openstreetmap.org/?mlat=31.8283&amp;mlon=47.1732&amp;zoom=12#map=12/31.8283/47.1732","Maplink1")</f>
        <v>Maplink1</v>
      </c>
      <c r="AU1784" s="12" t="str">
        <f>HYPERLINK("https://www.google.iq/maps/search/+31.8283,47.1732/@31.8283,47.1732,14z?hl=en","Maplink2")</f>
        <v>Maplink2</v>
      </c>
      <c r="AV1784" s="12" t="str">
        <f>HYPERLINK("http://www.bing.com/maps/?lvl=14&amp;sty=h&amp;cp=31.8283~47.1732&amp;sp=point.31.8283_47.1732","Maplink3")</f>
        <v>Maplink3</v>
      </c>
    </row>
    <row r="1785" spans="1:48" ht="15" customHeight="1" x14ac:dyDescent="0.25">
      <c r="A1785" s="19">
        <v>16552</v>
      </c>
      <c r="B1785" s="20" t="s">
        <v>18</v>
      </c>
      <c r="C1785" s="20" t="s">
        <v>3265</v>
      </c>
      <c r="D1785" s="20" t="s">
        <v>3306</v>
      </c>
      <c r="E1785" s="20" t="s">
        <v>3307</v>
      </c>
      <c r="F1785" s="20">
        <v>31.8330920627</v>
      </c>
      <c r="G1785" s="20">
        <v>47.172476900699998</v>
      </c>
      <c r="H1785" s="22">
        <v>4</v>
      </c>
      <c r="I1785" s="22">
        <v>24</v>
      </c>
      <c r="J1785" s="21"/>
      <c r="K1785" s="21"/>
      <c r="L1785" s="21"/>
      <c r="M1785" s="21"/>
      <c r="N1785" s="21"/>
      <c r="O1785" s="21"/>
      <c r="P1785" s="21"/>
      <c r="Q1785" s="21"/>
      <c r="R1785" s="21">
        <v>3</v>
      </c>
      <c r="S1785" s="21"/>
      <c r="T1785" s="21"/>
      <c r="U1785" s="21"/>
      <c r="V1785" s="21">
        <v>1</v>
      </c>
      <c r="W1785" s="21"/>
      <c r="X1785" s="21"/>
      <c r="Y1785" s="21"/>
      <c r="Z1785" s="21"/>
      <c r="AA1785" s="21"/>
      <c r="AB1785" s="21"/>
      <c r="AC1785" s="21">
        <v>2</v>
      </c>
      <c r="AD1785" s="21"/>
      <c r="AE1785" s="21"/>
      <c r="AF1785" s="21"/>
      <c r="AG1785" s="21"/>
      <c r="AH1785" s="21">
        <v>2</v>
      </c>
      <c r="AI1785" s="21"/>
      <c r="AJ1785" s="21"/>
      <c r="AK1785" s="21"/>
      <c r="AL1785" s="21"/>
      <c r="AM1785" s="21">
        <v>3</v>
      </c>
      <c r="AN1785" s="21"/>
      <c r="AO1785" s="21">
        <v>1</v>
      </c>
      <c r="AP1785" s="21"/>
      <c r="AQ1785" s="21"/>
      <c r="AR1785" s="21"/>
      <c r="AS1785" s="21"/>
      <c r="AT1785" s="12" t="str">
        <f>HYPERLINK("http://www.openstreetmap.org/?mlat=31.8331&amp;mlon=47.1725&amp;zoom=12#map=12/31.8331/47.1725","Maplink1")</f>
        <v>Maplink1</v>
      </c>
      <c r="AU1785" s="12" t="str">
        <f>HYPERLINK("https://www.google.iq/maps/search/+31.8331,47.1725/@31.8331,47.1725,14z?hl=en","Maplink2")</f>
        <v>Maplink2</v>
      </c>
      <c r="AV1785" s="12" t="str">
        <f>HYPERLINK("http://www.bing.com/maps/?lvl=14&amp;sty=h&amp;cp=31.8331~47.1725&amp;sp=point.31.8331_47.1725","Maplink3")</f>
        <v>Maplink3</v>
      </c>
    </row>
    <row r="1786" spans="1:48" ht="15" customHeight="1" x14ac:dyDescent="0.25">
      <c r="A1786" s="19">
        <v>16532</v>
      </c>
      <c r="B1786" s="20" t="s">
        <v>18</v>
      </c>
      <c r="C1786" s="20" t="s">
        <v>3265</v>
      </c>
      <c r="D1786" s="20" t="s">
        <v>3308</v>
      </c>
      <c r="E1786" s="20" t="s">
        <v>3309</v>
      </c>
      <c r="F1786" s="20">
        <v>31.83677947</v>
      </c>
      <c r="G1786" s="20">
        <v>47.160317360000001</v>
      </c>
      <c r="H1786" s="22">
        <v>1</v>
      </c>
      <c r="I1786" s="22">
        <v>6</v>
      </c>
      <c r="J1786" s="21"/>
      <c r="K1786" s="21"/>
      <c r="L1786" s="21"/>
      <c r="M1786" s="21"/>
      <c r="N1786" s="21"/>
      <c r="O1786" s="21"/>
      <c r="P1786" s="21"/>
      <c r="Q1786" s="21"/>
      <c r="R1786" s="21">
        <v>1</v>
      </c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>
        <v>1</v>
      </c>
      <c r="AD1786" s="21"/>
      <c r="AE1786" s="21"/>
      <c r="AF1786" s="21"/>
      <c r="AG1786" s="21"/>
      <c r="AH1786" s="21"/>
      <c r="AI1786" s="21"/>
      <c r="AJ1786" s="21"/>
      <c r="AK1786" s="21"/>
      <c r="AL1786" s="21"/>
      <c r="AM1786" s="21">
        <v>1</v>
      </c>
      <c r="AN1786" s="21"/>
      <c r="AO1786" s="21"/>
      <c r="AP1786" s="21"/>
      <c r="AQ1786" s="21"/>
      <c r="AR1786" s="21"/>
      <c r="AS1786" s="21"/>
      <c r="AT1786" s="12" t="str">
        <f>HYPERLINK("http://www.openstreetmap.org/?mlat=31.8368&amp;mlon=47.1603&amp;zoom=12#map=12/31.8368/47.1603","Maplink1")</f>
        <v>Maplink1</v>
      </c>
      <c r="AU1786" s="12" t="str">
        <f>HYPERLINK("https://www.google.iq/maps/search/+31.8368,47.1603/@31.8368,47.1603,14z?hl=en","Maplink2")</f>
        <v>Maplink2</v>
      </c>
      <c r="AV1786" s="12" t="str">
        <f>HYPERLINK("http://www.bing.com/maps/?lvl=14&amp;sty=h&amp;cp=31.8368~47.1603&amp;sp=point.31.8368_47.1603","Maplink3")</f>
        <v>Maplink3</v>
      </c>
    </row>
    <row r="1787" spans="1:48" ht="15" customHeight="1" x14ac:dyDescent="0.25">
      <c r="A1787" s="19">
        <v>16852</v>
      </c>
      <c r="B1787" s="20" t="s">
        <v>18</v>
      </c>
      <c r="C1787" s="20" t="s">
        <v>3265</v>
      </c>
      <c r="D1787" s="20" t="s">
        <v>3310</v>
      </c>
      <c r="E1787" s="20" t="s">
        <v>3311</v>
      </c>
      <c r="F1787" s="20">
        <v>31.847533200000001</v>
      </c>
      <c r="G1787" s="20">
        <v>47.14024345</v>
      </c>
      <c r="H1787" s="22">
        <v>4</v>
      </c>
      <c r="I1787" s="22">
        <v>24</v>
      </c>
      <c r="J1787" s="21"/>
      <c r="K1787" s="21"/>
      <c r="L1787" s="21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>
        <v>3</v>
      </c>
      <c r="W1787" s="21"/>
      <c r="X1787" s="21">
        <v>1</v>
      </c>
      <c r="Y1787" s="21"/>
      <c r="Z1787" s="21"/>
      <c r="AA1787" s="21"/>
      <c r="AB1787" s="21"/>
      <c r="AC1787" s="21">
        <v>3</v>
      </c>
      <c r="AD1787" s="21"/>
      <c r="AE1787" s="21"/>
      <c r="AF1787" s="21"/>
      <c r="AG1787" s="21"/>
      <c r="AH1787" s="21">
        <v>1</v>
      </c>
      <c r="AI1787" s="21"/>
      <c r="AJ1787" s="21"/>
      <c r="AK1787" s="21"/>
      <c r="AL1787" s="21">
        <v>1</v>
      </c>
      <c r="AM1787" s="21">
        <v>2</v>
      </c>
      <c r="AN1787" s="21"/>
      <c r="AO1787" s="21">
        <v>1</v>
      </c>
      <c r="AP1787" s="21"/>
      <c r="AQ1787" s="21"/>
      <c r="AR1787" s="21"/>
      <c r="AS1787" s="21"/>
      <c r="AT1787" s="12" t="str">
        <f>HYPERLINK("http://www.openstreetmap.org/?mlat=31.8475&amp;mlon=47.1402&amp;zoom=12#map=12/31.8475/47.1402","Maplink1")</f>
        <v>Maplink1</v>
      </c>
      <c r="AU1787" s="12" t="str">
        <f>HYPERLINK("https://www.google.iq/maps/search/+31.8475,47.1402/@31.8475,47.1402,14z?hl=en","Maplink2")</f>
        <v>Maplink2</v>
      </c>
      <c r="AV1787" s="12" t="str">
        <f>HYPERLINK("http://www.bing.com/maps/?lvl=14&amp;sty=h&amp;cp=31.8475~47.1402&amp;sp=point.31.8475_47.1402","Maplink3")</f>
        <v>Maplink3</v>
      </c>
    </row>
    <row r="1788" spans="1:48" ht="15" customHeight="1" x14ac:dyDescent="0.25">
      <c r="A1788" s="19">
        <v>16836</v>
      </c>
      <c r="B1788" s="20" t="s">
        <v>18</v>
      </c>
      <c r="C1788" s="20" t="s">
        <v>3265</v>
      </c>
      <c r="D1788" s="20" t="s">
        <v>3312</v>
      </c>
      <c r="E1788" s="20" t="s">
        <v>1841</v>
      </c>
      <c r="F1788" s="20">
        <v>31.841222800000001</v>
      </c>
      <c r="G1788" s="20">
        <v>47.126732410000002</v>
      </c>
      <c r="H1788" s="22">
        <v>1</v>
      </c>
      <c r="I1788" s="22">
        <v>6</v>
      </c>
      <c r="J1788" s="21"/>
      <c r="K1788" s="21"/>
      <c r="L1788" s="21"/>
      <c r="M1788" s="21"/>
      <c r="N1788" s="21"/>
      <c r="O1788" s="21">
        <v>1</v>
      </c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>
        <v>1</v>
      </c>
      <c r="AD1788" s="21"/>
      <c r="AE1788" s="21"/>
      <c r="AF1788" s="21"/>
      <c r="AG1788" s="21"/>
      <c r="AH1788" s="21"/>
      <c r="AI1788" s="21"/>
      <c r="AJ1788" s="21"/>
      <c r="AK1788" s="21"/>
      <c r="AL1788" s="21"/>
      <c r="AM1788" s="21"/>
      <c r="AN1788" s="21">
        <v>1</v>
      </c>
      <c r="AO1788" s="21"/>
      <c r="AP1788" s="21"/>
      <c r="AQ1788" s="21"/>
      <c r="AR1788" s="21"/>
      <c r="AS1788" s="21"/>
      <c r="AT1788" s="12" t="str">
        <f>HYPERLINK("http://www.openstreetmap.org/?mlat=31.8412&amp;mlon=47.1267&amp;zoom=12#map=12/31.8412/47.1267","Maplink1")</f>
        <v>Maplink1</v>
      </c>
      <c r="AU1788" s="12" t="str">
        <f>HYPERLINK("https://www.google.iq/maps/search/+31.8412,47.1267/@31.8412,47.1267,14z?hl=en","Maplink2")</f>
        <v>Maplink2</v>
      </c>
      <c r="AV1788" s="12" t="str">
        <f>HYPERLINK("http://www.bing.com/maps/?lvl=14&amp;sty=h&amp;cp=31.8412~47.1267&amp;sp=point.31.8412_47.1267","Maplink3")</f>
        <v>Maplink3</v>
      </c>
    </row>
    <row r="1789" spans="1:48" ht="15" customHeight="1" x14ac:dyDescent="0.25">
      <c r="A1789" s="19">
        <v>16807</v>
      </c>
      <c r="B1789" s="20" t="s">
        <v>18</v>
      </c>
      <c r="C1789" s="20" t="s">
        <v>3265</v>
      </c>
      <c r="D1789" s="20" t="s">
        <v>3313</v>
      </c>
      <c r="E1789" s="20" t="s">
        <v>3314</v>
      </c>
      <c r="F1789" s="20">
        <v>31.845606199999999</v>
      </c>
      <c r="G1789" s="20">
        <v>47.154843300000003</v>
      </c>
      <c r="H1789" s="22">
        <v>7</v>
      </c>
      <c r="I1789" s="22">
        <v>42</v>
      </c>
      <c r="J1789" s="21"/>
      <c r="K1789" s="21"/>
      <c r="L1789" s="21"/>
      <c r="M1789" s="21"/>
      <c r="N1789" s="21"/>
      <c r="O1789" s="21">
        <v>1</v>
      </c>
      <c r="P1789" s="21"/>
      <c r="Q1789" s="21"/>
      <c r="R1789" s="21">
        <v>1</v>
      </c>
      <c r="S1789" s="21"/>
      <c r="T1789" s="21"/>
      <c r="U1789" s="21"/>
      <c r="V1789" s="21">
        <v>3</v>
      </c>
      <c r="W1789" s="21"/>
      <c r="X1789" s="21">
        <v>2</v>
      </c>
      <c r="Y1789" s="21"/>
      <c r="Z1789" s="21"/>
      <c r="AA1789" s="21"/>
      <c r="AB1789" s="21"/>
      <c r="AC1789" s="21">
        <v>3</v>
      </c>
      <c r="AD1789" s="21"/>
      <c r="AE1789" s="21"/>
      <c r="AF1789" s="21"/>
      <c r="AG1789" s="21">
        <v>1</v>
      </c>
      <c r="AH1789" s="21">
        <v>3</v>
      </c>
      <c r="AI1789" s="21"/>
      <c r="AJ1789" s="21"/>
      <c r="AK1789" s="21"/>
      <c r="AL1789" s="21"/>
      <c r="AM1789" s="21">
        <v>1</v>
      </c>
      <c r="AN1789" s="21">
        <v>4</v>
      </c>
      <c r="AO1789" s="21">
        <v>2</v>
      </c>
      <c r="AP1789" s="21"/>
      <c r="AQ1789" s="21"/>
      <c r="AR1789" s="21"/>
      <c r="AS1789" s="21"/>
      <c r="AT1789" s="12" t="str">
        <f>HYPERLINK("http://www.openstreetmap.org/?mlat=31.8456&amp;mlon=47.1548&amp;zoom=12#map=12/31.8456/47.1548","Maplink1")</f>
        <v>Maplink1</v>
      </c>
      <c r="AU1789" s="12" t="str">
        <f>HYPERLINK("https://www.google.iq/maps/search/+31.8456,47.1548/@31.8456,47.1548,14z?hl=en","Maplink2")</f>
        <v>Maplink2</v>
      </c>
      <c r="AV1789" s="12" t="str">
        <f>HYPERLINK("http://www.bing.com/maps/?lvl=14&amp;sty=h&amp;cp=31.8456~47.1548&amp;sp=point.31.8456_47.1548","Maplink3")</f>
        <v>Maplink3</v>
      </c>
    </row>
    <row r="1790" spans="1:48" ht="15" customHeight="1" x14ac:dyDescent="0.25">
      <c r="A1790" s="19">
        <v>16850</v>
      </c>
      <c r="B1790" s="20" t="s">
        <v>18</v>
      </c>
      <c r="C1790" s="20" t="s">
        <v>3265</v>
      </c>
      <c r="D1790" s="20" t="s">
        <v>3315</v>
      </c>
      <c r="E1790" s="20" t="s">
        <v>1364</v>
      </c>
      <c r="F1790" s="20">
        <v>31.823098999999999</v>
      </c>
      <c r="G1790" s="20">
        <v>47.121639000000002</v>
      </c>
      <c r="H1790" s="22">
        <v>3</v>
      </c>
      <c r="I1790" s="22">
        <v>18</v>
      </c>
      <c r="J1790" s="21"/>
      <c r="K1790" s="21">
        <v>1</v>
      </c>
      <c r="L1790" s="21"/>
      <c r="M1790" s="21"/>
      <c r="N1790" s="21"/>
      <c r="O1790" s="21"/>
      <c r="P1790" s="21"/>
      <c r="Q1790" s="21"/>
      <c r="R1790" s="21">
        <v>1</v>
      </c>
      <c r="S1790" s="21"/>
      <c r="T1790" s="21"/>
      <c r="U1790" s="21"/>
      <c r="V1790" s="21">
        <v>1</v>
      </c>
      <c r="W1790" s="21"/>
      <c r="X1790" s="21"/>
      <c r="Y1790" s="21"/>
      <c r="Z1790" s="21"/>
      <c r="AA1790" s="21"/>
      <c r="AB1790" s="21"/>
      <c r="AC1790" s="21">
        <v>1</v>
      </c>
      <c r="AD1790" s="21"/>
      <c r="AE1790" s="21"/>
      <c r="AF1790" s="21"/>
      <c r="AG1790" s="21"/>
      <c r="AH1790" s="21">
        <v>2</v>
      </c>
      <c r="AI1790" s="21"/>
      <c r="AJ1790" s="21"/>
      <c r="AK1790" s="21"/>
      <c r="AL1790" s="21"/>
      <c r="AM1790" s="21">
        <v>1</v>
      </c>
      <c r="AN1790" s="21">
        <v>1</v>
      </c>
      <c r="AO1790" s="21"/>
      <c r="AP1790" s="21"/>
      <c r="AQ1790" s="21"/>
      <c r="AR1790" s="21">
        <v>1</v>
      </c>
      <c r="AS1790" s="21"/>
      <c r="AT1790" s="12" t="str">
        <f>HYPERLINK("http://www.openstreetmap.org/?mlat=31.8231&amp;mlon=47.1216&amp;zoom=12#map=12/31.8231/47.1216","Maplink1")</f>
        <v>Maplink1</v>
      </c>
      <c r="AU1790" s="12" t="str">
        <f>HYPERLINK("https://www.google.iq/maps/search/+31.8231,47.1216/@31.8231,47.1216,14z?hl=en","Maplink2")</f>
        <v>Maplink2</v>
      </c>
      <c r="AV1790" s="12" t="str">
        <f>HYPERLINK("http://www.bing.com/maps/?lvl=14&amp;sty=h&amp;cp=31.8231~47.1216&amp;sp=point.31.8231_47.1216","Maplink3")</f>
        <v>Maplink3</v>
      </c>
    </row>
    <row r="1791" spans="1:48" ht="15" customHeight="1" x14ac:dyDescent="0.25">
      <c r="A1791" s="19">
        <v>16845</v>
      </c>
      <c r="B1791" s="20" t="s">
        <v>18</v>
      </c>
      <c r="C1791" s="20" t="s">
        <v>3265</v>
      </c>
      <c r="D1791" s="20" t="s">
        <v>3316</v>
      </c>
      <c r="E1791" s="20" t="s">
        <v>3317</v>
      </c>
      <c r="F1791" s="20">
        <v>31.823114199999999</v>
      </c>
      <c r="G1791" s="20">
        <v>47.153251330000003</v>
      </c>
      <c r="H1791" s="22">
        <v>3</v>
      </c>
      <c r="I1791" s="22">
        <v>18</v>
      </c>
      <c r="J1791" s="21"/>
      <c r="K1791" s="21"/>
      <c r="L1791" s="21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>
        <v>3</v>
      </c>
      <c r="Y1791" s="21"/>
      <c r="Z1791" s="21"/>
      <c r="AA1791" s="21"/>
      <c r="AB1791" s="21"/>
      <c r="AC1791" s="21">
        <v>1</v>
      </c>
      <c r="AD1791" s="21"/>
      <c r="AE1791" s="21"/>
      <c r="AF1791" s="21"/>
      <c r="AG1791" s="21"/>
      <c r="AH1791" s="21">
        <v>2</v>
      </c>
      <c r="AI1791" s="21"/>
      <c r="AJ1791" s="21"/>
      <c r="AK1791" s="21"/>
      <c r="AL1791" s="21"/>
      <c r="AM1791" s="21">
        <v>1</v>
      </c>
      <c r="AN1791" s="21">
        <v>1</v>
      </c>
      <c r="AO1791" s="21">
        <v>1</v>
      </c>
      <c r="AP1791" s="21"/>
      <c r="AQ1791" s="21"/>
      <c r="AR1791" s="21"/>
      <c r="AS1791" s="21"/>
      <c r="AT1791" s="12" t="str">
        <f>HYPERLINK("http://www.openstreetmap.org/?mlat=31.8231&amp;mlon=47.1533&amp;zoom=12#map=12/31.8231/47.1533","Maplink1")</f>
        <v>Maplink1</v>
      </c>
      <c r="AU1791" s="12" t="str">
        <f>HYPERLINK("https://www.google.iq/maps/search/+31.8231,47.1533/@31.8231,47.1533,14z?hl=en","Maplink2")</f>
        <v>Maplink2</v>
      </c>
      <c r="AV1791" s="12" t="str">
        <f>HYPERLINK("http://www.bing.com/maps/?lvl=14&amp;sty=h&amp;cp=31.8231~47.1533&amp;sp=point.31.8231_47.1533","Maplink3")</f>
        <v>Maplink3</v>
      </c>
    </row>
    <row r="1792" spans="1:48" ht="15" customHeight="1" x14ac:dyDescent="0.25">
      <c r="A1792" s="19">
        <v>16851</v>
      </c>
      <c r="B1792" s="20" t="s">
        <v>18</v>
      </c>
      <c r="C1792" s="20" t="s">
        <v>3265</v>
      </c>
      <c r="D1792" s="20" t="s">
        <v>3318</v>
      </c>
      <c r="E1792" s="20" t="s">
        <v>3319</v>
      </c>
      <c r="F1792" s="20">
        <v>31.85217682</v>
      </c>
      <c r="G1792" s="20">
        <v>47.153556010000003</v>
      </c>
      <c r="H1792" s="22">
        <v>2</v>
      </c>
      <c r="I1792" s="22">
        <v>12</v>
      </c>
      <c r="J1792" s="21"/>
      <c r="K1792" s="21"/>
      <c r="L1792" s="21"/>
      <c r="M1792" s="21"/>
      <c r="N1792" s="21"/>
      <c r="O1792" s="21"/>
      <c r="P1792" s="21"/>
      <c r="Q1792" s="21"/>
      <c r="R1792" s="21">
        <v>1</v>
      </c>
      <c r="S1792" s="21"/>
      <c r="T1792" s="21"/>
      <c r="U1792" s="21"/>
      <c r="V1792" s="21"/>
      <c r="W1792" s="21"/>
      <c r="X1792" s="21">
        <v>1</v>
      </c>
      <c r="Y1792" s="21"/>
      <c r="Z1792" s="21"/>
      <c r="AA1792" s="21"/>
      <c r="AB1792" s="21"/>
      <c r="AC1792" s="21"/>
      <c r="AD1792" s="21"/>
      <c r="AE1792" s="21"/>
      <c r="AF1792" s="21"/>
      <c r="AG1792" s="21"/>
      <c r="AH1792" s="21">
        <v>2</v>
      </c>
      <c r="AI1792" s="21"/>
      <c r="AJ1792" s="21"/>
      <c r="AK1792" s="21"/>
      <c r="AL1792" s="21"/>
      <c r="AM1792" s="21"/>
      <c r="AN1792" s="21">
        <v>1</v>
      </c>
      <c r="AO1792" s="21">
        <v>1</v>
      </c>
      <c r="AP1792" s="21"/>
      <c r="AQ1792" s="21"/>
      <c r="AR1792" s="21"/>
      <c r="AS1792" s="21"/>
      <c r="AT1792" s="12" t="str">
        <f>HYPERLINK("http://www.openstreetmap.org/?mlat=31.8522&amp;mlon=47.1536&amp;zoom=12#map=12/31.8522/47.1536","Maplink1")</f>
        <v>Maplink1</v>
      </c>
      <c r="AU1792" s="12" t="str">
        <f>HYPERLINK("https://www.google.iq/maps/search/+31.8522,47.1536/@31.8522,47.1536,14z?hl=en","Maplink2")</f>
        <v>Maplink2</v>
      </c>
      <c r="AV1792" s="12" t="str">
        <f>HYPERLINK("http://www.bing.com/maps/?lvl=14&amp;sty=h&amp;cp=31.8522~47.1536&amp;sp=point.31.8522_47.1536","Maplink3")</f>
        <v>Maplink3</v>
      </c>
    </row>
    <row r="1793" spans="1:48" ht="15" customHeight="1" x14ac:dyDescent="0.25">
      <c r="A1793" s="19">
        <v>16817</v>
      </c>
      <c r="B1793" s="20" t="s">
        <v>18</v>
      </c>
      <c r="C1793" s="20" t="s">
        <v>3265</v>
      </c>
      <c r="D1793" s="20" t="s">
        <v>375</v>
      </c>
      <c r="E1793" s="20" t="s">
        <v>376</v>
      </c>
      <c r="F1793" s="20">
        <v>31.861809180000002</v>
      </c>
      <c r="G1793" s="20">
        <v>47.169688489999999</v>
      </c>
      <c r="H1793" s="22">
        <v>6</v>
      </c>
      <c r="I1793" s="22">
        <v>36</v>
      </c>
      <c r="J1793" s="21">
        <v>1</v>
      </c>
      <c r="K1793" s="21"/>
      <c r="L1793" s="21">
        <v>1</v>
      </c>
      <c r="M1793" s="21"/>
      <c r="N1793" s="21"/>
      <c r="O1793" s="21"/>
      <c r="P1793" s="21"/>
      <c r="Q1793" s="21"/>
      <c r="R1793" s="21">
        <v>1</v>
      </c>
      <c r="S1793" s="21"/>
      <c r="T1793" s="21"/>
      <c r="U1793" s="21"/>
      <c r="V1793" s="21">
        <v>3</v>
      </c>
      <c r="W1793" s="21"/>
      <c r="X1793" s="21"/>
      <c r="Y1793" s="21"/>
      <c r="Z1793" s="21"/>
      <c r="AA1793" s="21"/>
      <c r="AB1793" s="21"/>
      <c r="AC1793" s="21">
        <v>3</v>
      </c>
      <c r="AD1793" s="21"/>
      <c r="AE1793" s="21"/>
      <c r="AF1793" s="21"/>
      <c r="AG1793" s="21"/>
      <c r="AH1793" s="21">
        <v>3</v>
      </c>
      <c r="AI1793" s="21"/>
      <c r="AJ1793" s="21"/>
      <c r="AK1793" s="21"/>
      <c r="AL1793" s="21"/>
      <c r="AM1793" s="21">
        <v>2</v>
      </c>
      <c r="AN1793" s="21">
        <v>3</v>
      </c>
      <c r="AO1793" s="21"/>
      <c r="AP1793" s="21"/>
      <c r="AQ1793" s="21"/>
      <c r="AR1793" s="21">
        <v>1</v>
      </c>
      <c r="AS1793" s="21"/>
      <c r="AT1793" s="12" t="str">
        <f>HYPERLINK("http://www.openstreetmap.org/?mlat=31.8618&amp;mlon=47.1697&amp;zoom=12#map=12/31.8618/47.1697","Maplink1")</f>
        <v>Maplink1</v>
      </c>
      <c r="AU1793" s="12" t="str">
        <f>HYPERLINK("https://www.google.iq/maps/search/+31.8618,47.1697/@31.8618,47.1697,14z?hl=en","Maplink2")</f>
        <v>Maplink2</v>
      </c>
      <c r="AV1793" s="12" t="str">
        <f>HYPERLINK("http://www.bing.com/maps/?lvl=14&amp;sty=h&amp;cp=31.8618~47.1697&amp;sp=point.31.8618_47.1697","Maplink3")</f>
        <v>Maplink3</v>
      </c>
    </row>
    <row r="1794" spans="1:48" ht="15" customHeight="1" x14ac:dyDescent="0.25">
      <c r="A1794" s="19">
        <v>28411</v>
      </c>
      <c r="B1794" s="20" t="s">
        <v>18</v>
      </c>
      <c r="C1794" s="20" t="s">
        <v>3265</v>
      </c>
      <c r="D1794" s="20" t="s">
        <v>375</v>
      </c>
      <c r="E1794" s="20" t="s">
        <v>376</v>
      </c>
      <c r="F1794" s="20">
        <v>32.038530289999997</v>
      </c>
      <c r="G1794" s="20">
        <v>46.873643950000002</v>
      </c>
      <c r="H1794" s="22">
        <v>1</v>
      </c>
      <c r="I1794" s="22">
        <v>6</v>
      </c>
      <c r="J1794" s="21">
        <v>1</v>
      </c>
      <c r="K1794" s="21"/>
      <c r="L1794" s="21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21"/>
      <c r="AH1794" s="21">
        <v>1</v>
      </c>
      <c r="AI1794" s="21"/>
      <c r="AJ1794" s="21"/>
      <c r="AK1794" s="21"/>
      <c r="AL1794" s="21"/>
      <c r="AM1794" s="21"/>
      <c r="AN1794" s="21"/>
      <c r="AO1794" s="21"/>
      <c r="AP1794" s="21">
        <v>1</v>
      </c>
      <c r="AQ1794" s="21"/>
      <c r="AR1794" s="21"/>
      <c r="AS1794" s="21"/>
      <c r="AT1794" s="12" t="str">
        <f>HYPERLINK("http://www.openstreetmap.org/?mlat=32.0385&amp;mlon=46.8736&amp;zoom=12#map=12/32.0385/46.8736","Maplink1")</f>
        <v>Maplink1</v>
      </c>
      <c r="AU1794" s="12" t="str">
        <f>HYPERLINK("https://www.google.iq/maps/search/+32.0385,46.8736/@32.0385,46.8736,14z?hl=en","Maplink2")</f>
        <v>Maplink2</v>
      </c>
      <c r="AV1794" s="12" t="str">
        <f>HYPERLINK("http://www.bing.com/maps/?lvl=14&amp;sty=h&amp;cp=32.0385~46.8736&amp;sp=point.32.0385_46.8736","Maplink3")</f>
        <v>Maplink3</v>
      </c>
    </row>
    <row r="1795" spans="1:48" ht="15" customHeight="1" x14ac:dyDescent="0.25">
      <c r="A1795" s="19">
        <v>16862</v>
      </c>
      <c r="B1795" s="20" t="s">
        <v>18</v>
      </c>
      <c r="C1795" s="20" t="s">
        <v>3265</v>
      </c>
      <c r="D1795" s="20" t="s">
        <v>3320</v>
      </c>
      <c r="E1795" s="20" t="s">
        <v>3321</v>
      </c>
      <c r="F1795" s="20">
        <v>31.851499</v>
      </c>
      <c r="G1795" s="20">
        <v>47.207191000000002</v>
      </c>
      <c r="H1795" s="22">
        <v>1</v>
      </c>
      <c r="I1795" s="22">
        <v>6</v>
      </c>
      <c r="J1795" s="21"/>
      <c r="K1795" s="21"/>
      <c r="L1795" s="21">
        <v>1</v>
      </c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21"/>
      <c r="AH1795" s="21">
        <v>1</v>
      </c>
      <c r="AI1795" s="21"/>
      <c r="AJ1795" s="21"/>
      <c r="AK1795" s="21"/>
      <c r="AL1795" s="21"/>
      <c r="AM1795" s="21"/>
      <c r="AN1795" s="21">
        <v>1</v>
      </c>
      <c r="AO1795" s="21"/>
      <c r="AP1795" s="21"/>
      <c r="AQ1795" s="21"/>
      <c r="AR1795" s="21"/>
      <c r="AS1795" s="21"/>
      <c r="AT1795" s="12" t="str">
        <f>HYPERLINK("http://www.openstreetmap.org/?mlat=31.8515&amp;mlon=47.2072&amp;zoom=12#map=12/31.8515/47.2072","Maplink1")</f>
        <v>Maplink1</v>
      </c>
      <c r="AU1795" s="12" t="str">
        <f>HYPERLINK("https://www.google.iq/maps/search/+31.8515,47.2072/@31.8515,47.2072,14z?hl=en","Maplink2")</f>
        <v>Maplink2</v>
      </c>
      <c r="AV1795" s="12" t="str">
        <f>HYPERLINK("http://www.bing.com/maps/?lvl=14&amp;sty=h&amp;cp=31.8515~47.2072&amp;sp=point.31.8515_47.2072","Maplink3")</f>
        <v>Maplink3</v>
      </c>
    </row>
    <row r="1796" spans="1:48" ht="15" customHeight="1" x14ac:dyDescent="0.25">
      <c r="A1796" s="19">
        <v>16848</v>
      </c>
      <c r="B1796" s="20" t="s">
        <v>18</v>
      </c>
      <c r="C1796" s="20" t="s">
        <v>3265</v>
      </c>
      <c r="D1796" s="20" t="s">
        <v>3322</v>
      </c>
      <c r="E1796" s="20" t="s">
        <v>3323</v>
      </c>
      <c r="F1796" s="20">
        <v>31.839116390000001</v>
      </c>
      <c r="G1796" s="20">
        <v>47.119046040000001</v>
      </c>
      <c r="H1796" s="22">
        <v>4</v>
      </c>
      <c r="I1796" s="22">
        <v>24</v>
      </c>
      <c r="J1796" s="21">
        <v>2</v>
      </c>
      <c r="K1796" s="21"/>
      <c r="L1796" s="21">
        <v>1</v>
      </c>
      <c r="M1796" s="21"/>
      <c r="N1796" s="21"/>
      <c r="O1796" s="21"/>
      <c r="P1796" s="21"/>
      <c r="Q1796" s="21"/>
      <c r="R1796" s="21">
        <v>1</v>
      </c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>
        <v>3</v>
      </c>
      <c r="AD1796" s="21"/>
      <c r="AE1796" s="21"/>
      <c r="AF1796" s="21"/>
      <c r="AG1796" s="21"/>
      <c r="AH1796" s="21">
        <v>1</v>
      </c>
      <c r="AI1796" s="21"/>
      <c r="AJ1796" s="21"/>
      <c r="AK1796" s="21"/>
      <c r="AL1796" s="21"/>
      <c r="AM1796" s="21">
        <v>3</v>
      </c>
      <c r="AN1796" s="21">
        <v>1</v>
      </c>
      <c r="AO1796" s="21"/>
      <c r="AP1796" s="21"/>
      <c r="AQ1796" s="21"/>
      <c r="AR1796" s="21"/>
      <c r="AS1796" s="21"/>
      <c r="AT1796" s="12" t="str">
        <f>HYPERLINK("http://www.openstreetmap.org/?mlat=31.8391&amp;mlon=47.119&amp;zoom=12#map=12/31.8391/47.119","Maplink1")</f>
        <v>Maplink1</v>
      </c>
      <c r="AU1796" s="12" t="str">
        <f>HYPERLINK("https://www.google.iq/maps/search/+31.8391,47.119/@31.8391,47.119,14z?hl=en","Maplink2")</f>
        <v>Maplink2</v>
      </c>
      <c r="AV1796" s="12" t="str">
        <f>HYPERLINK("http://www.bing.com/maps/?lvl=14&amp;sty=h&amp;cp=31.8391~47.119&amp;sp=point.31.8391_47.119","Maplink3")</f>
        <v>Maplink3</v>
      </c>
    </row>
    <row r="1797" spans="1:48" ht="15" customHeight="1" x14ac:dyDescent="0.25">
      <c r="A1797" s="19">
        <v>16593</v>
      </c>
      <c r="B1797" s="20" t="s">
        <v>18</v>
      </c>
      <c r="C1797" s="20" t="s">
        <v>3265</v>
      </c>
      <c r="D1797" s="20" t="s">
        <v>311</v>
      </c>
      <c r="E1797" s="20" t="s">
        <v>121</v>
      </c>
      <c r="F1797" s="20">
        <v>31.8705274</v>
      </c>
      <c r="G1797" s="20">
        <v>47.131817550000001</v>
      </c>
      <c r="H1797" s="22">
        <v>3</v>
      </c>
      <c r="I1797" s="22">
        <v>18</v>
      </c>
      <c r="J1797" s="21">
        <v>1</v>
      </c>
      <c r="K1797" s="21"/>
      <c r="L1797" s="21"/>
      <c r="M1797" s="21"/>
      <c r="N1797" s="21"/>
      <c r="O1797" s="21">
        <v>1</v>
      </c>
      <c r="P1797" s="21"/>
      <c r="Q1797" s="21"/>
      <c r="R1797" s="21">
        <v>1</v>
      </c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>
        <v>1</v>
      </c>
      <c r="AD1797" s="21"/>
      <c r="AE1797" s="21"/>
      <c r="AF1797" s="21"/>
      <c r="AG1797" s="21"/>
      <c r="AH1797" s="21">
        <v>2</v>
      </c>
      <c r="AI1797" s="21"/>
      <c r="AJ1797" s="21"/>
      <c r="AK1797" s="21"/>
      <c r="AL1797" s="21"/>
      <c r="AM1797" s="21">
        <v>2</v>
      </c>
      <c r="AN1797" s="21"/>
      <c r="AO1797" s="21">
        <v>1</v>
      </c>
      <c r="AP1797" s="21"/>
      <c r="AQ1797" s="21"/>
      <c r="AR1797" s="21"/>
      <c r="AS1797" s="21"/>
      <c r="AT1797" s="12" t="str">
        <f>HYPERLINK("http://www.openstreetmap.org/?mlat=31.8705&amp;mlon=47.1318&amp;zoom=12#map=12/31.8705/47.1318","Maplink1")</f>
        <v>Maplink1</v>
      </c>
      <c r="AU1797" s="12" t="str">
        <f>HYPERLINK("https://www.google.iq/maps/search/+31.8705,47.1318/@31.8705,47.1318,14z?hl=en","Maplink2")</f>
        <v>Maplink2</v>
      </c>
      <c r="AV1797" s="12" t="str">
        <f>HYPERLINK("http://www.bing.com/maps/?lvl=14&amp;sty=h&amp;cp=31.8705~47.1318&amp;sp=point.31.8705_47.1318","Maplink3")</f>
        <v>Maplink3</v>
      </c>
    </row>
    <row r="1798" spans="1:48" ht="15" customHeight="1" x14ac:dyDescent="0.25">
      <c r="A1798" s="19">
        <v>16473</v>
      </c>
      <c r="B1798" s="20" t="s">
        <v>18</v>
      </c>
      <c r="C1798" s="20" t="s">
        <v>3265</v>
      </c>
      <c r="D1798" s="20" t="s">
        <v>3324</v>
      </c>
      <c r="E1798" s="20" t="s">
        <v>3325</v>
      </c>
      <c r="F1798" s="20">
        <v>31.819638059999999</v>
      </c>
      <c r="G1798" s="20">
        <v>47.136357689999997</v>
      </c>
      <c r="H1798" s="22">
        <v>4</v>
      </c>
      <c r="I1798" s="22">
        <v>24</v>
      </c>
      <c r="J1798" s="21"/>
      <c r="K1798" s="21"/>
      <c r="L1798" s="21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>
        <v>4</v>
      </c>
      <c r="W1798" s="21"/>
      <c r="X1798" s="21"/>
      <c r="Y1798" s="21"/>
      <c r="Z1798" s="21"/>
      <c r="AA1798" s="21"/>
      <c r="AB1798" s="21"/>
      <c r="AC1798" s="21">
        <v>3</v>
      </c>
      <c r="AD1798" s="21"/>
      <c r="AE1798" s="21"/>
      <c r="AF1798" s="21"/>
      <c r="AG1798" s="21"/>
      <c r="AH1798" s="21">
        <v>1</v>
      </c>
      <c r="AI1798" s="21"/>
      <c r="AJ1798" s="21"/>
      <c r="AK1798" s="21"/>
      <c r="AL1798" s="21"/>
      <c r="AM1798" s="21">
        <v>1</v>
      </c>
      <c r="AN1798" s="21">
        <v>3</v>
      </c>
      <c r="AO1798" s="21"/>
      <c r="AP1798" s="21"/>
      <c r="AQ1798" s="21"/>
      <c r="AR1798" s="21"/>
      <c r="AS1798" s="21"/>
      <c r="AT1798" s="12" t="str">
        <f>HYPERLINK("http://www.openstreetmap.org/?mlat=31.8196&amp;mlon=47.1364&amp;zoom=12#map=12/31.8196/47.1364","Maplink1")</f>
        <v>Maplink1</v>
      </c>
      <c r="AU1798" s="12" t="str">
        <f>HYPERLINK("https://www.google.iq/maps/search/+31.8196,47.1364/@31.8196,47.1364,14z?hl=en","Maplink2")</f>
        <v>Maplink2</v>
      </c>
      <c r="AV1798" s="12" t="str">
        <f>HYPERLINK("http://www.bing.com/maps/?lvl=14&amp;sty=h&amp;cp=31.8196~47.1364&amp;sp=point.31.8196_47.1364","Maplink3")</f>
        <v>Maplink3</v>
      </c>
    </row>
    <row r="1799" spans="1:48" ht="15" customHeight="1" x14ac:dyDescent="0.25">
      <c r="A1799" s="19">
        <v>16457</v>
      </c>
      <c r="B1799" s="20" t="s">
        <v>18</v>
      </c>
      <c r="C1799" s="20" t="s">
        <v>3265</v>
      </c>
      <c r="D1799" s="20" t="s">
        <v>3326</v>
      </c>
      <c r="E1799" s="20" t="s">
        <v>125</v>
      </c>
      <c r="F1799" s="20">
        <v>31.846919400000001</v>
      </c>
      <c r="G1799" s="20">
        <v>47.152631069999998</v>
      </c>
      <c r="H1799" s="22">
        <v>1</v>
      </c>
      <c r="I1799" s="22">
        <v>6</v>
      </c>
      <c r="J1799" s="21"/>
      <c r="K1799" s="21"/>
      <c r="L1799" s="21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>
        <v>1</v>
      </c>
      <c r="W1799" s="21"/>
      <c r="X1799" s="21"/>
      <c r="Y1799" s="21"/>
      <c r="Z1799" s="21"/>
      <c r="AA1799" s="21"/>
      <c r="AB1799" s="21"/>
      <c r="AC1799" s="21">
        <v>1</v>
      </c>
      <c r="AD1799" s="21"/>
      <c r="AE1799" s="21"/>
      <c r="AF1799" s="21"/>
      <c r="AG1799" s="21"/>
      <c r="AH1799" s="21"/>
      <c r="AI1799" s="21"/>
      <c r="AJ1799" s="21"/>
      <c r="AK1799" s="21"/>
      <c r="AL1799" s="21"/>
      <c r="AM1799" s="21"/>
      <c r="AN1799" s="21"/>
      <c r="AO1799" s="21"/>
      <c r="AP1799" s="21"/>
      <c r="AQ1799" s="21"/>
      <c r="AR1799" s="21">
        <v>1</v>
      </c>
      <c r="AS1799" s="21"/>
      <c r="AT1799" s="12" t="str">
        <f>HYPERLINK("http://www.openstreetmap.org/?mlat=31.8469&amp;mlon=47.1526&amp;zoom=12#map=12/31.8469/47.1526","Maplink1")</f>
        <v>Maplink1</v>
      </c>
      <c r="AU1799" s="12" t="str">
        <f>HYPERLINK("https://www.google.iq/maps/search/+31.8469,47.1526/@31.8469,47.1526,14z?hl=en","Maplink2")</f>
        <v>Maplink2</v>
      </c>
      <c r="AV1799" s="12" t="str">
        <f>HYPERLINK("http://www.bing.com/maps/?lvl=14&amp;sty=h&amp;cp=31.8469~47.1526&amp;sp=point.31.8469_47.1526","Maplink3")</f>
        <v>Maplink3</v>
      </c>
    </row>
    <row r="1800" spans="1:48" ht="15" customHeight="1" x14ac:dyDescent="0.25">
      <c r="A1800" s="19">
        <v>16838</v>
      </c>
      <c r="B1800" s="20" t="s">
        <v>18</v>
      </c>
      <c r="C1800" s="20" t="s">
        <v>3265</v>
      </c>
      <c r="D1800" s="20" t="s">
        <v>381</v>
      </c>
      <c r="E1800" s="20" t="s">
        <v>1416</v>
      </c>
      <c r="F1800" s="20">
        <v>31.872357969999999</v>
      </c>
      <c r="G1800" s="20">
        <v>47.143608290000003</v>
      </c>
      <c r="H1800" s="22">
        <v>5</v>
      </c>
      <c r="I1800" s="22">
        <v>30</v>
      </c>
      <c r="J1800" s="21"/>
      <c r="K1800" s="21"/>
      <c r="L1800" s="21"/>
      <c r="M1800" s="21"/>
      <c r="N1800" s="21"/>
      <c r="O1800" s="21"/>
      <c r="P1800" s="21"/>
      <c r="Q1800" s="21"/>
      <c r="R1800" s="21">
        <v>4</v>
      </c>
      <c r="S1800" s="21"/>
      <c r="T1800" s="21"/>
      <c r="U1800" s="21"/>
      <c r="V1800" s="21">
        <v>1</v>
      </c>
      <c r="W1800" s="21"/>
      <c r="X1800" s="21"/>
      <c r="Y1800" s="21"/>
      <c r="Z1800" s="21"/>
      <c r="AA1800" s="21"/>
      <c r="AB1800" s="21"/>
      <c r="AC1800" s="21">
        <v>4</v>
      </c>
      <c r="AD1800" s="21"/>
      <c r="AE1800" s="21"/>
      <c r="AF1800" s="21"/>
      <c r="AG1800" s="21"/>
      <c r="AH1800" s="21">
        <v>1</v>
      </c>
      <c r="AI1800" s="21"/>
      <c r="AJ1800" s="21"/>
      <c r="AK1800" s="21"/>
      <c r="AL1800" s="21"/>
      <c r="AM1800" s="21"/>
      <c r="AN1800" s="21">
        <v>5</v>
      </c>
      <c r="AO1800" s="21"/>
      <c r="AP1800" s="21"/>
      <c r="AQ1800" s="21"/>
      <c r="AR1800" s="21"/>
      <c r="AS1800" s="21"/>
      <c r="AT1800" s="12" t="str">
        <f>HYPERLINK("http://www.openstreetmap.org/?mlat=31.8724&amp;mlon=47.1436&amp;zoom=12#map=12/31.8724/47.1436","Maplink1")</f>
        <v>Maplink1</v>
      </c>
      <c r="AU1800" s="12" t="str">
        <f>HYPERLINK("https://www.google.iq/maps/search/+31.8724,47.1436/@31.8724,47.1436,14z?hl=en","Maplink2")</f>
        <v>Maplink2</v>
      </c>
      <c r="AV1800" s="12" t="str">
        <f>HYPERLINK("http://www.bing.com/maps/?lvl=14&amp;sty=h&amp;cp=31.8724~47.1436&amp;sp=point.31.8724_47.1436","Maplink3")</f>
        <v>Maplink3</v>
      </c>
    </row>
    <row r="1801" spans="1:48" ht="15" customHeight="1" x14ac:dyDescent="0.25">
      <c r="A1801" s="19">
        <v>24486</v>
      </c>
      <c r="B1801" s="20" t="s">
        <v>18</v>
      </c>
      <c r="C1801" s="20" t="s">
        <v>3265</v>
      </c>
      <c r="D1801" s="20" t="s">
        <v>3327</v>
      </c>
      <c r="E1801" s="20" t="s">
        <v>3328</v>
      </c>
      <c r="F1801" s="20">
        <v>32.028991050000002</v>
      </c>
      <c r="G1801" s="20">
        <v>46.887526219999998</v>
      </c>
      <c r="H1801" s="22">
        <v>2</v>
      </c>
      <c r="I1801" s="22">
        <v>12</v>
      </c>
      <c r="J1801" s="21"/>
      <c r="K1801" s="21"/>
      <c r="L1801" s="21"/>
      <c r="M1801" s="21"/>
      <c r="N1801" s="21"/>
      <c r="O1801" s="21">
        <v>2</v>
      </c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>
        <v>1</v>
      </c>
      <c r="AD1801" s="21"/>
      <c r="AE1801" s="21"/>
      <c r="AF1801" s="21"/>
      <c r="AG1801" s="21"/>
      <c r="AH1801" s="21">
        <v>1</v>
      </c>
      <c r="AI1801" s="21"/>
      <c r="AJ1801" s="21"/>
      <c r="AK1801" s="21"/>
      <c r="AL1801" s="21"/>
      <c r="AM1801" s="21">
        <v>2</v>
      </c>
      <c r="AN1801" s="21"/>
      <c r="AO1801" s="21"/>
      <c r="AP1801" s="21"/>
      <c r="AQ1801" s="21"/>
      <c r="AR1801" s="21"/>
      <c r="AS1801" s="21"/>
      <c r="AT1801" s="12" t="str">
        <f>HYPERLINK("http://www.openstreetmap.org/?mlat=32.029&amp;mlon=46.8875&amp;zoom=12#map=12/32.029/46.8875","Maplink1")</f>
        <v>Maplink1</v>
      </c>
      <c r="AU1801" s="12" t="str">
        <f>HYPERLINK("https://www.google.iq/maps/search/+32.029,46.8875/@32.029,46.8875,14z?hl=en","Maplink2")</f>
        <v>Maplink2</v>
      </c>
      <c r="AV1801" s="12" t="str">
        <f>HYPERLINK("http://www.bing.com/maps/?lvl=14&amp;sty=h&amp;cp=32.029~46.8875&amp;sp=point.32.029_46.8875","Maplink3")</f>
        <v>Maplink3</v>
      </c>
    </row>
    <row r="1802" spans="1:48" ht="15" customHeight="1" x14ac:dyDescent="0.25">
      <c r="A1802" s="19">
        <v>16497</v>
      </c>
      <c r="B1802" s="20" t="s">
        <v>18</v>
      </c>
      <c r="C1802" s="20" t="s">
        <v>3265</v>
      </c>
      <c r="D1802" s="20" t="s">
        <v>3329</v>
      </c>
      <c r="E1802" s="20" t="s">
        <v>3054</v>
      </c>
      <c r="F1802" s="20">
        <v>31.834439870000001</v>
      </c>
      <c r="G1802" s="20">
        <v>47.144583179999998</v>
      </c>
      <c r="H1802" s="22">
        <v>1</v>
      </c>
      <c r="I1802" s="22">
        <v>6</v>
      </c>
      <c r="J1802" s="21"/>
      <c r="K1802" s="21"/>
      <c r="L1802" s="21"/>
      <c r="M1802" s="21"/>
      <c r="N1802" s="21"/>
      <c r="O1802" s="21"/>
      <c r="P1802" s="21"/>
      <c r="Q1802" s="21"/>
      <c r="R1802" s="21">
        <v>1</v>
      </c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21"/>
      <c r="AH1802" s="21">
        <v>1</v>
      </c>
      <c r="AI1802" s="21"/>
      <c r="AJ1802" s="21"/>
      <c r="AK1802" s="21"/>
      <c r="AL1802" s="21"/>
      <c r="AM1802" s="21"/>
      <c r="AN1802" s="21">
        <v>1</v>
      </c>
      <c r="AO1802" s="21"/>
      <c r="AP1802" s="21"/>
      <c r="AQ1802" s="21"/>
      <c r="AR1802" s="21"/>
      <c r="AS1802" s="21"/>
      <c r="AT1802" s="12" t="str">
        <f>HYPERLINK("http://www.openstreetmap.org/?mlat=31.8344&amp;mlon=47.1446&amp;zoom=12#map=12/31.8344/47.1446","Maplink1")</f>
        <v>Maplink1</v>
      </c>
      <c r="AU1802" s="12" t="str">
        <f>HYPERLINK("https://www.google.iq/maps/search/+31.8344,47.1446/@31.8344,47.1446,14z?hl=en","Maplink2")</f>
        <v>Maplink2</v>
      </c>
      <c r="AV1802" s="12" t="str">
        <f>HYPERLINK("http://www.bing.com/maps/?lvl=14&amp;sty=h&amp;cp=31.8344~47.1446&amp;sp=point.31.8344_47.1446","Maplink3")</f>
        <v>Maplink3</v>
      </c>
    </row>
    <row r="1803" spans="1:48" ht="15" customHeight="1" x14ac:dyDescent="0.25">
      <c r="A1803" s="19">
        <v>16844</v>
      </c>
      <c r="B1803" s="20" t="s">
        <v>18</v>
      </c>
      <c r="C1803" s="20" t="s">
        <v>3265</v>
      </c>
      <c r="D1803" s="20" t="s">
        <v>3330</v>
      </c>
      <c r="E1803" s="20" t="s">
        <v>3331</v>
      </c>
      <c r="F1803" s="20">
        <v>31.83343953</v>
      </c>
      <c r="G1803" s="20">
        <v>47.152584969999999</v>
      </c>
      <c r="H1803" s="22">
        <v>8</v>
      </c>
      <c r="I1803" s="22">
        <v>48</v>
      </c>
      <c r="J1803" s="21">
        <v>3</v>
      </c>
      <c r="K1803" s="21"/>
      <c r="L1803" s="21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>
        <v>1</v>
      </c>
      <c r="W1803" s="21"/>
      <c r="X1803" s="21">
        <v>4</v>
      </c>
      <c r="Y1803" s="21"/>
      <c r="Z1803" s="21"/>
      <c r="AA1803" s="21"/>
      <c r="AB1803" s="21"/>
      <c r="AC1803" s="21">
        <v>3</v>
      </c>
      <c r="AD1803" s="21"/>
      <c r="AE1803" s="21"/>
      <c r="AF1803" s="21"/>
      <c r="AG1803" s="21"/>
      <c r="AH1803" s="21">
        <v>5</v>
      </c>
      <c r="AI1803" s="21"/>
      <c r="AJ1803" s="21"/>
      <c r="AK1803" s="21"/>
      <c r="AL1803" s="21"/>
      <c r="AM1803" s="21">
        <v>1</v>
      </c>
      <c r="AN1803" s="21">
        <v>1</v>
      </c>
      <c r="AO1803" s="21">
        <v>6</v>
      </c>
      <c r="AP1803" s="21"/>
      <c r="AQ1803" s="21"/>
      <c r="AR1803" s="21"/>
      <c r="AS1803" s="21"/>
      <c r="AT1803" s="12" t="str">
        <f>HYPERLINK("http://www.openstreetmap.org/?mlat=31.8334&amp;mlon=47.1526&amp;zoom=12#map=12/31.8334/47.1526","Maplink1")</f>
        <v>Maplink1</v>
      </c>
      <c r="AU1803" s="12" t="str">
        <f>HYPERLINK("https://www.google.iq/maps/search/+31.8334,47.1526/@31.8334,47.1526,14z?hl=en","Maplink2")</f>
        <v>Maplink2</v>
      </c>
      <c r="AV1803" s="12" t="str">
        <f>HYPERLINK("http://www.bing.com/maps/?lvl=14&amp;sty=h&amp;cp=31.8334~47.1526&amp;sp=point.31.8334_47.1526","Maplink3")</f>
        <v>Maplink3</v>
      </c>
    </row>
    <row r="1804" spans="1:48" ht="15" customHeight="1" x14ac:dyDescent="0.25">
      <c r="A1804" s="19">
        <v>16813</v>
      </c>
      <c r="B1804" s="20" t="s">
        <v>18</v>
      </c>
      <c r="C1804" s="20" t="s">
        <v>3265</v>
      </c>
      <c r="D1804" s="20" t="s">
        <v>3332</v>
      </c>
      <c r="E1804" s="20" t="s">
        <v>3333</v>
      </c>
      <c r="F1804" s="20">
        <v>31.872828649999999</v>
      </c>
      <c r="G1804" s="20">
        <v>47.134605620000002</v>
      </c>
      <c r="H1804" s="22">
        <v>5</v>
      </c>
      <c r="I1804" s="22">
        <v>30</v>
      </c>
      <c r="J1804" s="21"/>
      <c r="K1804" s="21"/>
      <c r="L1804" s="21"/>
      <c r="M1804" s="21"/>
      <c r="N1804" s="21"/>
      <c r="O1804" s="21">
        <v>1</v>
      </c>
      <c r="P1804" s="21"/>
      <c r="Q1804" s="21"/>
      <c r="R1804" s="21">
        <v>2</v>
      </c>
      <c r="S1804" s="21"/>
      <c r="T1804" s="21"/>
      <c r="U1804" s="21"/>
      <c r="V1804" s="21">
        <v>2</v>
      </c>
      <c r="W1804" s="21"/>
      <c r="X1804" s="21"/>
      <c r="Y1804" s="21"/>
      <c r="Z1804" s="21"/>
      <c r="AA1804" s="21"/>
      <c r="AB1804" s="21"/>
      <c r="AC1804" s="21">
        <v>2</v>
      </c>
      <c r="AD1804" s="21"/>
      <c r="AE1804" s="21">
        <v>1</v>
      </c>
      <c r="AF1804" s="21"/>
      <c r="AG1804" s="21"/>
      <c r="AH1804" s="21">
        <v>2</v>
      </c>
      <c r="AI1804" s="21"/>
      <c r="AJ1804" s="21"/>
      <c r="AK1804" s="21"/>
      <c r="AL1804" s="21"/>
      <c r="AM1804" s="21">
        <v>2</v>
      </c>
      <c r="AN1804" s="21">
        <v>2</v>
      </c>
      <c r="AO1804" s="21">
        <v>1</v>
      </c>
      <c r="AP1804" s="21"/>
      <c r="AQ1804" s="21"/>
      <c r="AR1804" s="21"/>
      <c r="AS1804" s="21"/>
      <c r="AT1804" s="12" t="str">
        <f>HYPERLINK("http://www.openstreetmap.org/?mlat=31.8728&amp;mlon=47.1346&amp;zoom=12#map=12/31.8728/47.1346","Maplink1")</f>
        <v>Maplink1</v>
      </c>
      <c r="AU1804" s="12" t="str">
        <f>HYPERLINK("https://www.google.iq/maps/search/+31.8728,47.1346/@31.8728,47.1346,14z?hl=en","Maplink2")</f>
        <v>Maplink2</v>
      </c>
      <c r="AV1804" s="12" t="str">
        <f>HYPERLINK("http://www.bing.com/maps/?lvl=14&amp;sty=h&amp;cp=31.8728~47.1346&amp;sp=point.31.8728_47.1346","Maplink3")</f>
        <v>Maplink3</v>
      </c>
    </row>
    <row r="1805" spans="1:48" ht="15" customHeight="1" x14ac:dyDescent="0.25">
      <c r="A1805" s="19">
        <v>16814</v>
      </c>
      <c r="B1805" s="20" t="s">
        <v>18</v>
      </c>
      <c r="C1805" s="20" t="s">
        <v>3265</v>
      </c>
      <c r="D1805" s="20" t="s">
        <v>3334</v>
      </c>
      <c r="E1805" s="20" t="s">
        <v>3335</v>
      </c>
      <c r="F1805" s="20">
        <v>31.847879079999998</v>
      </c>
      <c r="G1805" s="20">
        <v>47.172549570000001</v>
      </c>
      <c r="H1805" s="22">
        <v>2</v>
      </c>
      <c r="I1805" s="22">
        <v>12</v>
      </c>
      <c r="J1805" s="21"/>
      <c r="K1805" s="21"/>
      <c r="L1805" s="21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>
        <v>2</v>
      </c>
      <c r="W1805" s="21"/>
      <c r="X1805" s="21"/>
      <c r="Y1805" s="21"/>
      <c r="Z1805" s="21"/>
      <c r="AA1805" s="21"/>
      <c r="AB1805" s="21"/>
      <c r="AC1805" s="21">
        <v>1</v>
      </c>
      <c r="AD1805" s="21"/>
      <c r="AE1805" s="21"/>
      <c r="AF1805" s="21"/>
      <c r="AG1805" s="21"/>
      <c r="AH1805" s="21">
        <v>1</v>
      </c>
      <c r="AI1805" s="21"/>
      <c r="AJ1805" s="21"/>
      <c r="AK1805" s="21"/>
      <c r="AL1805" s="21"/>
      <c r="AM1805" s="21"/>
      <c r="AN1805" s="21">
        <v>2</v>
      </c>
      <c r="AO1805" s="21"/>
      <c r="AP1805" s="21"/>
      <c r="AQ1805" s="21"/>
      <c r="AR1805" s="21"/>
      <c r="AS1805" s="21"/>
      <c r="AT1805" s="12" t="str">
        <f>HYPERLINK("http://www.openstreetmap.org/?mlat=31.8479&amp;mlon=47.1725&amp;zoom=12#map=12/31.8479/47.1725","Maplink1")</f>
        <v>Maplink1</v>
      </c>
      <c r="AU1805" s="12" t="str">
        <f>HYPERLINK("https://www.google.iq/maps/search/+31.8479,47.1725/@31.8479,47.1725,14z?hl=en","Maplink2")</f>
        <v>Maplink2</v>
      </c>
      <c r="AV1805" s="12" t="str">
        <f>HYPERLINK("http://www.bing.com/maps/?lvl=14&amp;sty=h&amp;cp=31.8479~47.1725&amp;sp=point.31.8479_47.1725","Maplink3")</f>
        <v>Maplink3</v>
      </c>
    </row>
    <row r="1806" spans="1:48" ht="15" customHeight="1" x14ac:dyDescent="0.25">
      <c r="A1806" s="19">
        <v>22826</v>
      </c>
      <c r="B1806" s="20" t="s">
        <v>18</v>
      </c>
      <c r="C1806" s="20" t="s">
        <v>3265</v>
      </c>
      <c r="D1806" s="20" t="s">
        <v>3336</v>
      </c>
      <c r="E1806" s="20" t="s">
        <v>3337</v>
      </c>
      <c r="F1806" s="20">
        <v>31.852079499999999</v>
      </c>
      <c r="G1806" s="20">
        <v>47.171244090000002</v>
      </c>
      <c r="H1806" s="22">
        <v>1</v>
      </c>
      <c r="I1806" s="22">
        <v>6</v>
      </c>
      <c r="J1806" s="21"/>
      <c r="K1806" s="21"/>
      <c r="L1806" s="21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>
        <v>1</v>
      </c>
      <c r="W1806" s="21"/>
      <c r="X1806" s="21"/>
      <c r="Y1806" s="21"/>
      <c r="Z1806" s="21"/>
      <c r="AA1806" s="21"/>
      <c r="AB1806" s="21"/>
      <c r="AC1806" s="21">
        <v>1</v>
      </c>
      <c r="AD1806" s="21"/>
      <c r="AE1806" s="21"/>
      <c r="AF1806" s="21"/>
      <c r="AG1806" s="21"/>
      <c r="AH1806" s="21"/>
      <c r="AI1806" s="21"/>
      <c r="AJ1806" s="21"/>
      <c r="AK1806" s="21"/>
      <c r="AL1806" s="21"/>
      <c r="AM1806" s="21"/>
      <c r="AN1806" s="21">
        <v>1</v>
      </c>
      <c r="AO1806" s="21"/>
      <c r="AP1806" s="21"/>
      <c r="AQ1806" s="21"/>
      <c r="AR1806" s="21"/>
      <c r="AS1806" s="21"/>
      <c r="AT1806" s="12" t="str">
        <f>HYPERLINK("http://www.openstreetmap.org/?mlat=31.8521&amp;mlon=47.1712&amp;zoom=12#map=12/31.8521/47.1712","Maplink1")</f>
        <v>Maplink1</v>
      </c>
      <c r="AU1806" s="12" t="str">
        <f>HYPERLINK("https://www.google.iq/maps/search/+31.8521,47.1712/@31.8521,47.1712,14z?hl=en","Maplink2")</f>
        <v>Maplink2</v>
      </c>
      <c r="AV1806" s="12" t="str">
        <f>HYPERLINK("http://www.bing.com/maps/?lvl=14&amp;sty=h&amp;cp=31.8521~47.1712&amp;sp=point.31.8521_47.1712","Maplink3")</f>
        <v>Maplink3</v>
      </c>
    </row>
    <row r="1807" spans="1:48" ht="15" customHeight="1" x14ac:dyDescent="0.25">
      <c r="A1807" s="19">
        <v>24199</v>
      </c>
      <c r="B1807" s="20" t="s">
        <v>18</v>
      </c>
      <c r="C1807" s="20" t="s">
        <v>3265</v>
      </c>
      <c r="D1807" s="20" t="s">
        <v>3338</v>
      </c>
      <c r="E1807" s="20" t="s">
        <v>3339</v>
      </c>
      <c r="F1807" s="20">
        <v>31.84429536</v>
      </c>
      <c r="G1807" s="20">
        <v>47.145923119999999</v>
      </c>
      <c r="H1807" s="22">
        <v>4</v>
      </c>
      <c r="I1807" s="22">
        <v>24</v>
      </c>
      <c r="J1807" s="21"/>
      <c r="K1807" s="21"/>
      <c r="L1807" s="21"/>
      <c r="M1807" s="21"/>
      <c r="N1807" s="21"/>
      <c r="O1807" s="21"/>
      <c r="P1807" s="21"/>
      <c r="Q1807" s="21"/>
      <c r="R1807" s="21">
        <v>2</v>
      </c>
      <c r="S1807" s="21"/>
      <c r="T1807" s="21"/>
      <c r="U1807" s="21"/>
      <c r="V1807" s="21">
        <v>2</v>
      </c>
      <c r="W1807" s="21"/>
      <c r="X1807" s="21"/>
      <c r="Y1807" s="21"/>
      <c r="Z1807" s="21"/>
      <c r="AA1807" s="21"/>
      <c r="AB1807" s="21"/>
      <c r="AC1807" s="21">
        <v>1</v>
      </c>
      <c r="AD1807" s="21"/>
      <c r="AE1807" s="21">
        <v>1</v>
      </c>
      <c r="AF1807" s="21"/>
      <c r="AG1807" s="21"/>
      <c r="AH1807" s="21">
        <v>2</v>
      </c>
      <c r="AI1807" s="21"/>
      <c r="AJ1807" s="21"/>
      <c r="AK1807" s="21"/>
      <c r="AL1807" s="21"/>
      <c r="AM1807" s="21">
        <v>2</v>
      </c>
      <c r="AN1807" s="21"/>
      <c r="AO1807" s="21">
        <v>2</v>
      </c>
      <c r="AP1807" s="21"/>
      <c r="AQ1807" s="21"/>
      <c r="AR1807" s="21"/>
      <c r="AS1807" s="21"/>
      <c r="AT1807" s="12" t="str">
        <f>HYPERLINK("http://www.openstreetmap.org/?mlat=31.8443&amp;mlon=47.1459&amp;zoom=12#map=12/31.8443/47.1459","Maplink1")</f>
        <v>Maplink1</v>
      </c>
      <c r="AU1807" s="12" t="str">
        <f>HYPERLINK("https://www.google.iq/maps/search/+31.8443,47.1459/@31.8443,47.1459,14z?hl=en","Maplink2")</f>
        <v>Maplink2</v>
      </c>
      <c r="AV1807" s="12" t="str">
        <f>HYPERLINK("http://www.bing.com/maps/?lvl=14&amp;sty=h&amp;cp=31.8443~47.1459&amp;sp=point.31.8443_47.1459","Maplink3")</f>
        <v>Maplink3</v>
      </c>
    </row>
    <row r="1808" spans="1:48" ht="15" customHeight="1" x14ac:dyDescent="0.25">
      <c r="A1808" s="19">
        <v>22889</v>
      </c>
      <c r="B1808" s="20" t="s">
        <v>18</v>
      </c>
      <c r="C1808" s="20" t="s">
        <v>3265</v>
      </c>
      <c r="D1808" s="20" t="s">
        <v>3340</v>
      </c>
      <c r="E1808" s="20" t="s">
        <v>3341</v>
      </c>
      <c r="F1808" s="20">
        <v>31.808625538800001</v>
      </c>
      <c r="G1808" s="20">
        <v>47.156464783499999</v>
      </c>
      <c r="H1808" s="22">
        <v>5</v>
      </c>
      <c r="I1808" s="22">
        <v>30</v>
      </c>
      <c r="J1808" s="21"/>
      <c r="K1808" s="21"/>
      <c r="L1808" s="21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>
        <v>5</v>
      </c>
      <c r="Y1808" s="21"/>
      <c r="Z1808" s="21"/>
      <c r="AA1808" s="21"/>
      <c r="AB1808" s="21"/>
      <c r="AC1808" s="21">
        <v>3</v>
      </c>
      <c r="AD1808" s="21"/>
      <c r="AE1808" s="21"/>
      <c r="AF1808" s="21"/>
      <c r="AG1808" s="21"/>
      <c r="AH1808" s="21">
        <v>2</v>
      </c>
      <c r="AI1808" s="21"/>
      <c r="AJ1808" s="21"/>
      <c r="AK1808" s="21"/>
      <c r="AL1808" s="21"/>
      <c r="AM1808" s="21">
        <v>3</v>
      </c>
      <c r="AN1808" s="21"/>
      <c r="AO1808" s="21">
        <v>2</v>
      </c>
      <c r="AP1808" s="21"/>
      <c r="AQ1808" s="21"/>
      <c r="AR1808" s="21"/>
      <c r="AS1808" s="21"/>
      <c r="AT1808" s="12" t="str">
        <f>HYPERLINK("http://www.openstreetmap.org/?mlat=31.8086&amp;mlon=47.1565&amp;zoom=12#map=12/31.8086/47.1565","Maplink1")</f>
        <v>Maplink1</v>
      </c>
      <c r="AU1808" s="12" t="str">
        <f>HYPERLINK("https://www.google.iq/maps/search/+31.8086,47.1565/@31.8086,47.1565,14z?hl=en","Maplink2")</f>
        <v>Maplink2</v>
      </c>
      <c r="AV1808" s="12" t="str">
        <f>HYPERLINK("http://www.bing.com/maps/?lvl=14&amp;sty=h&amp;cp=31.8086~47.1565&amp;sp=point.31.8086_47.1565","Maplink3")</f>
        <v>Maplink3</v>
      </c>
    </row>
    <row r="1809" spans="1:48" ht="15" customHeight="1" x14ac:dyDescent="0.25">
      <c r="A1809" s="19">
        <v>21220</v>
      </c>
      <c r="B1809" s="20" t="s">
        <v>18</v>
      </c>
      <c r="C1809" s="20" t="s">
        <v>3342</v>
      </c>
      <c r="D1809" s="20" t="s">
        <v>3343</v>
      </c>
      <c r="E1809" s="20" t="s">
        <v>365</v>
      </c>
      <c r="F1809" s="20">
        <v>31.529444439999999</v>
      </c>
      <c r="G1809" s="20">
        <v>47.295277779999999</v>
      </c>
      <c r="H1809" s="22">
        <v>1</v>
      </c>
      <c r="I1809" s="22">
        <v>6</v>
      </c>
      <c r="J1809" s="21"/>
      <c r="K1809" s="21"/>
      <c r="L1809" s="21"/>
      <c r="M1809" s="21"/>
      <c r="N1809" s="21"/>
      <c r="O1809" s="21"/>
      <c r="P1809" s="21"/>
      <c r="Q1809" s="21"/>
      <c r="R1809" s="21">
        <v>1</v>
      </c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21"/>
      <c r="AH1809" s="21">
        <v>1</v>
      </c>
      <c r="AI1809" s="21"/>
      <c r="AJ1809" s="21"/>
      <c r="AK1809" s="21"/>
      <c r="AL1809" s="21"/>
      <c r="AM1809" s="21">
        <v>1</v>
      </c>
      <c r="AN1809" s="21"/>
      <c r="AO1809" s="21"/>
      <c r="AP1809" s="21"/>
      <c r="AQ1809" s="21"/>
      <c r="AR1809" s="21"/>
      <c r="AS1809" s="21"/>
      <c r="AT1809" s="12" t="str">
        <f>HYPERLINK("http://www.openstreetmap.org/?mlat=31.5294&amp;mlon=47.2953&amp;zoom=12#map=12/31.5294/47.2953","Maplink1")</f>
        <v>Maplink1</v>
      </c>
      <c r="AU1809" s="12" t="str">
        <f>HYPERLINK("https://www.google.iq/maps/search/+31.5294,47.2953/@31.5294,47.2953,14z?hl=en","Maplink2")</f>
        <v>Maplink2</v>
      </c>
      <c r="AV1809" s="12" t="str">
        <f>HYPERLINK("http://www.bing.com/maps/?lvl=14&amp;sty=h&amp;cp=31.5294~47.2953&amp;sp=point.31.5294_47.2953","Maplink3")</f>
        <v>Maplink3</v>
      </c>
    </row>
    <row r="1810" spans="1:48" ht="15" customHeight="1" x14ac:dyDescent="0.25">
      <c r="A1810" s="19">
        <v>21369</v>
      </c>
      <c r="B1810" s="20" t="s">
        <v>18</v>
      </c>
      <c r="C1810" s="20" t="s">
        <v>3342</v>
      </c>
      <c r="D1810" s="20" t="s">
        <v>3344</v>
      </c>
      <c r="E1810" s="20" t="s">
        <v>3345</v>
      </c>
      <c r="F1810" s="20">
        <v>31.518935519999999</v>
      </c>
      <c r="G1810" s="20">
        <v>47.289529680000001</v>
      </c>
      <c r="H1810" s="22">
        <v>3</v>
      </c>
      <c r="I1810" s="22">
        <v>18</v>
      </c>
      <c r="J1810" s="21"/>
      <c r="K1810" s="21"/>
      <c r="L1810" s="21"/>
      <c r="M1810" s="21"/>
      <c r="N1810" s="21"/>
      <c r="O1810" s="21"/>
      <c r="P1810" s="21"/>
      <c r="Q1810" s="21"/>
      <c r="R1810" s="21">
        <v>1</v>
      </c>
      <c r="S1810" s="21"/>
      <c r="T1810" s="21"/>
      <c r="U1810" s="21"/>
      <c r="V1810" s="21">
        <v>2</v>
      </c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21">
        <v>1</v>
      </c>
      <c r="AH1810" s="21">
        <v>2</v>
      </c>
      <c r="AI1810" s="21"/>
      <c r="AJ1810" s="21"/>
      <c r="AK1810" s="21"/>
      <c r="AL1810" s="21"/>
      <c r="AM1810" s="21">
        <v>2</v>
      </c>
      <c r="AN1810" s="21"/>
      <c r="AO1810" s="21"/>
      <c r="AP1810" s="21"/>
      <c r="AQ1810" s="21"/>
      <c r="AR1810" s="21">
        <v>1</v>
      </c>
      <c r="AS1810" s="21"/>
      <c r="AT1810" s="12" t="str">
        <f>HYPERLINK("http://www.openstreetmap.org/?mlat=31.5189&amp;mlon=47.2895&amp;zoom=12#map=12/31.5189/47.2895","Maplink1")</f>
        <v>Maplink1</v>
      </c>
      <c r="AU1810" s="12" t="str">
        <f>HYPERLINK("https://www.google.iq/maps/search/+31.5189,47.2895/@31.5189,47.2895,14z?hl=en","Maplink2")</f>
        <v>Maplink2</v>
      </c>
      <c r="AV1810" s="12" t="str">
        <f>HYPERLINK("http://www.bing.com/maps/?lvl=14&amp;sty=h&amp;cp=31.5189~47.2895&amp;sp=point.31.5189_47.2895","Maplink3")</f>
        <v>Maplink3</v>
      </c>
    </row>
    <row r="1811" spans="1:48" ht="15" customHeight="1" x14ac:dyDescent="0.25">
      <c r="A1811" s="19">
        <v>15777</v>
      </c>
      <c r="B1811" s="20" t="s">
        <v>18</v>
      </c>
      <c r="C1811" s="20" t="s">
        <v>3342</v>
      </c>
      <c r="D1811" s="20" t="s">
        <v>3346</v>
      </c>
      <c r="E1811" s="20" t="s">
        <v>3347</v>
      </c>
      <c r="F1811" s="20">
        <v>31.52103129</v>
      </c>
      <c r="G1811" s="20">
        <v>47.295677050000002</v>
      </c>
      <c r="H1811" s="22">
        <v>5</v>
      </c>
      <c r="I1811" s="22">
        <v>30</v>
      </c>
      <c r="J1811" s="21"/>
      <c r="K1811" s="21"/>
      <c r="L1811" s="21"/>
      <c r="M1811" s="21"/>
      <c r="N1811" s="21"/>
      <c r="O1811" s="21"/>
      <c r="P1811" s="21"/>
      <c r="Q1811" s="21"/>
      <c r="R1811" s="21">
        <v>1</v>
      </c>
      <c r="S1811" s="21"/>
      <c r="T1811" s="21"/>
      <c r="U1811" s="21"/>
      <c r="V1811" s="21">
        <v>4</v>
      </c>
      <c r="W1811" s="21"/>
      <c r="X1811" s="21"/>
      <c r="Y1811" s="21"/>
      <c r="Z1811" s="21"/>
      <c r="AA1811" s="21"/>
      <c r="AB1811" s="21"/>
      <c r="AC1811" s="21">
        <v>3</v>
      </c>
      <c r="AD1811" s="21"/>
      <c r="AE1811" s="21"/>
      <c r="AF1811" s="21"/>
      <c r="AG1811" s="21"/>
      <c r="AH1811" s="21">
        <v>2</v>
      </c>
      <c r="AI1811" s="21"/>
      <c r="AJ1811" s="21"/>
      <c r="AK1811" s="21"/>
      <c r="AL1811" s="21"/>
      <c r="AM1811" s="21"/>
      <c r="AN1811" s="21">
        <v>4</v>
      </c>
      <c r="AO1811" s="21"/>
      <c r="AP1811" s="21"/>
      <c r="AQ1811" s="21">
        <v>1</v>
      </c>
      <c r="AR1811" s="21"/>
      <c r="AS1811" s="21"/>
      <c r="AT1811" s="12" t="str">
        <f>HYPERLINK("http://www.openstreetmap.org/?mlat=31.521&amp;mlon=47.2957&amp;zoom=12#map=12/31.521/47.2957","Maplink1")</f>
        <v>Maplink1</v>
      </c>
      <c r="AU1811" s="12" t="str">
        <f>HYPERLINK("https://www.google.iq/maps/search/+31.521,47.2957/@31.521,47.2957,14z?hl=en","Maplink2")</f>
        <v>Maplink2</v>
      </c>
      <c r="AV1811" s="12" t="str">
        <f>HYPERLINK("http://www.bing.com/maps/?lvl=14&amp;sty=h&amp;cp=31.521~47.2957&amp;sp=point.31.521_47.2957","Maplink3")</f>
        <v>Maplink3</v>
      </c>
    </row>
    <row r="1812" spans="1:48" ht="15" customHeight="1" x14ac:dyDescent="0.25">
      <c r="A1812" s="19">
        <v>21370</v>
      </c>
      <c r="B1812" s="20" t="s">
        <v>18</v>
      </c>
      <c r="C1812" s="20" t="s">
        <v>3342</v>
      </c>
      <c r="D1812" s="20" t="s">
        <v>3348</v>
      </c>
      <c r="E1812" s="20" t="s">
        <v>3321</v>
      </c>
      <c r="F1812" s="20">
        <v>31.52168902</v>
      </c>
      <c r="G1812" s="20">
        <v>47.29003033</v>
      </c>
      <c r="H1812" s="22">
        <v>1</v>
      </c>
      <c r="I1812" s="22">
        <v>6</v>
      </c>
      <c r="J1812" s="21"/>
      <c r="K1812" s="21"/>
      <c r="L1812" s="21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>
        <v>1</v>
      </c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21"/>
      <c r="AH1812" s="21">
        <v>1</v>
      </c>
      <c r="AI1812" s="21"/>
      <c r="AJ1812" s="21"/>
      <c r="AK1812" s="21"/>
      <c r="AL1812" s="21"/>
      <c r="AM1812" s="21"/>
      <c r="AN1812" s="21"/>
      <c r="AO1812" s="21">
        <v>1</v>
      </c>
      <c r="AP1812" s="21"/>
      <c r="AQ1812" s="21"/>
      <c r="AR1812" s="21"/>
      <c r="AS1812" s="21"/>
      <c r="AT1812" s="12" t="str">
        <f>HYPERLINK("http://www.openstreetmap.org/?mlat=31.5217&amp;mlon=47.29&amp;zoom=12#map=12/31.5217/47.29","Maplink1")</f>
        <v>Maplink1</v>
      </c>
      <c r="AU1812" s="12" t="str">
        <f>HYPERLINK("https://www.google.iq/maps/search/+31.5217,47.29/@31.5217,47.29,14z?hl=en","Maplink2")</f>
        <v>Maplink2</v>
      </c>
      <c r="AV1812" s="12" t="str">
        <f>HYPERLINK("http://www.bing.com/maps/?lvl=14&amp;sty=h&amp;cp=31.5217~47.29&amp;sp=point.31.5217_47.29","Maplink3")</f>
        <v>Maplink3</v>
      </c>
    </row>
    <row r="1813" spans="1:48" ht="15" customHeight="1" x14ac:dyDescent="0.25">
      <c r="A1813" s="19">
        <v>23622</v>
      </c>
      <c r="B1813" s="20" t="s">
        <v>18</v>
      </c>
      <c r="C1813" s="20" t="s">
        <v>3342</v>
      </c>
      <c r="D1813" s="20" t="s">
        <v>3295</v>
      </c>
      <c r="E1813" s="20" t="s">
        <v>277</v>
      </c>
      <c r="F1813" s="20">
        <v>31.528183030000001</v>
      </c>
      <c r="G1813" s="20">
        <v>47.29204198</v>
      </c>
      <c r="H1813" s="22">
        <v>12</v>
      </c>
      <c r="I1813" s="22">
        <v>72</v>
      </c>
      <c r="J1813" s="21"/>
      <c r="K1813" s="21"/>
      <c r="L1813" s="21"/>
      <c r="M1813" s="21"/>
      <c r="N1813" s="21"/>
      <c r="O1813" s="21"/>
      <c r="P1813" s="21"/>
      <c r="Q1813" s="21"/>
      <c r="R1813" s="21">
        <v>2</v>
      </c>
      <c r="S1813" s="21"/>
      <c r="T1813" s="21"/>
      <c r="U1813" s="21"/>
      <c r="V1813" s="21">
        <v>10</v>
      </c>
      <c r="W1813" s="21"/>
      <c r="X1813" s="21"/>
      <c r="Y1813" s="21"/>
      <c r="Z1813" s="21"/>
      <c r="AA1813" s="21"/>
      <c r="AB1813" s="21"/>
      <c r="AC1813" s="21">
        <v>5</v>
      </c>
      <c r="AD1813" s="21"/>
      <c r="AE1813" s="21"/>
      <c r="AF1813" s="21"/>
      <c r="AG1813" s="21"/>
      <c r="AH1813" s="21">
        <v>7</v>
      </c>
      <c r="AI1813" s="21"/>
      <c r="AJ1813" s="21"/>
      <c r="AK1813" s="21"/>
      <c r="AL1813" s="21"/>
      <c r="AM1813" s="21">
        <v>7</v>
      </c>
      <c r="AN1813" s="21">
        <v>3</v>
      </c>
      <c r="AO1813" s="21"/>
      <c r="AP1813" s="21">
        <v>1</v>
      </c>
      <c r="AQ1813" s="21"/>
      <c r="AR1813" s="21">
        <v>1</v>
      </c>
      <c r="AS1813" s="21"/>
      <c r="AT1813" s="12" t="str">
        <f>HYPERLINK("http://www.openstreetmap.org/?mlat=31.5282&amp;mlon=47.292&amp;zoom=12#map=12/31.5282/47.292","Maplink1")</f>
        <v>Maplink1</v>
      </c>
      <c r="AU1813" s="12" t="str">
        <f>HYPERLINK("https://www.google.iq/maps/search/+31.5282,47.292/@31.5282,47.292,14z?hl=en","Maplink2")</f>
        <v>Maplink2</v>
      </c>
      <c r="AV1813" s="12" t="str">
        <f>HYPERLINK("http://www.bing.com/maps/?lvl=14&amp;sty=h&amp;cp=31.5282~47.292&amp;sp=point.31.5282_47.292","Maplink3")</f>
        <v>Maplink3</v>
      </c>
    </row>
    <row r="1814" spans="1:48" ht="15" customHeight="1" x14ac:dyDescent="0.25">
      <c r="A1814" s="19">
        <v>24548</v>
      </c>
      <c r="B1814" s="20" t="s">
        <v>18</v>
      </c>
      <c r="C1814" s="20" t="s">
        <v>3342</v>
      </c>
      <c r="D1814" s="20" t="s">
        <v>311</v>
      </c>
      <c r="E1814" s="20" t="s">
        <v>121</v>
      </c>
      <c r="F1814" s="20">
        <v>31.52703764</v>
      </c>
      <c r="G1814" s="20">
        <v>47.296621440000003</v>
      </c>
      <c r="H1814" s="22">
        <v>1</v>
      </c>
      <c r="I1814" s="22">
        <v>6</v>
      </c>
      <c r="J1814" s="21"/>
      <c r="K1814" s="21"/>
      <c r="L1814" s="21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>
        <v>1</v>
      </c>
      <c r="W1814" s="21"/>
      <c r="X1814" s="21"/>
      <c r="Y1814" s="21"/>
      <c r="Z1814" s="21"/>
      <c r="AA1814" s="21"/>
      <c r="AB1814" s="21"/>
      <c r="AC1814" s="21">
        <v>1</v>
      </c>
      <c r="AD1814" s="21"/>
      <c r="AE1814" s="21"/>
      <c r="AF1814" s="21"/>
      <c r="AG1814" s="21"/>
      <c r="AH1814" s="21"/>
      <c r="AI1814" s="21"/>
      <c r="AJ1814" s="21"/>
      <c r="AK1814" s="21"/>
      <c r="AL1814" s="21"/>
      <c r="AM1814" s="21"/>
      <c r="AN1814" s="21"/>
      <c r="AO1814" s="21">
        <v>1</v>
      </c>
      <c r="AP1814" s="21"/>
      <c r="AQ1814" s="21"/>
      <c r="AR1814" s="21"/>
      <c r="AS1814" s="21"/>
      <c r="AT1814" s="12" t="str">
        <f>HYPERLINK("http://www.openstreetmap.org/?mlat=31.527&amp;mlon=47.2966&amp;zoom=12#map=12/31.527/47.2966","Maplink1")</f>
        <v>Maplink1</v>
      </c>
      <c r="AU1814" s="12" t="str">
        <f>HYPERLINK("https://www.google.iq/maps/search/+31.527,47.2966/@31.527,47.2966,14z?hl=en","Maplink2")</f>
        <v>Maplink2</v>
      </c>
      <c r="AV1814" s="12" t="str">
        <f>HYPERLINK("http://www.bing.com/maps/?lvl=14&amp;sty=h&amp;cp=31.527~47.2966&amp;sp=point.31.527_47.2966","Maplink3")</f>
        <v>Maplink3</v>
      </c>
    </row>
    <row r="1815" spans="1:48" ht="15" customHeight="1" x14ac:dyDescent="0.25">
      <c r="A1815" s="19">
        <v>21371</v>
      </c>
      <c r="B1815" s="20" t="s">
        <v>18</v>
      </c>
      <c r="C1815" s="20" t="s">
        <v>3342</v>
      </c>
      <c r="D1815" s="20" t="s">
        <v>3349</v>
      </c>
      <c r="E1815" s="20" t="s">
        <v>3350</v>
      </c>
      <c r="F1815" s="20">
        <v>31.839391599999999</v>
      </c>
      <c r="G1815" s="20">
        <v>47.146446300299999</v>
      </c>
      <c r="H1815" s="22">
        <v>4</v>
      </c>
      <c r="I1815" s="22">
        <v>24</v>
      </c>
      <c r="J1815" s="21"/>
      <c r="K1815" s="21"/>
      <c r="L1815" s="21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>
        <v>4</v>
      </c>
      <c r="W1815" s="21"/>
      <c r="X1815" s="21"/>
      <c r="Y1815" s="21"/>
      <c r="Z1815" s="21"/>
      <c r="AA1815" s="21"/>
      <c r="AB1815" s="21"/>
      <c r="AC1815" s="21">
        <v>2</v>
      </c>
      <c r="AD1815" s="21"/>
      <c r="AE1815" s="21"/>
      <c r="AF1815" s="21"/>
      <c r="AG1815" s="21"/>
      <c r="AH1815" s="21">
        <v>2</v>
      </c>
      <c r="AI1815" s="21"/>
      <c r="AJ1815" s="21"/>
      <c r="AK1815" s="21"/>
      <c r="AL1815" s="21"/>
      <c r="AM1815" s="21"/>
      <c r="AN1815" s="21"/>
      <c r="AO1815" s="21">
        <v>4</v>
      </c>
      <c r="AP1815" s="21"/>
      <c r="AQ1815" s="21"/>
      <c r="AR1815" s="21"/>
      <c r="AS1815" s="21"/>
      <c r="AT1815" s="12" t="str">
        <f>HYPERLINK("http://www.openstreetmap.org/?mlat=31.8394&amp;mlon=47.1464&amp;zoom=12#map=12/31.8394/47.1464","Maplink1")</f>
        <v>Maplink1</v>
      </c>
      <c r="AU1815" s="12" t="str">
        <f>HYPERLINK("https://www.google.iq/maps/search/+31.8394,47.1464/@31.8394,47.1464,14z?hl=en","Maplink2")</f>
        <v>Maplink2</v>
      </c>
      <c r="AV1815" s="12" t="str">
        <f>HYPERLINK("http://www.bing.com/maps/?lvl=14&amp;sty=h&amp;cp=31.8394~47.1464&amp;sp=point.31.8394_47.1464","Maplink3")</f>
        <v>Maplink3</v>
      </c>
    </row>
    <row r="1816" spans="1:48" ht="15" customHeight="1" x14ac:dyDescent="0.25">
      <c r="A1816" s="19">
        <v>27229</v>
      </c>
      <c r="B1816" s="20" t="s">
        <v>19</v>
      </c>
      <c r="C1816" s="20" t="s">
        <v>3351</v>
      </c>
      <c r="D1816" s="20" t="s">
        <v>3353</v>
      </c>
      <c r="E1816" s="20" t="s">
        <v>3354</v>
      </c>
      <c r="F1816" s="20">
        <v>31.184589119999998</v>
      </c>
      <c r="G1816" s="20">
        <v>45.555830569999998</v>
      </c>
      <c r="H1816" s="22">
        <v>4</v>
      </c>
      <c r="I1816" s="22">
        <v>24</v>
      </c>
      <c r="J1816" s="21"/>
      <c r="K1816" s="21"/>
      <c r="L1816" s="21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>
        <v>3</v>
      </c>
      <c r="W1816" s="21"/>
      <c r="X1816" s="21">
        <v>1</v>
      </c>
      <c r="Y1816" s="21"/>
      <c r="Z1816" s="21"/>
      <c r="AA1816" s="21"/>
      <c r="AB1816" s="21"/>
      <c r="AC1816" s="21">
        <v>1</v>
      </c>
      <c r="AD1816" s="21"/>
      <c r="AE1816" s="21"/>
      <c r="AF1816" s="21"/>
      <c r="AG1816" s="21"/>
      <c r="AH1816" s="21">
        <v>3</v>
      </c>
      <c r="AI1816" s="21"/>
      <c r="AJ1816" s="21"/>
      <c r="AK1816" s="21"/>
      <c r="AL1816" s="21"/>
      <c r="AM1816" s="21">
        <v>1</v>
      </c>
      <c r="AN1816" s="21">
        <v>3</v>
      </c>
      <c r="AO1816" s="21"/>
      <c r="AP1816" s="21"/>
      <c r="AQ1816" s="21"/>
      <c r="AR1816" s="21"/>
      <c r="AS1816" s="21"/>
      <c r="AT1816" s="12" t="str">
        <f>HYPERLINK("http://www.openstreetmap.org/?mlat=31.1846&amp;mlon=45.5558&amp;zoom=12#map=12/31.1846/45.5558","Maplink1")</f>
        <v>Maplink1</v>
      </c>
      <c r="AU1816" s="12" t="str">
        <f>HYPERLINK("https://www.google.iq/maps/search/+31.1846,45.5558/@31.1846,45.5558,14z?hl=en","Maplink2")</f>
        <v>Maplink2</v>
      </c>
      <c r="AV1816" s="12" t="str">
        <f>HYPERLINK("http://www.bing.com/maps/?lvl=14&amp;sty=h&amp;cp=31.1846~45.5558&amp;sp=point.31.1846_45.5558","Maplink3")</f>
        <v>Maplink3</v>
      </c>
    </row>
    <row r="1817" spans="1:48" ht="15" customHeight="1" x14ac:dyDescent="0.25">
      <c r="A1817" s="19">
        <v>27300</v>
      </c>
      <c r="B1817" s="20" t="s">
        <v>19</v>
      </c>
      <c r="C1817" s="20" t="s">
        <v>3351</v>
      </c>
      <c r="D1817" s="20" t="s">
        <v>3232</v>
      </c>
      <c r="E1817" s="20" t="s">
        <v>1416</v>
      </c>
      <c r="F1817" s="20">
        <v>31.199379</v>
      </c>
      <c r="G1817" s="20">
        <v>45.554822999999999</v>
      </c>
      <c r="H1817" s="22">
        <v>2</v>
      </c>
      <c r="I1817" s="22">
        <v>12</v>
      </c>
      <c r="J1817" s="21"/>
      <c r="K1817" s="21"/>
      <c r="L1817" s="21"/>
      <c r="M1817" s="21"/>
      <c r="N1817" s="21"/>
      <c r="O1817" s="21"/>
      <c r="P1817" s="21"/>
      <c r="Q1817" s="21"/>
      <c r="R1817" s="21">
        <v>2</v>
      </c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>
        <v>1</v>
      </c>
      <c r="AD1817" s="21"/>
      <c r="AE1817" s="21"/>
      <c r="AF1817" s="21"/>
      <c r="AG1817" s="21"/>
      <c r="AH1817" s="21">
        <v>1</v>
      </c>
      <c r="AI1817" s="21"/>
      <c r="AJ1817" s="21"/>
      <c r="AK1817" s="21"/>
      <c r="AL1817" s="21"/>
      <c r="AM1817" s="21">
        <v>2</v>
      </c>
      <c r="AN1817" s="21"/>
      <c r="AO1817" s="21"/>
      <c r="AP1817" s="21"/>
      <c r="AQ1817" s="21"/>
      <c r="AR1817" s="21"/>
      <c r="AS1817" s="21"/>
      <c r="AT1817" s="12" t="str">
        <f>HYPERLINK("http://www.openstreetmap.org/?mlat=31.1994&amp;mlon=45.5548&amp;zoom=12#map=12/31.1994/45.5548","Maplink1")</f>
        <v>Maplink1</v>
      </c>
      <c r="AU1817" s="12" t="str">
        <f>HYPERLINK("https://www.google.iq/maps/search/+31.1994,45.5548/@31.1994,45.5548,14z?hl=en","Maplink2")</f>
        <v>Maplink2</v>
      </c>
      <c r="AV1817" s="12" t="str">
        <f>HYPERLINK("http://www.bing.com/maps/?lvl=14&amp;sty=h&amp;cp=31.1994~45.5548&amp;sp=point.31.1994_45.5548","Maplink3")</f>
        <v>Maplink3</v>
      </c>
    </row>
    <row r="1818" spans="1:48" ht="15" customHeight="1" x14ac:dyDescent="0.25">
      <c r="A1818" s="19">
        <v>2026</v>
      </c>
      <c r="B1818" s="20" t="s">
        <v>19</v>
      </c>
      <c r="C1818" s="20" t="s">
        <v>3356</v>
      </c>
      <c r="D1818" s="20" t="s">
        <v>5768</v>
      </c>
      <c r="E1818" s="20" t="s">
        <v>5769</v>
      </c>
      <c r="F1818" s="20">
        <v>31.557005</v>
      </c>
      <c r="G1818" s="20">
        <v>45.147829000000002</v>
      </c>
      <c r="H1818" s="22">
        <v>1</v>
      </c>
      <c r="I1818" s="22">
        <v>6</v>
      </c>
      <c r="J1818" s="21"/>
      <c r="K1818" s="21"/>
      <c r="L1818" s="21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>
        <v>1</v>
      </c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21">
        <v>1</v>
      </c>
      <c r="AH1818" s="21"/>
      <c r="AI1818" s="21"/>
      <c r="AJ1818" s="21"/>
      <c r="AK1818" s="21"/>
      <c r="AL1818" s="21"/>
      <c r="AM1818" s="21"/>
      <c r="AN1818" s="21"/>
      <c r="AO1818" s="21">
        <v>1</v>
      </c>
      <c r="AP1818" s="21"/>
      <c r="AQ1818" s="21"/>
      <c r="AR1818" s="21"/>
      <c r="AS1818" s="21"/>
      <c r="AT1818" s="12" t="str">
        <f>HYPERLINK("http://www.openstreetmap.org/?mlat=31.557&amp;mlon=45.1478&amp;zoom=12#map=12/31.557/45.1478","Maplink1")</f>
        <v>Maplink1</v>
      </c>
      <c r="AU1818" s="12" t="str">
        <f>HYPERLINK("https://www.google.iq/maps/search/+31.557,45.1478/@31.557,45.1478,14z?hl=en","Maplink2")</f>
        <v>Maplink2</v>
      </c>
      <c r="AV1818" s="12" t="str">
        <f>HYPERLINK("http://www.bing.com/maps/?lvl=14&amp;sty=h&amp;cp=31.557~45.1478&amp;sp=point.31.557_45.1478","Maplink3")</f>
        <v>Maplink3</v>
      </c>
    </row>
    <row r="1819" spans="1:48" ht="15" customHeight="1" x14ac:dyDescent="0.25">
      <c r="A1819" s="19">
        <v>1803</v>
      </c>
      <c r="B1819" s="20" t="s">
        <v>19</v>
      </c>
      <c r="C1819" s="20" t="s">
        <v>3356</v>
      </c>
      <c r="D1819" s="20" t="s">
        <v>5770</v>
      </c>
      <c r="E1819" s="20" t="s">
        <v>5771</v>
      </c>
      <c r="F1819" s="20">
        <v>31.494914000000001</v>
      </c>
      <c r="G1819" s="20">
        <v>45.200961</v>
      </c>
      <c r="H1819" s="22">
        <v>8</v>
      </c>
      <c r="I1819" s="22">
        <v>48</v>
      </c>
      <c r="J1819" s="21"/>
      <c r="K1819" s="21"/>
      <c r="L1819" s="21">
        <v>8</v>
      </c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21"/>
      <c r="AH1819" s="21">
        <v>8</v>
      </c>
      <c r="AI1819" s="21"/>
      <c r="AJ1819" s="21"/>
      <c r="AK1819" s="21"/>
      <c r="AL1819" s="21"/>
      <c r="AM1819" s="21">
        <v>7</v>
      </c>
      <c r="AN1819" s="21"/>
      <c r="AO1819" s="21">
        <v>1</v>
      </c>
      <c r="AP1819" s="21"/>
      <c r="AQ1819" s="21"/>
      <c r="AR1819" s="21"/>
      <c r="AS1819" s="21"/>
      <c r="AT1819" s="12" t="str">
        <f>HYPERLINK("http://www.openstreetmap.org/?mlat=31.4949&amp;mlon=45.201&amp;zoom=12#map=12/31.4949/45.201","Maplink1")</f>
        <v>Maplink1</v>
      </c>
      <c r="AU1819" s="12" t="str">
        <f>HYPERLINK("https://www.google.iq/maps/search/+31.4949,45.201/@31.4949,45.201,14z?hl=en","Maplink2")</f>
        <v>Maplink2</v>
      </c>
      <c r="AV1819" s="12" t="str">
        <f>HYPERLINK("http://www.bing.com/maps/?lvl=14&amp;sty=h&amp;cp=31.4949~45.201&amp;sp=point.31.4949_45.201","Maplink3")</f>
        <v>Maplink3</v>
      </c>
    </row>
    <row r="1820" spans="1:48" ht="15" customHeight="1" x14ac:dyDescent="0.25">
      <c r="A1820" s="19">
        <v>2006</v>
      </c>
      <c r="B1820" s="20" t="s">
        <v>19</v>
      </c>
      <c r="C1820" s="20" t="s">
        <v>3356</v>
      </c>
      <c r="D1820" s="20" t="s">
        <v>5772</v>
      </c>
      <c r="E1820" s="20" t="s">
        <v>5773</v>
      </c>
      <c r="F1820" s="20">
        <v>31.542777999999998</v>
      </c>
      <c r="G1820" s="20">
        <v>45.195</v>
      </c>
      <c r="H1820" s="22">
        <v>2</v>
      </c>
      <c r="I1820" s="22">
        <v>12</v>
      </c>
      <c r="J1820" s="21">
        <v>1</v>
      </c>
      <c r="K1820" s="21"/>
      <c r="L1820" s="21"/>
      <c r="M1820" s="21"/>
      <c r="N1820" s="21"/>
      <c r="O1820" s="21"/>
      <c r="P1820" s="21"/>
      <c r="Q1820" s="21"/>
      <c r="R1820" s="21">
        <v>1</v>
      </c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21"/>
      <c r="AH1820" s="21">
        <v>2</v>
      </c>
      <c r="AI1820" s="21"/>
      <c r="AJ1820" s="21"/>
      <c r="AK1820" s="21"/>
      <c r="AL1820" s="21"/>
      <c r="AM1820" s="21">
        <v>1</v>
      </c>
      <c r="AN1820" s="21"/>
      <c r="AO1820" s="21"/>
      <c r="AP1820" s="21">
        <v>1</v>
      </c>
      <c r="AQ1820" s="21"/>
      <c r="AR1820" s="21"/>
      <c r="AS1820" s="21"/>
      <c r="AT1820" s="12" t="str">
        <f>HYPERLINK("http://www.openstreetmap.org/?mlat=31.5428&amp;mlon=45.195&amp;zoom=12#map=12/31.5428/45.195","Maplink1")</f>
        <v>Maplink1</v>
      </c>
      <c r="AU1820" s="12" t="str">
        <f>HYPERLINK("https://www.google.iq/maps/search/+31.5428,45.195/@31.5428,45.195,14z?hl=en","Maplink2")</f>
        <v>Maplink2</v>
      </c>
      <c r="AV1820" s="12" t="str">
        <f>HYPERLINK("http://www.bing.com/maps/?lvl=14&amp;sty=h&amp;cp=31.5428~45.195&amp;sp=point.31.5428_45.195","Maplink3")</f>
        <v>Maplink3</v>
      </c>
    </row>
    <row r="1821" spans="1:48" ht="15" customHeight="1" x14ac:dyDescent="0.25">
      <c r="A1821" s="19">
        <v>1394</v>
      </c>
      <c r="B1821" s="20" t="s">
        <v>19</v>
      </c>
      <c r="C1821" s="20" t="s">
        <v>3356</v>
      </c>
      <c r="D1821" s="20" t="s">
        <v>3357</v>
      </c>
      <c r="E1821" s="20" t="s">
        <v>3358</v>
      </c>
      <c r="F1821" s="20">
        <v>31.427042749999998</v>
      </c>
      <c r="G1821" s="20">
        <v>45.110932310000003</v>
      </c>
      <c r="H1821" s="22">
        <v>7</v>
      </c>
      <c r="I1821" s="22">
        <v>42</v>
      </c>
      <c r="J1821" s="21"/>
      <c r="K1821" s="21"/>
      <c r="L1821" s="21">
        <v>3</v>
      </c>
      <c r="M1821" s="21"/>
      <c r="N1821" s="21"/>
      <c r="O1821" s="21"/>
      <c r="P1821" s="21"/>
      <c r="Q1821" s="21"/>
      <c r="R1821" s="21"/>
      <c r="S1821" s="21"/>
      <c r="T1821" s="21"/>
      <c r="U1821" s="21"/>
      <c r="V1821" s="21">
        <v>1</v>
      </c>
      <c r="W1821" s="21"/>
      <c r="X1821" s="21">
        <v>3</v>
      </c>
      <c r="Y1821" s="21"/>
      <c r="Z1821" s="21"/>
      <c r="AA1821" s="21"/>
      <c r="AB1821" s="21"/>
      <c r="AC1821" s="21">
        <v>5</v>
      </c>
      <c r="AD1821" s="21"/>
      <c r="AE1821" s="21"/>
      <c r="AF1821" s="21"/>
      <c r="AG1821" s="21"/>
      <c r="AH1821" s="21">
        <v>2</v>
      </c>
      <c r="AI1821" s="21"/>
      <c r="AJ1821" s="21"/>
      <c r="AK1821" s="21"/>
      <c r="AL1821" s="21"/>
      <c r="AM1821" s="21">
        <v>5</v>
      </c>
      <c r="AN1821" s="21">
        <v>1</v>
      </c>
      <c r="AO1821" s="21">
        <v>1</v>
      </c>
      <c r="AP1821" s="21"/>
      <c r="AQ1821" s="21"/>
      <c r="AR1821" s="21"/>
      <c r="AS1821" s="21"/>
      <c r="AT1821" s="12" t="str">
        <f>HYPERLINK("http://www.openstreetmap.org/?mlat=31.427&amp;mlon=45.1109&amp;zoom=12#map=12/31.427/45.1109","Maplink1")</f>
        <v>Maplink1</v>
      </c>
      <c r="AU1821" s="12" t="str">
        <f>HYPERLINK("https://www.google.iq/maps/search/+31.427,45.1109/@31.427,45.1109,14z?hl=en","Maplink2")</f>
        <v>Maplink2</v>
      </c>
      <c r="AV1821" s="12" t="str">
        <f>HYPERLINK("http://www.bing.com/maps/?lvl=14&amp;sty=h&amp;cp=31.427~45.1109&amp;sp=point.31.427_45.1109","Maplink3")</f>
        <v>Maplink3</v>
      </c>
    </row>
    <row r="1822" spans="1:48" ht="15" customHeight="1" x14ac:dyDescent="0.25">
      <c r="A1822" s="19">
        <v>27228</v>
      </c>
      <c r="B1822" s="20" t="s">
        <v>19</v>
      </c>
      <c r="C1822" s="20" t="s">
        <v>3356</v>
      </c>
      <c r="D1822" s="20" t="s">
        <v>3359</v>
      </c>
      <c r="E1822" s="20" t="s">
        <v>3360</v>
      </c>
      <c r="F1822" s="20">
        <v>31.462506579999999</v>
      </c>
      <c r="G1822" s="20">
        <v>45.287449410000001</v>
      </c>
      <c r="H1822" s="22">
        <v>12</v>
      </c>
      <c r="I1822" s="22">
        <v>72</v>
      </c>
      <c r="J1822" s="21"/>
      <c r="K1822" s="21"/>
      <c r="L1822" s="21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>
        <v>12</v>
      </c>
      <c r="W1822" s="21"/>
      <c r="X1822" s="21"/>
      <c r="Y1822" s="21"/>
      <c r="Z1822" s="21"/>
      <c r="AA1822" s="21"/>
      <c r="AB1822" s="21"/>
      <c r="AC1822" s="21">
        <v>2</v>
      </c>
      <c r="AD1822" s="21"/>
      <c r="AE1822" s="21"/>
      <c r="AF1822" s="21"/>
      <c r="AG1822" s="21"/>
      <c r="AH1822" s="21">
        <v>10</v>
      </c>
      <c r="AI1822" s="21"/>
      <c r="AJ1822" s="21"/>
      <c r="AK1822" s="21"/>
      <c r="AL1822" s="21"/>
      <c r="AM1822" s="21">
        <v>10</v>
      </c>
      <c r="AN1822" s="21">
        <v>2</v>
      </c>
      <c r="AO1822" s="21"/>
      <c r="AP1822" s="21"/>
      <c r="AQ1822" s="21"/>
      <c r="AR1822" s="21"/>
      <c r="AS1822" s="21"/>
      <c r="AT1822" s="12" t="str">
        <f>HYPERLINK("http://www.openstreetmap.org/?mlat=31.4625&amp;mlon=45.2874&amp;zoom=12#map=12/31.4625/45.2874","Maplink1")</f>
        <v>Maplink1</v>
      </c>
      <c r="AU1822" s="12" t="str">
        <f>HYPERLINK("https://www.google.iq/maps/search/+31.4625,45.2874/@31.4625,45.2874,14z?hl=en","Maplink2")</f>
        <v>Maplink2</v>
      </c>
      <c r="AV1822" s="12" t="str">
        <f>HYPERLINK("http://www.bing.com/maps/?lvl=14&amp;sty=h&amp;cp=31.4625~45.2874&amp;sp=point.31.4625_45.2874","Maplink3")</f>
        <v>Maplink3</v>
      </c>
    </row>
    <row r="1823" spans="1:48" ht="15" customHeight="1" x14ac:dyDescent="0.25">
      <c r="A1823" s="19">
        <v>29681</v>
      </c>
      <c r="B1823" s="20" t="s">
        <v>19</v>
      </c>
      <c r="C1823" s="20" t="s">
        <v>3356</v>
      </c>
      <c r="D1823" s="20" t="s">
        <v>3363</v>
      </c>
      <c r="E1823" s="20" t="s">
        <v>3364</v>
      </c>
      <c r="F1823" s="20">
        <v>31.474419999999999</v>
      </c>
      <c r="G1823" s="20">
        <v>45.286620999999997</v>
      </c>
      <c r="H1823" s="22">
        <v>2</v>
      </c>
      <c r="I1823" s="22">
        <v>12</v>
      </c>
      <c r="J1823" s="21"/>
      <c r="K1823" s="21"/>
      <c r="L1823" s="21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>
        <v>2</v>
      </c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21"/>
      <c r="AH1823" s="21">
        <v>2</v>
      </c>
      <c r="AI1823" s="21"/>
      <c r="AJ1823" s="21"/>
      <c r="AK1823" s="21"/>
      <c r="AL1823" s="21"/>
      <c r="AM1823" s="21">
        <v>2</v>
      </c>
      <c r="AN1823" s="21"/>
      <c r="AO1823" s="21"/>
      <c r="AP1823" s="21"/>
      <c r="AQ1823" s="21"/>
      <c r="AR1823" s="21"/>
      <c r="AS1823" s="21"/>
      <c r="AT1823" s="12" t="str">
        <f>HYPERLINK("http://www.openstreetmap.org/?mlat=31.4744&amp;mlon=45.2866&amp;zoom=12#map=12/31.4744/45.2866","Maplink1")</f>
        <v>Maplink1</v>
      </c>
      <c r="AU1823" s="12" t="str">
        <f>HYPERLINK("https://www.google.iq/maps/search/+31.4744,45.2866/@31.4744,45.2866,14z?hl=en","Maplink2")</f>
        <v>Maplink2</v>
      </c>
      <c r="AV1823" s="12" t="str">
        <f>HYPERLINK("http://www.bing.com/maps/?lvl=14&amp;sty=h&amp;cp=31.4744~45.2866&amp;sp=point.31.4744_45.2866","Maplink3")</f>
        <v>Maplink3</v>
      </c>
    </row>
    <row r="1824" spans="1:48" ht="15" customHeight="1" x14ac:dyDescent="0.25">
      <c r="A1824" s="19">
        <v>1888</v>
      </c>
      <c r="B1824" s="20" t="s">
        <v>19</v>
      </c>
      <c r="C1824" s="20" t="s">
        <v>3356</v>
      </c>
      <c r="D1824" s="20" t="s">
        <v>3352</v>
      </c>
      <c r="E1824" s="20" t="s">
        <v>112</v>
      </c>
      <c r="F1824" s="20">
        <v>31.530421749999999</v>
      </c>
      <c r="G1824" s="20">
        <v>45.206252069999998</v>
      </c>
      <c r="H1824" s="22">
        <v>4</v>
      </c>
      <c r="I1824" s="22">
        <v>24</v>
      </c>
      <c r="J1824" s="21">
        <v>2</v>
      </c>
      <c r="K1824" s="21"/>
      <c r="L1824" s="21">
        <v>1</v>
      </c>
      <c r="M1824" s="21"/>
      <c r="N1824" s="21"/>
      <c r="O1824" s="21"/>
      <c r="P1824" s="21"/>
      <c r="Q1824" s="21"/>
      <c r="R1824" s="21"/>
      <c r="S1824" s="21"/>
      <c r="T1824" s="21"/>
      <c r="U1824" s="21"/>
      <c r="V1824" s="21">
        <v>1</v>
      </c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21"/>
      <c r="AH1824" s="21">
        <v>4</v>
      </c>
      <c r="AI1824" s="21"/>
      <c r="AJ1824" s="21"/>
      <c r="AK1824" s="21"/>
      <c r="AL1824" s="21">
        <v>1</v>
      </c>
      <c r="AM1824" s="21">
        <v>1</v>
      </c>
      <c r="AN1824" s="21">
        <v>1</v>
      </c>
      <c r="AO1824" s="21">
        <v>1</v>
      </c>
      <c r="AP1824" s="21"/>
      <c r="AQ1824" s="21"/>
      <c r="AR1824" s="21"/>
      <c r="AS1824" s="21"/>
      <c r="AT1824" s="12" t="str">
        <f>HYPERLINK("http://www.openstreetmap.org/?mlat=31.5304&amp;mlon=45.2063&amp;zoom=12#map=12/31.5304/45.2063","Maplink1")</f>
        <v>Maplink1</v>
      </c>
      <c r="AU1824" s="12" t="str">
        <f>HYPERLINK("https://www.google.iq/maps/search/+31.5304,45.2063/@31.5304,45.2063,14z?hl=en","Maplink2")</f>
        <v>Maplink2</v>
      </c>
      <c r="AV1824" s="12" t="str">
        <f>HYPERLINK("http://www.bing.com/maps/?lvl=14&amp;sty=h&amp;cp=31.5304~45.2063&amp;sp=point.31.5304_45.2063","Maplink3")</f>
        <v>Maplink3</v>
      </c>
    </row>
    <row r="1825" spans="1:48" ht="15" customHeight="1" x14ac:dyDescent="0.25">
      <c r="A1825" s="19">
        <v>1991</v>
      </c>
      <c r="B1825" s="20" t="s">
        <v>19</v>
      </c>
      <c r="C1825" s="20" t="s">
        <v>3356</v>
      </c>
      <c r="D1825" s="20" t="s">
        <v>3365</v>
      </c>
      <c r="E1825" s="20" t="s">
        <v>3366</v>
      </c>
      <c r="F1825" s="20">
        <v>31.538367918700001</v>
      </c>
      <c r="G1825" s="20">
        <v>45.182557180499998</v>
      </c>
      <c r="H1825" s="22">
        <v>5</v>
      </c>
      <c r="I1825" s="22">
        <v>30</v>
      </c>
      <c r="J1825" s="21">
        <v>1</v>
      </c>
      <c r="K1825" s="21"/>
      <c r="L1825" s="21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>
        <v>4</v>
      </c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21"/>
      <c r="AH1825" s="21"/>
      <c r="AI1825" s="21"/>
      <c r="AJ1825" s="21">
        <v>5</v>
      </c>
      <c r="AK1825" s="21"/>
      <c r="AL1825" s="21"/>
      <c r="AM1825" s="21">
        <v>3</v>
      </c>
      <c r="AN1825" s="21"/>
      <c r="AO1825" s="21">
        <v>2</v>
      </c>
      <c r="AP1825" s="21"/>
      <c r="AQ1825" s="21"/>
      <c r="AR1825" s="21"/>
      <c r="AS1825" s="21"/>
      <c r="AT1825" s="12" t="str">
        <f>HYPERLINK("http://www.openstreetmap.org/?mlat=31.5384&amp;mlon=45.1826&amp;zoom=12#map=12/31.5384/45.1826","Maplink1")</f>
        <v>Maplink1</v>
      </c>
      <c r="AU1825" s="12" t="str">
        <f>HYPERLINK("https://www.google.iq/maps/search/+31.5384,45.1826/@31.5384,45.1826,14z?hl=en","Maplink2")</f>
        <v>Maplink2</v>
      </c>
      <c r="AV1825" s="12" t="str">
        <f>HYPERLINK("http://www.bing.com/maps/?lvl=14&amp;sty=h&amp;cp=31.5384~45.1826&amp;sp=point.31.5384_45.1826","Maplink3")</f>
        <v>Maplink3</v>
      </c>
    </row>
    <row r="1826" spans="1:48" ht="15" customHeight="1" x14ac:dyDescent="0.25">
      <c r="A1826" s="19">
        <v>1874</v>
      </c>
      <c r="B1826" s="20" t="s">
        <v>19</v>
      </c>
      <c r="C1826" s="20" t="s">
        <v>3356</v>
      </c>
      <c r="D1826" s="20" t="s">
        <v>3377</v>
      </c>
      <c r="E1826" s="20" t="s">
        <v>121</v>
      </c>
      <c r="F1826" s="20">
        <v>31.530272</v>
      </c>
      <c r="G1826" s="20">
        <v>45.213321000000001</v>
      </c>
      <c r="H1826" s="22">
        <v>3</v>
      </c>
      <c r="I1826" s="22">
        <v>18</v>
      </c>
      <c r="J1826" s="21">
        <v>1</v>
      </c>
      <c r="K1826" s="21"/>
      <c r="L1826" s="21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>
        <v>2</v>
      </c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21"/>
      <c r="AH1826" s="21">
        <v>3</v>
      </c>
      <c r="AI1826" s="21"/>
      <c r="AJ1826" s="21"/>
      <c r="AK1826" s="21"/>
      <c r="AL1826" s="21">
        <v>1</v>
      </c>
      <c r="AM1826" s="21">
        <v>1</v>
      </c>
      <c r="AN1826" s="21"/>
      <c r="AO1826" s="21"/>
      <c r="AP1826" s="21">
        <v>1</v>
      </c>
      <c r="AQ1826" s="21"/>
      <c r="AR1826" s="21"/>
      <c r="AS1826" s="21"/>
      <c r="AT1826" s="12" t="str">
        <f>HYPERLINK("http://www.openstreetmap.org/?mlat=31.5303&amp;mlon=45.2133&amp;zoom=12#map=12/31.5303/45.2133","Maplink1")</f>
        <v>Maplink1</v>
      </c>
      <c r="AU1826" s="12" t="str">
        <f>HYPERLINK("https://www.google.iq/maps/search/+31.5303,45.2133/@31.5303,45.2133,14z?hl=en","Maplink2")</f>
        <v>Maplink2</v>
      </c>
      <c r="AV1826" s="12" t="str">
        <f>HYPERLINK("http://www.bing.com/maps/?lvl=14&amp;sty=h&amp;cp=31.5303~45.2133&amp;sp=point.31.5303_45.2133","Maplink3")</f>
        <v>Maplink3</v>
      </c>
    </row>
    <row r="1827" spans="1:48" ht="15" customHeight="1" x14ac:dyDescent="0.25">
      <c r="A1827" s="19">
        <v>25976</v>
      </c>
      <c r="B1827" s="20" t="s">
        <v>19</v>
      </c>
      <c r="C1827" s="20" t="s">
        <v>3356</v>
      </c>
      <c r="D1827" s="20" t="s">
        <v>3367</v>
      </c>
      <c r="E1827" s="20" t="s">
        <v>121</v>
      </c>
      <c r="F1827" s="20">
        <v>31.468282219999999</v>
      </c>
      <c r="G1827" s="20">
        <v>45.290940390000003</v>
      </c>
      <c r="H1827" s="22">
        <v>8</v>
      </c>
      <c r="I1827" s="22">
        <v>48</v>
      </c>
      <c r="J1827" s="21"/>
      <c r="K1827" s="21"/>
      <c r="L1827" s="21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>
        <v>8</v>
      </c>
      <c r="W1827" s="21"/>
      <c r="X1827" s="21"/>
      <c r="Y1827" s="21"/>
      <c r="Z1827" s="21"/>
      <c r="AA1827" s="21"/>
      <c r="AB1827" s="21"/>
      <c r="AC1827" s="21">
        <v>1</v>
      </c>
      <c r="AD1827" s="21"/>
      <c r="AE1827" s="21"/>
      <c r="AF1827" s="21"/>
      <c r="AG1827" s="21">
        <v>1</v>
      </c>
      <c r="AH1827" s="21">
        <v>6</v>
      </c>
      <c r="AI1827" s="21"/>
      <c r="AJ1827" s="21"/>
      <c r="AK1827" s="21"/>
      <c r="AL1827" s="21"/>
      <c r="AM1827" s="21">
        <v>7</v>
      </c>
      <c r="AN1827" s="21">
        <v>1</v>
      </c>
      <c r="AO1827" s="21"/>
      <c r="AP1827" s="21"/>
      <c r="AQ1827" s="21"/>
      <c r="AR1827" s="21"/>
      <c r="AS1827" s="21"/>
      <c r="AT1827" s="12" t="str">
        <f>HYPERLINK("http://www.openstreetmap.org/?mlat=31.4683&amp;mlon=45.2909&amp;zoom=12#map=12/31.4683/45.2909","Maplink1")</f>
        <v>Maplink1</v>
      </c>
      <c r="AU1827" s="12" t="str">
        <f>HYPERLINK("https://www.google.iq/maps/search/+31.4683,45.2909/@31.4683,45.2909,14z?hl=en","Maplink2")</f>
        <v>Maplink2</v>
      </c>
      <c r="AV1827" s="12" t="str">
        <f>HYPERLINK("http://www.bing.com/maps/?lvl=14&amp;sty=h&amp;cp=31.4683~45.2909&amp;sp=point.31.4683_45.2909","Maplink3")</f>
        <v>Maplink3</v>
      </c>
    </row>
    <row r="1828" spans="1:48" ht="15" customHeight="1" x14ac:dyDescent="0.25">
      <c r="A1828" s="19">
        <v>1885</v>
      </c>
      <c r="B1828" s="20" t="s">
        <v>19</v>
      </c>
      <c r="C1828" s="20" t="s">
        <v>3356</v>
      </c>
      <c r="D1828" s="20" t="s">
        <v>3368</v>
      </c>
      <c r="E1828" s="20" t="s">
        <v>318</v>
      </c>
      <c r="F1828" s="20">
        <v>31.52805562</v>
      </c>
      <c r="G1828" s="20">
        <v>45.204658500000001</v>
      </c>
      <c r="H1828" s="22">
        <v>4</v>
      </c>
      <c r="I1828" s="22">
        <v>24</v>
      </c>
      <c r="J1828" s="21"/>
      <c r="K1828" s="21"/>
      <c r="L1828" s="21">
        <v>2</v>
      </c>
      <c r="M1828" s="21"/>
      <c r="N1828" s="21"/>
      <c r="O1828" s="21"/>
      <c r="P1828" s="21"/>
      <c r="Q1828" s="21"/>
      <c r="R1828" s="21"/>
      <c r="S1828" s="21"/>
      <c r="T1828" s="21"/>
      <c r="U1828" s="21"/>
      <c r="V1828" s="21">
        <v>2</v>
      </c>
      <c r="W1828" s="21"/>
      <c r="X1828" s="21"/>
      <c r="Y1828" s="21"/>
      <c r="Z1828" s="21"/>
      <c r="AA1828" s="21"/>
      <c r="AB1828" s="21"/>
      <c r="AC1828" s="21">
        <v>3</v>
      </c>
      <c r="AD1828" s="21"/>
      <c r="AE1828" s="21"/>
      <c r="AF1828" s="21"/>
      <c r="AG1828" s="21"/>
      <c r="AH1828" s="21">
        <v>1</v>
      </c>
      <c r="AI1828" s="21"/>
      <c r="AJ1828" s="21"/>
      <c r="AK1828" s="21"/>
      <c r="AL1828" s="21">
        <v>1</v>
      </c>
      <c r="AM1828" s="21">
        <v>2</v>
      </c>
      <c r="AN1828" s="21">
        <v>1</v>
      </c>
      <c r="AO1828" s="21"/>
      <c r="AP1828" s="21"/>
      <c r="AQ1828" s="21"/>
      <c r="AR1828" s="21"/>
      <c r="AS1828" s="21"/>
      <c r="AT1828" s="12" t="str">
        <f>HYPERLINK("http://www.openstreetmap.org/?mlat=31.5281&amp;mlon=45.2047&amp;zoom=12#map=12/31.5281/45.2047","Maplink1")</f>
        <v>Maplink1</v>
      </c>
      <c r="AU1828" s="12" t="str">
        <f>HYPERLINK("https://www.google.iq/maps/search/+31.5281,45.2047/@31.5281,45.2047,14z?hl=en","Maplink2")</f>
        <v>Maplink2</v>
      </c>
      <c r="AV1828" s="12" t="str">
        <f>HYPERLINK("http://www.bing.com/maps/?lvl=14&amp;sty=h&amp;cp=31.5281~45.2047&amp;sp=point.31.5281_45.2047","Maplink3")</f>
        <v>Maplink3</v>
      </c>
    </row>
    <row r="1829" spans="1:48" ht="15" customHeight="1" x14ac:dyDescent="0.25">
      <c r="A1829" s="19">
        <v>1609</v>
      </c>
      <c r="B1829" s="20" t="s">
        <v>19</v>
      </c>
      <c r="C1829" s="20" t="s">
        <v>3369</v>
      </c>
      <c r="D1829" s="20" t="s">
        <v>5717</v>
      </c>
      <c r="E1829" s="20" t="s">
        <v>5718</v>
      </c>
      <c r="F1829" s="20">
        <v>31.320573</v>
      </c>
      <c r="G1829" s="20">
        <v>45.277253000000002</v>
      </c>
      <c r="H1829" s="22">
        <v>1</v>
      </c>
      <c r="I1829" s="22">
        <v>6</v>
      </c>
      <c r="J1829" s="21"/>
      <c r="K1829" s="21"/>
      <c r="L1829" s="21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>
        <v>1</v>
      </c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21">
        <v>1</v>
      </c>
      <c r="AH1829" s="21"/>
      <c r="AI1829" s="21"/>
      <c r="AJ1829" s="21"/>
      <c r="AK1829" s="21"/>
      <c r="AL1829" s="21"/>
      <c r="AM1829" s="21"/>
      <c r="AN1829" s="21">
        <v>1</v>
      </c>
      <c r="AO1829" s="21"/>
      <c r="AP1829" s="21"/>
      <c r="AQ1829" s="21"/>
      <c r="AR1829" s="21"/>
      <c r="AS1829" s="21"/>
      <c r="AT1829" s="12" t="str">
        <f>HYPERLINK("http://www.openstreetmap.org/?mlat=31.3206&amp;mlon=45.2773&amp;zoom=12#map=12/31.3206/45.2773","Maplink1")</f>
        <v>Maplink1</v>
      </c>
      <c r="AU1829" s="12" t="str">
        <f>HYPERLINK("https://www.google.iq/maps/search/+31.3206,45.2773/@31.3206,45.2773,14z?hl=en","Maplink2")</f>
        <v>Maplink2</v>
      </c>
      <c r="AV1829" s="12" t="str">
        <f>HYPERLINK("http://www.bing.com/maps/?lvl=14&amp;sty=h&amp;cp=31.3206~45.2773&amp;sp=point.31.3206_45.2773","Maplink3")</f>
        <v>Maplink3</v>
      </c>
    </row>
    <row r="1830" spans="1:48" ht="15" customHeight="1" x14ac:dyDescent="0.25">
      <c r="A1830" s="19">
        <v>26083</v>
      </c>
      <c r="B1830" s="20" t="s">
        <v>19</v>
      </c>
      <c r="C1830" s="20" t="s">
        <v>3369</v>
      </c>
      <c r="D1830" s="20" t="s">
        <v>3370</v>
      </c>
      <c r="E1830" s="20" t="s">
        <v>3371</v>
      </c>
      <c r="F1830" s="20">
        <v>31.2643506</v>
      </c>
      <c r="G1830" s="20">
        <v>45.067891320000001</v>
      </c>
      <c r="H1830" s="22">
        <v>1</v>
      </c>
      <c r="I1830" s="22">
        <v>6</v>
      </c>
      <c r="J1830" s="21">
        <v>1</v>
      </c>
      <c r="K1830" s="21"/>
      <c r="L1830" s="21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>
        <v>1</v>
      </c>
      <c r="AD1830" s="21"/>
      <c r="AE1830" s="21"/>
      <c r="AF1830" s="21"/>
      <c r="AG1830" s="21"/>
      <c r="AH1830" s="21"/>
      <c r="AI1830" s="21"/>
      <c r="AJ1830" s="21"/>
      <c r="AK1830" s="21"/>
      <c r="AL1830" s="21"/>
      <c r="AM1830" s="21"/>
      <c r="AN1830" s="21"/>
      <c r="AO1830" s="21"/>
      <c r="AP1830" s="21">
        <v>1</v>
      </c>
      <c r="AQ1830" s="21"/>
      <c r="AR1830" s="21"/>
      <c r="AS1830" s="21"/>
      <c r="AT1830" s="12" t="str">
        <f>HYPERLINK("http://www.openstreetmap.org/?mlat=31.2644&amp;mlon=45.0679&amp;zoom=12#map=12/31.2644/45.0679","Maplink1")</f>
        <v>Maplink1</v>
      </c>
      <c r="AU1830" s="12" t="str">
        <f>HYPERLINK("https://www.google.iq/maps/search/+31.2644,45.0679/@31.2644,45.0679,14z?hl=en","Maplink2")</f>
        <v>Maplink2</v>
      </c>
      <c r="AV1830" s="12" t="str">
        <f>HYPERLINK("http://www.bing.com/maps/?lvl=14&amp;sty=h&amp;cp=31.2644~45.0679&amp;sp=point.31.2644_45.0679","Maplink3")</f>
        <v>Maplink3</v>
      </c>
    </row>
    <row r="1831" spans="1:48" ht="15" customHeight="1" x14ac:dyDescent="0.25">
      <c r="A1831" s="19">
        <v>25496</v>
      </c>
      <c r="B1831" s="20" t="s">
        <v>19</v>
      </c>
      <c r="C1831" s="20" t="s">
        <v>3369</v>
      </c>
      <c r="D1831" s="20" t="s">
        <v>5719</v>
      </c>
      <c r="E1831" s="20" t="s">
        <v>5720</v>
      </c>
      <c r="F1831" s="20">
        <v>31.28498617</v>
      </c>
      <c r="G1831" s="20">
        <v>45.297143660000003</v>
      </c>
      <c r="H1831" s="22">
        <v>2</v>
      </c>
      <c r="I1831" s="22">
        <v>12</v>
      </c>
      <c r="J1831" s="21"/>
      <c r="K1831" s="21"/>
      <c r="L1831" s="21"/>
      <c r="M1831" s="21"/>
      <c r="N1831" s="21"/>
      <c r="O1831" s="21"/>
      <c r="P1831" s="21"/>
      <c r="Q1831" s="21"/>
      <c r="R1831" s="21">
        <v>2</v>
      </c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>
        <v>2</v>
      </c>
      <c r="AD1831" s="21"/>
      <c r="AE1831" s="21"/>
      <c r="AF1831" s="21"/>
      <c r="AG1831" s="21"/>
      <c r="AH1831" s="21"/>
      <c r="AI1831" s="21"/>
      <c r="AJ1831" s="21"/>
      <c r="AK1831" s="21"/>
      <c r="AL1831" s="21"/>
      <c r="AM1831" s="21">
        <v>2</v>
      </c>
      <c r="AN1831" s="21"/>
      <c r="AO1831" s="21"/>
      <c r="AP1831" s="21"/>
      <c r="AQ1831" s="21"/>
      <c r="AR1831" s="21"/>
      <c r="AS1831" s="21"/>
      <c r="AT1831" s="12" t="str">
        <f>HYPERLINK("http://www.openstreetmap.org/?mlat=31.285&amp;mlon=45.2971&amp;zoom=12#map=12/31.285/45.2971","Maplink1")</f>
        <v>Maplink1</v>
      </c>
      <c r="AU1831" s="12" t="str">
        <f>HYPERLINK("https://www.google.iq/maps/search/+31.285,45.2971/@31.285,45.2971,14z?hl=en","Maplink2")</f>
        <v>Maplink2</v>
      </c>
      <c r="AV1831" s="12" t="str">
        <f>HYPERLINK("http://www.bing.com/maps/?lvl=14&amp;sty=h&amp;cp=31.285~45.2971&amp;sp=point.31.285_45.2971","Maplink3")</f>
        <v>Maplink3</v>
      </c>
    </row>
    <row r="1832" spans="1:48" ht="15" customHeight="1" x14ac:dyDescent="0.25">
      <c r="A1832" s="19">
        <v>25430</v>
      </c>
      <c r="B1832" s="20" t="s">
        <v>19</v>
      </c>
      <c r="C1832" s="20" t="s">
        <v>3369</v>
      </c>
      <c r="D1832" s="20" t="s">
        <v>3361</v>
      </c>
      <c r="E1832" s="20" t="s">
        <v>3362</v>
      </c>
      <c r="F1832" s="20">
        <v>31.34463598</v>
      </c>
      <c r="G1832" s="20">
        <v>45.29342595</v>
      </c>
      <c r="H1832" s="22">
        <v>29</v>
      </c>
      <c r="I1832" s="22">
        <v>174</v>
      </c>
      <c r="J1832" s="21"/>
      <c r="K1832" s="21"/>
      <c r="L1832" s="21">
        <v>1</v>
      </c>
      <c r="M1832" s="21"/>
      <c r="N1832" s="21"/>
      <c r="O1832" s="21">
        <v>1</v>
      </c>
      <c r="P1832" s="21"/>
      <c r="Q1832" s="21"/>
      <c r="R1832" s="21">
        <v>1</v>
      </c>
      <c r="S1832" s="21"/>
      <c r="T1832" s="21"/>
      <c r="U1832" s="21"/>
      <c r="V1832" s="21">
        <v>26</v>
      </c>
      <c r="W1832" s="21"/>
      <c r="X1832" s="21"/>
      <c r="Y1832" s="21"/>
      <c r="Z1832" s="21"/>
      <c r="AA1832" s="21"/>
      <c r="AB1832" s="21"/>
      <c r="AC1832" s="21">
        <v>12</v>
      </c>
      <c r="AD1832" s="21"/>
      <c r="AE1832" s="21"/>
      <c r="AF1832" s="21"/>
      <c r="AG1832" s="21"/>
      <c r="AH1832" s="21">
        <v>17</v>
      </c>
      <c r="AI1832" s="21"/>
      <c r="AJ1832" s="21"/>
      <c r="AK1832" s="21"/>
      <c r="AL1832" s="21">
        <v>1</v>
      </c>
      <c r="AM1832" s="21">
        <v>11</v>
      </c>
      <c r="AN1832" s="21">
        <v>7</v>
      </c>
      <c r="AO1832" s="21">
        <v>2</v>
      </c>
      <c r="AP1832" s="21">
        <v>4</v>
      </c>
      <c r="AQ1832" s="21"/>
      <c r="AR1832" s="21">
        <v>4</v>
      </c>
      <c r="AS1832" s="21"/>
      <c r="AT1832" s="12" t="str">
        <f>HYPERLINK("http://www.openstreetmap.org/?mlat=31.3446&amp;mlon=45.2934&amp;zoom=12#map=12/31.3446/45.2934","Maplink1")</f>
        <v>Maplink1</v>
      </c>
      <c r="AU1832" s="12" t="str">
        <f>HYPERLINK("https://www.google.iq/maps/search/+31.3446,45.2934/@31.3446,45.2934,14z?hl=en","Maplink2")</f>
        <v>Maplink2</v>
      </c>
      <c r="AV1832" s="12" t="str">
        <f>HYPERLINK("http://www.bing.com/maps/?lvl=14&amp;sty=h&amp;cp=31.3446~45.2934&amp;sp=point.31.3446_45.2934","Maplink3")</f>
        <v>Maplink3</v>
      </c>
    </row>
    <row r="1833" spans="1:48" ht="15" customHeight="1" x14ac:dyDescent="0.25">
      <c r="A1833" s="19">
        <v>1492</v>
      </c>
      <c r="B1833" s="20" t="s">
        <v>19</v>
      </c>
      <c r="C1833" s="20" t="s">
        <v>3369</v>
      </c>
      <c r="D1833" s="20" t="s">
        <v>6152</v>
      </c>
      <c r="E1833" s="20" t="s">
        <v>6153</v>
      </c>
      <c r="F1833" s="20">
        <v>31.305053699999998</v>
      </c>
      <c r="G1833" s="20">
        <v>45.278178269999998</v>
      </c>
      <c r="H1833" s="22">
        <v>1</v>
      </c>
      <c r="I1833" s="22">
        <v>6</v>
      </c>
      <c r="J1833" s="21"/>
      <c r="K1833" s="21"/>
      <c r="L1833" s="21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>
        <v>1</v>
      </c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21"/>
      <c r="AH1833" s="21">
        <v>1</v>
      </c>
      <c r="AI1833" s="21"/>
      <c r="AJ1833" s="21"/>
      <c r="AK1833" s="21"/>
      <c r="AL1833" s="21"/>
      <c r="AM1833" s="21"/>
      <c r="AN1833" s="21"/>
      <c r="AO1833" s="21">
        <v>1</v>
      </c>
      <c r="AP1833" s="21"/>
      <c r="AQ1833" s="21"/>
      <c r="AR1833" s="21"/>
      <c r="AS1833" s="21"/>
      <c r="AT1833" s="12" t="str">
        <f>HYPERLINK("http://www.openstreetmap.org/?mlat=31.3051&amp;mlon=45.2782&amp;zoom=12#map=12/31.3051/45.2782","Maplink1")</f>
        <v>Maplink1</v>
      </c>
      <c r="AU1833" s="12" t="str">
        <f>HYPERLINK("https://www.google.iq/maps/search/+31.3051,45.2782/@31.3051,45.2782,14z?hl=en","Maplink2")</f>
        <v>Maplink2</v>
      </c>
      <c r="AV1833" s="12" t="str">
        <f>HYPERLINK("http://www.bing.com/maps/?lvl=14&amp;sty=h&amp;cp=31.3051~45.2782&amp;sp=point.31.3051_45.2782","Maplink3")</f>
        <v>Maplink3</v>
      </c>
    </row>
    <row r="1834" spans="1:48" ht="15" customHeight="1" x14ac:dyDescent="0.25">
      <c r="A1834" s="19">
        <v>33239</v>
      </c>
      <c r="B1834" s="20" t="s">
        <v>19</v>
      </c>
      <c r="C1834" s="20" t="s">
        <v>3369</v>
      </c>
      <c r="D1834" s="20" t="s">
        <v>5721</v>
      </c>
      <c r="E1834" s="20" t="s">
        <v>5722</v>
      </c>
      <c r="F1834" s="20">
        <v>31.286754999999999</v>
      </c>
      <c r="G1834" s="20">
        <v>45.307192000000001</v>
      </c>
      <c r="H1834" s="22">
        <v>4</v>
      </c>
      <c r="I1834" s="22">
        <v>24</v>
      </c>
      <c r="J1834" s="21"/>
      <c r="K1834" s="21"/>
      <c r="L1834" s="21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>
        <v>4</v>
      </c>
      <c r="W1834" s="21"/>
      <c r="X1834" s="21"/>
      <c r="Y1834" s="21"/>
      <c r="Z1834" s="21"/>
      <c r="AA1834" s="21"/>
      <c r="AB1834" s="21"/>
      <c r="AC1834" s="21">
        <v>3</v>
      </c>
      <c r="AD1834" s="21"/>
      <c r="AE1834" s="21"/>
      <c r="AF1834" s="21"/>
      <c r="AG1834" s="21">
        <v>1</v>
      </c>
      <c r="AH1834" s="21"/>
      <c r="AI1834" s="21"/>
      <c r="AJ1834" s="21"/>
      <c r="AK1834" s="21"/>
      <c r="AL1834" s="21"/>
      <c r="AM1834" s="21"/>
      <c r="AN1834" s="21">
        <v>4</v>
      </c>
      <c r="AO1834" s="21"/>
      <c r="AP1834" s="21"/>
      <c r="AQ1834" s="21"/>
      <c r="AR1834" s="21"/>
      <c r="AS1834" s="21"/>
      <c r="AT1834" s="12" t="str">
        <f>HYPERLINK("http://www.openstreetmap.org/?mlat=31.2868&amp;mlon=45.3072&amp;zoom=12#map=12/31.2868/45.3072","Maplink1")</f>
        <v>Maplink1</v>
      </c>
      <c r="AU1834" s="12" t="str">
        <f>HYPERLINK("https://www.google.iq/maps/search/+31.2868,45.3072/@31.2868,45.3072,14z?hl=en","Maplink2")</f>
        <v>Maplink2</v>
      </c>
      <c r="AV1834" s="12" t="str">
        <f>HYPERLINK("http://www.bing.com/maps/?lvl=14&amp;sty=h&amp;cp=31.2868~45.3072&amp;sp=point.31.2868_45.3072","Maplink3")</f>
        <v>Maplink3</v>
      </c>
    </row>
    <row r="1835" spans="1:48" ht="15" customHeight="1" x14ac:dyDescent="0.25">
      <c r="A1835" s="19">
        <v>2033</v>
      </c>
      <c r="B1835" s="20" t="s">
        <v>19</v>
      </c>
      <c r="C1835" s="20" t="s">
        <v>3369</v>
      </c>
      <c r="D1835" s="20" t="s">
        <v>3372</v>
      </c>
      <c r="E1835" s="20" t="s">
        <v>3373</v>
      </c>
      <c r="F1835" s="20">
        <v>31.272609450000001</v>
      </c>
      <c r="G1835" s="20">
        <v>45.267340799999999</v>
      </c>
      <c r="H1835" s="22">
        <v>6</v>
      </c>
      <c r="I1835" s="22">
        <v>36</v>
      </c>
      <c r="J1835" s="21">
        <v>1</v>
      </c>
      <c r="K1835" s="21"/>
      <c r="L1835" s="21">
        <v>1</v>
      </c>
      <c r="M1835" s="21"/>
      <c r="N1835" s="21"/>
      <c r="O1835" s="21"/>
      <c r="P1835" s="21"/>
      <c r="Q1835" s="21"/>
      <c r="R1835" s="21">
        <v>1</v>
      </c>
      <c r="S1835" s="21"/>
      <c r="T1835" s="21"/>
      <c r="U1835" s="21"/>
      <c r="V1835" s="21">
        <v>2</v>
      </c>
      <c r="W1835" s="21"/>
      <c r="X1835" s="21">
        <v>1</v>
      </c>
      <c r="Y1835" s="21"/>
      <c r="Z1835" s="21"/>
      <c r="AA1835" s="21"/>
      <c r="AB1835" s="21"/>
      <c r="AC1835" s="21">
        <v>1</v>
      </c>
      <c r="AD1835" s="21"/>
      <c r="AE1835" s="21"/>
      <c r="AF1835" s="21"/>
      <c r="AG1835" s="21"/>
      <c r="AH1835" s="21">
        <v>5</v>
      </c>
      <c r="AI1835" s="21"/>
      <c r="AJ1835" s="21"/>
      <c r="AK1835" s="21"/>
      <c r="AL1835" s="21"/>
      <c r="AM1835" s="21">
        <v>4</v>
      </c>
      <c r="AN1835" s="21"/>
      <c r="AO1835" s="21"/>
      <c r="AP1835" s="21">
        <v>2</v>
      </c>
      <c r="AQ1835" s="21"/>
      <c r="AR1835" s="21"/>
      <c r="AS1835" s="21"/>
      <c r="AT1835" s="12" t="str">
        <f>HYPERLINK("http://www.openstreetmap.org/?mlat=31.2726&amp;mlon=45.2673&amp;zoom=12#map=12/31.2726/45.2673","Maplink1")</f>
        <v>Maplink1</v>
      </c>
      <c r="AU1835" s="12" t="str">
        <f>HYPERLINK("https://www.google.iq/maps/search/+31.2726,45.2673/@31.2726,45.2673,14z?hl=en","Maplink2")</f>
        <v>Maplink2</v>
      </c>
      <c r="AV1835" s="12" t="str">
        <f>HYPERLINK("http://www.bing.com/maps/?lvl=14&amp;sty=h&amp;cp=31.2726~45.2673&amp;sp=point.31.2726_45.2673","Maplink3")</f>
        <v>Maplink3</v>
      </c>
    </row>
    <row r="1836" spans="1:48" ht="15" customHeight="1" x14ac:dyDescent="0.25">
      <c r="A1836" s="19">
        <v>1480</v>
      </c>
      <c r="B1836" s="20" t="s">
        <v>19</v>
      </c>
      <c r="C1836" s="20" t="s">
        <v>3369</v>
      </c>
      <c r="D1836" s="20" t="s">
        <v>3374</v>
      </c>
      <c r="E1836" s="20" t="s">
        <v>112</v>
      </c>
      <c r="F1836" s="20">
        <v>31.30334375</v>
      </c>
      <c r="G1836" s="20">
        <v>45.259452840000002</v>
      </c>
      <c r="H1836" s="22">
        <v>7</v>
      </c>
      <c r="I1836" s="22">
        <v>42</v>
      </c>
      <c r="J1836" s="21">
        <v>4</v>
      </c>
      <c r="K1836" s="21"/>
      <c r="L1836" s="21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>
        <v>1</v>
      </c>
      <c r="W1836" s="21"/>
      <c r="X1836" s="21">
        <v>2</v>
      </c>
      <c r="Y1836" s="21"/>
      <c r="Z1836" s="21"/>
      <c r="AA1836" s="21"/>
      <c r="AB1836" s="21"/>
      <c r="AC1836" s="21">
        <v>3</v>
      </c>
      <c r="AD1836" s="21"/>
      <c r="AE1836" s="21"/>
      <c r="AF1836" s="21"/>
      <c r="AG1836" s="21"/>
      <c r="AH1836" s="21">
        <v>4</v>
      </c>
      <c r="AI1836" s="21"/>
      <c r="AJ1836" s="21"/>
      <c r="AK1836" s="21"/>
      <c r="AL1836" s="21"/>
      <c r="AM1836" s="21">
        <v>1</v>
      </c>
      <c r="AN1836" s="21">
        <v>1</v>
      </c>
      <c r="AO1836" s="21">
        <v>4</v>
      </c>
      <c r="AP1836" s="21">
        <v>1</v>
      </c>
      <c r="AQ1836" s="21"/>
      <c r="AR1836" s="21"/>
      <c r="AS1836" s="21"/>
      <c r="AT1836" s="12" t="str">
        <f>HYPERLINK("http://www.openstreetmap.org/?mlat=31.3033&amp;mlon=45.2595&amp;zoom=12#map=12/31.3033/45.2595","Maplink1")</f>
        <v>Maplink1</v>
      </c>
      <c r="AU1836" s="12" t="str">
        <f>HYPERLINK("https://www.google.iq/maps/search/+31.3033,45.2595/@31.3033,45.2595,14z?hl=en","Maplink2")</f>
        <v>Maplink2</v>
      </c>
      <c r="AV1836" s="12" t="str">
        <f>HYPERLINK("http://www.bing.com/maps/?lvl=14&amp;sty=h&amp;cp=31.3033~45.2595&amp;sp=point.31.3033_45.2595","Maplink3")</f>
        <v>Maplink3</v>
      </c>
    </row>
    <row r="1837" spans="1:48" ht="15" customHeight="1" x14ac:dyDescent="0.25">
      <c r="A1837" s="19">
        <v>25784</v>
      </c>
      <c r="B1837" s="20" t="s">
        <v>19</v>
      </c>
      <c r="C1837" s="20" t="s">
        <v>3369</v>
      </c>
      <c r="D1837" s="20" t="s">
        <v>3375</v>
      </c>
      <c r="E1837" s="20" t="s">
        <v>3376</v>
      </c>
      <c r="F1837" s="20">
        <v>31.300145560000001</v>
      </c>
      <c r="G1837" s="20">
        <v>45.273659420000001</v>
      </c>
      <c r="H1837" s="22">
        <v>6</v>
      </c>
      <c r="I1837" s="22">
        <v>36</v>
      </c>
      <c r="J1837" s="21"/>
      <c r="K1837" s="21"/>
      <c r="L1837" s="21">
        <v>2</v>
      </c>
      <c r="M1837" s="21"/>
      <c r="N1837" s="21"/>
      <c r="O1837" s="21">
        <v>1</v>
      </c>
      <c r="P1837" s="21"/>
      <c r="Q1837" s="21"/>
      <c r="R1837" s="21"/>
      <c r="S1837" s="21"/>
      <c r="T1837" s="21"/>
      <c r="U1837" s="21"/>
      <c r="V1837" s="21">
        <v>2</v>
      </c>
      <c r="W1837" s="21"/>
      <c r="X1837" s="21">
        <v>1</v>
      </c>
      <c r="Y1837" s="21"/>
      <c r="Z1837" s="21"/>
      <c r="AA1837" s="21"/>
      <c r="AB1837" s="21"/>
      <c r="AC1837" s="21">
        <v>1</v>
      </c>
      <c r="AD1837" s="21"/>
      <c r="AE1837" s="21"/>
      <c r="AF1837" s="21"/>
      <c r="AG1837" s="21"/>
      <c r="AH1837" s="21">
        <v>5</v>
      </c>
      <c r="AI1837" s="21"/>
      <c r="AJ1837" s="21"/>
      <c r="AK1837" s="21"/>
      <c r="AL1837" s="21"/>
      <c r="AM1837" s="21">
        <v>3</v>
      </c>
      <c r="AN1837" s="21">
        <v>2</v>
      </c>
      <c r="AO1837" s="21">
        <v>1</v>
      </c>
      <c r="AP1837" s="21"/>
      <c r="AQ1837" s="21"/>
      <c r="AR1837" s="21"/>
      <c r="AS1837" s="21"/>
      <c r="AT1837" s="12" t="str">
        <f>HYPERLINK("http://www.openstreetmap.org/?mlat=31.3001&amp;mlon=45.2737&amp;zoom=12#map=12/31.3001/45.2737","Maplink1")</f>
        <v>Maplink1</v>
      </c>
      <c r="AU1837" s="12" t="str">
        <f>HYPERLINK("https://www.google.iq/maps/search/+31.3001,45.2737/@31.3001,45.2737,14z?hl=en","Maplink2")</f>
        <v>Maplink2</v>
      </c>
      <c r="AV1837" s="12" t="str">
        <f>HYPERLINK("http://www.bing.com/maps/?lvl=14&amp;sty=h&amp;cp=31.3001~45.2737&amp;sp=point.31.3001_45.2737","Maplink3")</f>
        <v>Maplink3</v>
      </c>
    </row>
    <row r="1838" spans="1:48" ht="15" customHeight="1" x14ac:dyDescent="0.25">
      <c r="A1838" s="19">
        <v>1583</v>
      </c>
      <c r="B1838" s="20" t="s">
        <v>19</v>
      </c>
      <c r="C1838" s="20" t="s">
        <v>3369</v>
      </c>
      <c r="D1838" s="20" t="s">
        <v>5723</v>
      </c>
      <c r="E1838" s="20" t="s">
        <v>5724</v>
      </c>
      <c r="F1838" s="20">
        <v>31.311447000000001</v>
      </c>
      <c r="G1838" s="20">
        <v>45.289447000000003</v>
      </c>
      <c r="H1838" s="22">
        <v>2</v>
      </c>
      <c r="I1838" s="22">
        <v>12</v>
      </c>
      <c r="J1838" s="21"/>
      <c r="K1838" s="21"/>
      <c r="L1838" s="21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>
        <v>2</v>
      </c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21"/>
      <c r="AH1838" s="21">
        <v>2</v>
      </c>
      <c r="AI1838" s="21"/>
      <c r="AJ1838" s="21"/>
      <c r="AK1838" s="21"/>
      <c r="AL1838" s="21"/>
      <c r="AM1838" s="21"/>
      <c r="AN1838" s="21">
        <v>2</v>
      </c>
      <c r="AO1838" s="21"/>
      <c r="AP1838" s="21"/>
      <c r="AQ1838" s="21"/>
      <c r="AR1838" s="21"/>
      <c r="AS1838" s="21"/>
      <c r="AT1838" s="12" t="str">
        <f>HYPERLINK("http://www.openstreetmap.org/?mlat=31.3114&amp;mlon=45.2894&amp;zoom=12#map=12/31.3114/45.2894","Maplink1")</f>
        <v>Maplink1</v>
      </c>
      <c r="AU1838" s="12" t="str">
        <f>HYPERLINK("https://www.google.iq/maps/search/+31.3114,45.2894/@31.3114,45.2894,14z?hl=en","Maplink2")</f>
        <v>Maplink2</v>
      </c>
      <c r="AV1838" s="12" t="str">
        <f>HYPERLINK("http://www.bing.com/maps/?lvl=14&amp;sty=h&amp;cp=31.3114~45.2894&amp;sp=point.31.3114_45.2894","Maplink3")</f>
        <v>Maplink3</v>
      </c>
    </row>
    <row r="1839" spans="1:48" ht="15" customHeight="1" x14ac:dyDescent="0.25">
      <c r="A1839" s="19">
        <v>21433</v>
      </c>
      <c r="B1839" s="20" t="s">
        <v>19</v>
      </c>
      <c r="C1839" s="20" t="s">
        <v>3369</v>
      </c>
      <c r="D1839" s="20" t="s">
        <v>3377</v>
      </c>
      <c r="E1839" s="20" t="s">
        <v>121</v>
      </c>
      <c r="F1839" s="20">
        <v>31.30727336</v>
      </c>
      <c r="G1839" s="20">
        <v>45.29917502</v>
      </c>
      <c r="H1839" s="22">
        <v>3</v>
      </c>
      <c r="I1839" s="22">
        <v>18</v>
      </c>
      <c r="J1839" s="21"/>
      <c r="K1839" s="21"/>
      <c r="L1839" s="21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>
        <v>3</v>
      </c>
      <c r="W1839" s="21"/>
      <c r="X1839" s="21"/>
      <c r="Y1839" s="21"/>
      <c r="Z1839" s="21"/>
      <c r="AA1839" s="21"/>
      <c r="AB1839" s="21"/>
      <c r="AC1839" s="21">
        <v>1</v>
      </c>
      <c r="AD1839" s="21"/>
      <c r="AE1839" s="21"/>
      <c r="AF1839" s="21"/>
      <c r="AG1839" s="21"/>
      <c r="AH1839" s="21">
        <v>2</v>
      </c>
      <c r="AI1839" s="21"/>
      <c r="AJ1839" s="21"/>
      <c r="AK1839" s="21"/>
      <c r="AL1839" s="21"/>
      <c r="AM1839" s="21"/>
      <c r="AN1839" s="21">
        <v>2</v>
      </c>
      <c r="AO1839" s="21">
        <v>1</v>
      </c>
      <c r="AP1839" s="21"/>
      <c r="AQ1839" s="21"/>
      <c r="AR1839" s="21"/>
      <c r="AS1839" s="21"/>
      <c r="AT1839" s="12" t="str">
        <f>HYPERLINK("http://www.openstreetmap.org/?mlat=31.3073&amp;mlon=45.2992&amp;zoom=12#map=12/31.3073/45.2992","Maplink1")</f>
        <v>Maplink1</v>
      </c>
      <c r="AU1839" s="12" t="str">
        <f>HYPERLINK("https://www.google.iq/maps/search/+31.3073,45.2992/@31.3073,45.2992,14z?hl=en","Maplink2")</f>
        <v>Maplink2</v>
      </c>
      <c r="AV1839" s="12" t="str">
        <f>HYPERLINK("http://www.bing.com/maps/?lvl=14&amp;sty=h&amp;cp=31.3073~45.2992&amp;sp=point.31.3073_45.2992","Maplink3")</f>
        <v>Maplink3</v>
      </c>
    </row>
    <row r="1840" spans="1:48" ht="15" customHeight="1" x14ac:dyDescent="0.25">
      <c r="A1840" s="19">
        <v>33240</v>
      </c>
      <c r="B1840" s="20" t="s">
        <v>19</v>
      </c>
      <c r="C1840" s="20" t="s">
        <v>3369</v>
      </c>
      <c r="D1840" s="20" t="s">
        <v>5725</v>
      </c>
      <c r="E1840" s="20" t="s">
        <v>5726</v>
      </c>
      <c r="F1840" s="20">
        <v>31.210494000000001</v>
      </c>
      <c r="G1840" s="20">
        <v>45.472338999999998</v>
      </c>
      <c r="H1840" s="22">
        <v>1</v>
      </c>
      <c r="I1840" s="22">
        <v>6</v>
      </c>
      <c r="J1840" s="21"/>
      <c r="K1840" s="21"/>
      <c r="L1840" s="21"/>
      <c r="M1840" s="21"/>
      <c r="N1840" s="21"/>
      <c r="O1840" s="21"/>
      <c r="P1840" s="21"/>
      <c r="Q1840" s="21"/>
      <c r="R1840" s="21">
        <v>1</v>
      </c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>
        <v>1</v>
      </c>
      <c r="AD1840" s="21"/>
      <c r="AE1840" s="21"/>
      <c r="AF1840" s="21"/>
      <c r="AG1840" s="21"/>
      <c r="AH1840" s="21"/>
      <c r="AI1840" s="21"/>
      <c r="AJ1840" s="21"/>
      <c r="AK1840" s="21"/>
      <c r="AL1840" s="21"/>
      <c r="AM1840" s="21">
        <v>1</v>
      </c>
      <c r="AN1840" s="21"/>
      <c r="AO1840" s="21"/>
      <c r="AP1840" s="21"/>
      <c r="AQ1840" s="21"/>
      <c r="AR1840" s="21"/>
      <c r="AS1840" s="21"/>
      <c r="AT1840" s="12" t="str">
        <f>HYPERLINK("http://www.openstreetmap.org/?mlat=31.2105&amp;mlon=45.4723&amp;zoom=12#map=12/31.2105/45.4723","Maplink1")</f>
        <v>Maplink1</v>
      </c>
      <c r="AU1840" s="12" t="str">
        <f>HYPERLINK("https://www.google.iq/maps/search/+31.2105,45.4723/@31.2105,45.4723,14z?hl=en","Maplink2")</f>
        <v>Maplink2</v>
      </c>
      <c r="AV1840" s="12" t="str">
        <f>HYPERLINK("http://www.bing.com/maps/?lvl=14&amp;sty=h&amp;cp=31.2105~45.4723&amp;sp=point.31.2105_45.4723","Maplink3")</f>
        <v>Maplink3</v>
      </c>
    </row>
    <row r="1841" spans="1:48" ht="15" customHeight="1" x14ac:dyDescent="0.25">
      <c r="A1841" s="19">
        <v>1562</v>
      </c>
      <c r="B1841" s="20" t="s">
        <v>19</v>
      </c>
      <c r="C1841" s="20" t="s">
        <v>3369</v>
      </c>
      <c r="D1841" s="20" t="s">
        <v>3378</v>
      </c>
      <c r="E1841" s="20" t="s">
        <v>3379</v>
      </c>
      <c r="F1841" s="20">
        <v>31.297685680000001</v>
      </c>
      <c r="G1841" s="20">
        <v>45.265066959999999</v>
      </c>
      <c r="H1841" s="22">
        <v>2</v>
      </c>
      <c r="I1841" s="22">
        <v>12</v>
      </c>
      <c r="J1841" s="21"/>
      <c r="K1841" s="21"/>
      <c r="L1841" s="21"/>
      <c r="M1841" s="21"/>
      <c r="N1841" s="21"/>
      <c r="O1841" s="21"/>
      <c r="P1841" s="21"/>
      <c r="Q1841" s="21"/>
      <c r="R1841" s="21">
        <v>1</v>
      </c>
      <c r="S1841" s="21"/>
      <c r="T1841" s="21"/>
      <c r="U1841" s="21"/>
      <c r="V1841" s="21">
        <v>1</v>
      </c>
      <c r="W1841" s="21"/>
      <c r="X1841" s="21"/>
      <c r="Y1841" s="21"/>
      <c r="Z1841" s="21"/>
      <c r="AA1841" s="21"/>
      <c r="AB1841" s="21"/>
      <c r="AC1841" s="21">
        <v>2</v>
      </c>
      <c r="AD1841" s="21"/>
      <c r="AE1841" s="21"/>
      <c r="AF1841" s="21"/>
      <c r="AG1841" s="21"/>
      <c r="AH1841" s="21"/>
      <c r="AI1841" s="21"/>
      <c r="AJ1841" s="21"/>
      <c r="AK1841" s="21"/>
      <c r="AL1841" s="21"/>
      <c r="AM1841" s="21"/>
      <c r="AN1841" s="21">
        <v>1</v>
      </c>
      <c r="AO1841" s="21">
        <v>1</v>
      </c>
      <c r="AP1841" s="21"/>
      <c r="AQ1841" s="21"/>
      <c r="AR1841" s="21"/>
      <c r="AS1841" s="21"/>
      <c r="AT1841" s="12" t="str">
        <f>HYPERLINK("http://www.openstreetmap.org/?mlat=31.2977&amp;mlon=45.2651&amp;zoom=12#map=12/31.2977/45.2651","Maplink1")</f>
        <v>Maplink1</v>
      </c>
      <c r="AU1841" s="12" t="str">
        <f>HYPERLINK("https://www.google.iq/maps/search/+31.2977,45.2651/@31.2977,45.2651,14z?hl=en","Maplink2")</f>
        <v>Maplink2</v>
      </c>
      <c r="AV1841" s="12" t="str">
        <f>HYPERLINK("http://www.bing.com/maps/?lvl=14&amp;sty=h&amp;cp=31.2977~45.2651&amp;sp=point.31.2977_45.2651","Maplink3")</f>
        <v>Maplink3</v>
      </c>
    </row>
    <row r="1842" spans="1:48" ht="15" customHeight="1" x14ac:dyDescent="0.25">
      <c r="A1842" s="19">
        <v>33241</v>
      </c>
      <c r="B1842" s="20" t="s">
        <v>19</v>
      </c>
      <c r="C1842" s="20" t="s">
        <v>3369</v>
      </c>
      <c r="D1842" s="20" t="s">
        <v>5727</v>
      </c>
      <c r="E1842" s="20" t="s">
        <v>5728</v>
      </c>
      <c r="F1842" s="20">
        <v>31.289453000000002</v>
      </c>
      <c r="G1842" s="20">
        <v>45.267921999999999</v>
      </c>
      <c r="H1842" s="22">
        <v>5</v>
      </c>
      <c r="I1842" s="22">
        <v>30</v>
      </c>
      <c r="J1842" s="21"/>
      <c r="K1842" s="21"/>
      <c r="L1842" s="21"/>
      <c r="M1842" s="21"/>
      <c r="N1842" s="21"/>
      <c r="O1842" s="21"/>
      <c r="P1842" s="21"/>
      <c r="Q1842" s="21"/>
      <c r="R1842" s="21">
        <v>5</v>
      </c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21"/>
      <c r="AH1842" s="21">
        <v>5</v>
      </c>
      <c r="AI1842" s="21"/>
      <c r="AJ1842" s="21"/>
      <c r="AK1842" s="21"/>
      <c r="AL1842" s="21"/>
      <c r="AM1842" s="21">
        <v>1</v>
      </c>
      <c r="AN1842" s="21">
        <v>3</v>
      </c>
      <c r="AO1842" s="21">
        <v>1</v>
      </c>
      <c r="AP1842" s="21"/>
      <c r="AQ1842" s="21"/>
      <c r="AR1842" s="21"/>
      <c r="AS1842" s="21"/>
      <c r="AT1842" s="12" t="str">
        <f>HYPERLINK("http://www.openstreetmap.org/?mlat=31.2895&amp;mlon=45.2679&amp;zoom=12#map=12/31.2895/45.2679","Maplink1")</f>
        <v>Maplink1</v>
      </c>
      <c r="AU1842" s="12" t="str">
        <f>HYPERLINK("https://www.google.iq/maps/search/+31.2895,45.2679/@31.2895,45.2679,14z?hl=en","Maplink2")</f>
        <v>Maplink2</v>
      </c>
      <c r="AV1842" s="12" t="str">
        <f>HYPERLINK("http://www.bing.com/maps/?lvl=14&amp;sty=h&amp;cp=31.2895~45.2679&amp;sp=point.31.2895_45.2679","Maplink3")</f>
        <v>Maplink3</v>
      </c>
    </row>
    <row r="1843" spans="1:48" ht="15" customHeight="1" x14ac:dyDescent="0.25">
      <c r="A1843" s="19">
        <v>2045</v>
      </c>
      <c r="B1843" s="20" t="s">
        <v>19</v>
      </c>
      <c r="C1843" s="20" t="s">
        <v>3369</v>
      </c>
      <c r="D1843" s="20" t="s">
        <v>3380</v>
      </c>
      <c r="E1843" s="20" t="s">
        <v>3381</v>
      </c>
      <c r="F1843" s="20">
        <v>31.30598213</v>
      </c>
      <c r="G1843" s="20">
        <v>45.305477199999999</v>
      </c>
      <c r="H1843" s="22">
        <v>4</v>
      </c>
      <c r="I1843" s="22">
        <v>24</v>
      </c>
      <c r="J1843" s="21">
        <v>1</v>
      </c>
      <c r="K1843" s="21"/>
      <c r="L1843" s="21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>
        <v>3</v>
      </c>
      <c r="W1843" s="21"/>
      <c r="X1843" s="21"/>
      <c r="Y1843" s="21"/>
      <c r="Z1843" s="21"/>
      <c r="AA1843" s="21"/>
      <c r="AB1843" s="21"/>
      <c r="AC1843" s="21">
        <v>2</v>
      </c>
      <c r="AD1843" s="21"/>
      <c r="AE1843" s="21"/>
      <c r="AF1843" s="21"/>
      <c r="AG1843" s="21"/>
      <c r="AH1843" s="21">
        <v>2</v>
      </c>
      <c r="AI1843" s="21"/>
      <c r="AJ1843" s="21"/>
      <c r="AK1843" s="21"/>
      <c r="AL1843" s="21"/>
      <c r="AM1843" s="21">
        <v>1</v>
      </c>
      <c r="AN1843" s="21">
        <v>1</v>
      </c>
      <c r="AO1843" s="21">
        <v>2</v>
      </c>
      <c r="AP1843" s="21"/>
      <c r="AQ1843" s="21"/>
      <c r="AR1843" s="21"/>
      <c r="AS1843" s="21"/>
      <c r="AT1843" s="12" t="str">
        <f>HYPERLINK("http://www.openstreetmap.org/?mlat=31.306&amp;mlon=45.3055&amp;zoom=12#map=12/31.306/45.3055","Maplink1")</f>
        <v>Maplink1</v>
      </c>
      <c r="AU1843" s="12" t="str">
        <f>HYPERLINK("https://www.google.iq/maps/search/+31.306,45.3055/@31.306,45.3055,14z?hl=en","Maplink2")</f>
        <v>Maplink2</v>
      </c>
      <c r="AV1843" s="12" t="str">
        <f>HYPERLINK("http://www.bing.com/maps/?lvl=14&amp;sty=h&amp;cp=31.306~45.3055&amp;sp=point.31.306_45.3055","Maplink3")</f>
        <v>Maplink3</v>
      </c>
    </row>
    <row r="1844" spans="1:48" ht="15" customHeight="1" x14ac:dyDescent="0.25">
      <c r="A1844" s="19">
        <v>1570</v>
      </c>
      <c r="B1844" s="20" t="s">
        <v>19</v>
      </c>
      <c r="C1844" s="20" t="s">
        <v>3369</v>
      </c>
      <c r="D1844" s="20" t="s">
        <v>3382</v>
      </c>
      <c r="E1844" s="20" t="s">
        <v>3383</v>
      </c>
      <c r="F1844" s="20">
        <v>31.309684239999999</v>
      </c>
      <c r="G1844" s="20">
        <v>45.275576020000003</v>
      </c>
      <c r="H1844" s="22">
        <v>4</v>
      </c>
      <c r="I1844" s="22">
        <v>24</v>
      </c>
      <c r="J1844" s="21">
        <v>1</v>
      </c>
      <c r="K1844" s="21"/>
      <c r="L1844" s="21"/>
      <c r="M1844" s="21"/>
      <c r="N1844" s="21"/>
      <c r="O1844" s="21">
        <v>1</v>
      </c>
      <c r="P1844" s="21"/>
      <c r="Q1844" s="21"/>
      <c r="R1844" s="21"/>
      <c r="S1844" s="21"/>
      <c r="T1844" s="21"/>
      <c r="U1844" s="21"/>
      <c r="V1844" s="21">
        <v>2</v>
      </c>
      <c r="W1844" s="21"/>
      <c r="X1844" s="21"/>
      <c r="Y1844" s="21"/>
      <c r="Z1844" s="21"/>
      <c r="AA1844" s="21"/>
      <c r="AB1844" s="21"/>
      <c r="AC1844" s="21">
        <v>1</v>
      </c>
      <c r="AD1844" s="21"/>
      <c r="AE1844" s="21"/>
      <c r="AF1844" s="21"/>
      <c r="AG1844" s="21"/>
      <c r="AH1844" s="21">
        <v>3</v>
      </c>
      <c r="AI1844" s="21"/>
      <c r="AJ1844" s="21"/>
      <c r="AK1844" s="21"/>
      <c r="AL1844" s="21"/>
      <c r="AM1844" s="21">
        <v>1</v>
      </c>
      <c r="AN1844" s="21">
        <v>1</v>
      </c>
      <c r="AO1844" s="21">
        <v>1</v>
      </c>
      <c r="AP1844" s="21"/>
      <c r="AQ1844" s="21"/>
      <c r="AR1844" s="21">
        <v>1</v>
      </c>
      <c r="AS1844" s="21"/>
      <c r="AT1844" s="12" t="str">
        <f>HYPERLINK("http://www.openstreetmap.org/?mlat=31.3097&amp;mlon=45.2756&amp;zoom=12#map=12/31.3097/45.2756","Maplink1")</f>
        <v>Maplink1</v>
      </c>
      <c r="AU1844" s="12" t="str">
        <f>HYPERLINK("https://www.google.iq/maps/search/+31.3097,45.2756/@31.3097,45.2756,14z?hl=en","Maplink2")</f>
        <v>Maplink2</v>
      </c>
      <c r="AV1844" s="12" t="str">
        <f>HYPERLINK("http://www.bing.com/maps/?lvl=14&amp;sty=h&amp;cp=31.3097~45.2756&amp;sp=point.31.3097_45.2756","Maplink3")</f>
        <v>Maplink3</v>
      </c>
    </row>
    <row r="1845" spans="1:48" ht="15" customHeight="1" x14ac:dyDescent="0.25">
      <c r="A1845" s="19">
        <v>29574</v>
      </c>
      <c r="B1845" s="20" t="s">
        <v>19</v>
      </c>
      <c r="C1845" s="20" t="s">
        <v>3369</v>
      </c>
      <c r="D1845" s="20" t="s">
        <v>6049</v>
      </c>
      <c r="E1845" s="20" t="s">
        <v>224</v>
      </c>
      <c r="F1845" s="20">
        <v>31.337784660000001</v>
      </c>
      <c r="G1845" s="20">
        <v>45.273358000000002</v>
      </c>
      <c r="H1845" s="22">
        <v>1</v>
      </c>
      <c r="I1845" s="22">
        <v>6</v>
      </c>
      <c r="J1845" s="21"/>
      <c r="K1845" s="21"/>
      <c r="L1845" s="21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>
        <v>1</v>
      </c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21"/>
      <c r="AH1845" s="21">
        <v>1</v>
      </c>
      <c r="AI1845" s="21"/>
      <c r="AJ1845" s="21"/>
      <c r="AK1845" s="21"/>
      <c r="AL1845" s="21"/>
      <c r="AM1845" s="21"/>
      <c r="AN1845" s="21"/>
      <c r="AO1845" s="21">
        <v>1</v>
      </c>
      <c r="AP1845" s="21"/>
      <c r="AQ1845" s="21"/>
      <c r="AR1845" s="21"/>
      <c r="AS1845" s="21"/>
      <c r="AT1845" s="12" t="str">
        <f>HYPERLINK("http://www.openstreetmap.org/?mlat=31.3378&amp;mlon=45.2734&amp;zoom=12#map=12/31.3378/45.2734","Maplink1")</f>
        <v>Maplink1</v>
      </c>
      <c r="AU1845" s="12" t="str">
        <f>HYPERLINK("https://www.google.iq/maps/search/+31.3378,45.2734/@31.3378,45.2734,14z?hl=en","Maplink2")</f>
        <v>Maplink2</v>
      </c>
      <c r="AV1845" s="12" t="str">
        <f>HYPERLINK("http://www.bing.com/maps/?lvl=14&amp;sty=h&amp;cp=31.3378~45.2734&amp;sp=point.31.3378_45.2734","Maplink3")</f>
        <v>Maplink3</v>
      </c>
    </row>
    <row r="1846" spans="1:48" ht="15" customHeight="1" x14ac:dyDescent="0.25">
      <c r="A1846" s="19">
        <v>2060</v>
      </c>
      <c r="B1846" s="20" t="s">
        <v>19</v>
      </c>
      <c r="C1846" s="20" t="s">
        <v>3369</v>
      </c>
      <c r="D1846" s="20" t="s">
        <v>3384</v>
      </c>
      <c r="E1846" s="20" t="s">
        <v>3385</v>
      </c>
      <c r="F1846" s="20">
        <v>31.31403693</v>
      </c>
      <c r="G1846" s="20">
        <v>45.280606499999998</v>
      </c>
      <c r="H1846" s="22">
        <v>13</v>
      </c>
      <c r="I1846" s="22">
        <v>78</v>
      </c>
      <c r="J1846" s="21">
        <v>1</v>
      </c>
      <c r="K1846" s="21"/>
      <c r="L1846" s="21"/>
      <c r="M1846" s="21"/>
      <c r="N1846" s="21"/>
      <c r="O1846" s="21">
        <v>1</v>
      </c>
      <c r="P1846" s="21"/>
      <c r="Q1846" s="21"/>
      <c r="R1846" s="21"/>
      <c r="S1846" s="21"/>
      <c r="T1846" s="21"/>
      <c r="U1846" s="21"/>
      <c r="V1846" s="21">
        <v>10</v>
      </c>
      <c r="W1846" s="21"/>
      <c r="X1846" s="21">
        <v>1</v>
      </c>
      <c r="Y1846" s="21"/>
      <c r="Z1846" s="21"/>
      <c r="AA1846" s="21"/>
      <c r="AB1846" s="21"/>
      <c r="AC1846" s="21">
        <v>3</v>
      </c>
      <c r="AD1846" s="21"/>
      <c r="AE1846" s="21"/>
      <c r="AF1846" s="21"/>
      <c r="AG1846" s="21"/>
      <c r="AH1846" s="21">
        <v>10</v>
      </c>
      <c r="AI1846" s="21"/>
      <c r="AJ1846" s="21"/>
      <c r="AK1846" s="21"/>
      <c r="AL1846" s="21">
        <v>1</v>
      </c>
      <c r="AM1846" s="21">
        <v>1</v>
      </c>
      <c r="AN1846" s="21">
        <v>8</v>
      </c>
      <c r="AO1846" s="21">
        <v>3</v>
      </c>
      <c r="AP1846" s="21"/>
      <c r="AQ1846" s="21"/>
      <c r="AR1846" s="21"/>
      <c r="AS1846" s="21"/>
      <c r="AT1846" s="12" t="str">
        <f>HYPERLINK("http://www.openstreetmap.org/?mlat=31.314&amp;mlon=45.2806&amp;zoom=12#map=12/31.314/45.2806","Maplink1")</f>
        <v>Maplink1</v>
      </c>
      <c r="AU1846" s="12" t="str">
        <f>HYPERLINK("https://www.google.iq/maps/search/+31.314,45.2806/@31.314,45.2806,14z?hl=en","Maplink2")</f>
        <v>Maplink2</v>
      </c>
      <c r="AV1846" s="12" t="str">
        <f>HYPERLINK("http://www.bing.com/maps/?lvl=14&amp;sty=h&amp;cp=31.314~45.2806&amp;sp=point.31.314_45.2806","Maplink3")</f>
        <v>Maplink3</v>
      </c>
    </row>
    <row r="1847" spans="1:48" ht="15" customHeight="1" x14ac:dyDescent="0.25">
      <c r="A1847" s="19">
        <v>2010</v>
      </c>
      <c r="B1847" s="20" t="s">
        <v>19</v>
      </c>
      <c r="C1847" s="20" t="s">
        <v>3369</v>
      </c>
      <c r="D1847" s="20" t="s">
        <v>3386</v>
      </c>
      <c r="E1847" s="20" t="s">
        <v>3387</v>
      </c>
      <c r="F1847" s="20">
        <v>31.342094929999998</v>
      </c>
      <c r="G1847" s="20">
        <v>45.264660939999999</v>
      </c>
      <c r="H1847" s="22">
        <v>6</v>
      </c>
      <c r="I1847" s="22">
        <v>36</v>
      </c>
      <c r="J1847" s="21"/>
      <c r="K1847" s="21"/>
      <c r="L1847" s="21">
        <v>1</v>
      </c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>
        <v>5</v>
      </c>
      <c r="Y1847" s="21"/>
      <c r="Z1847" s="21"/>
      <c r="AA1847" s="21"/>
      <c r="AB1847" s="21"/>
      <c r="AC1847" s="21">
        <v>3</v>
      </c>
      <c r="AD1847" s="21"/>
      <c r="AE1847" s="21"/>
      <c r="AF1847" s="21"/>
      <c r="AG1847" s="21"/>
      <c r="AH1847" s="21">
        <v>3</v>
      </c>
      <c r="AI1847" s="21"/>
      <c r="AJ1847" s="21"/>
      <c r="AK1847" s="21"/>
      <c r="AL1847" s="21"/>
      <c r="AM1847" s="21">
        <v>2</v>
      </c>
      <c r="AN1847" s="21">
        <v>2</v>
      </c>
      <c r="AO1847" s="21">
        <v>2</v>
      </c>
      <c r="AP1847" s="21"/>
      <c r="AQ1847" s="21"/>
      <c r="AR1847" s="21"/>
      <c r="AS1847" s="21"/>
      <c r="AT1847" s="12" t="str">
        <f>HYPERLINK("http://www.openstreetmap.org/?mlat=31.3421&amp;mlon=45.2647&amp;zoom=12#map=12/31.3421/45.2647","Maplink1")</f>
        <v>Maplink1</v>
      </c>
      <c r="AU1847" s="12" t="str">
        <f>HYPERLINK("https://www.google.iq/maps/search/+31.3421,45.2647/@31.3421,45.2647,14z?hl=en","Maplink2")</f>
        <v>Maplink2</v>
      </c>
      <c r="AV1847" s="12" t="str">
        <f>HYPERLINK("http://www.bing.com/maps/?lvl=14&amp;sty=h&amp;cp=31.3421~45.2647&amp;sp=point.31.3421_45.2647","Maplink3")</f>
        <v>Maplink3</v>
      </c>
    </row>
    <row r="1848" spans="1:48" ht="15" customHeight="1" x14ac:dyDescent="0.25">
      <c r="A1848" s="19">
        <v>29572</v>
      </c>
      <c r="B1848" s="20" t="s">
        <v>19</v>
      </c>
      <c r="C1848" s="20" t="s">
        <v>3369</v>
      </c>
      <c r="D1848" s="20" t="s">
        <v>5729</v>
      </c>
      <c r="E1848" s="20" t="s">
        <v>226</v>
      </c>
      <c r="F1848" s="20">
        <v>31.302621779999999</v>
      </c>
      <c r="G1848" s="20">
        <v>45.274472289999999</v>
      </c>
      <c r="H1848" s="22">
        <v>3</v>
      </c>
      <c r="I1848" s="22">
        <v>18</v>
      </c>
      <c r="J1848" s="21">
        <v>2</v>
      </c>
      <c r="K1848" s="21"/>
      <c r="L1848" s="21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>
        <v>1</v>
      </c>
      <c r="Y1848" s="21"/>
      <c r="Z1848" s="21"/>
      <c r="AA1848" s="21"/>
      <c r="AB1848" s="21"/>
      <c r="AC1848" s="21">
        <v>1</v>
      </c>
      <c r="AD1848" s="21"/>
      <c r="AE1848" s="21"/>
      <c r="AF1848" s="21"/>
      <c r="AG1848" s="21"/>
      <c r="AH1848" s="21">
        <v>2</v>
      </c>
      <c r="AI1848" s="21"/>
      <c r="AJ1848" s="21"/>
      <c r="AK1848" s="21"/>
      <c r="AL1848" s="21"/>
      <c r="AM1848" s="21">
        <v>1</v>
      </c>
      <c r="AN1848" s="21"/>
      <c r="AO1848" s="21">
        <v>1</v>
      </c>
      <c r="AP1848" s="21">
        <v>1</v>
      </c>
      <c r="AQ1848" s="21"/>
      <c r="AR1848" s="21"/>
      <c r="AS1848" s="21"/>
      <c r="AT1848" s="12" t="str">
        <f>HYPERLINK("http://www.openstreetmap.org/?mlat=31.3026&amp;mlon=45.2745&amp;zoom=12#map=12/31.3026/45.2745","Maplink1")</f>
        <v>Maplink1</v>
      </c>
      <c r="AU1848" s="12" t="str">
        <f>HYPERLINK("https://www.google.iq/maps/search/+31.3026,45.2745/@31.3026,45.2745,14z?hl=en","Maplink2")</f>
        <v>Maplink2</v>
      </c>
      <c r="AV1848" s="12" t="str">
        <f>HYPERLINK("http://www.bing.com/maps/?lvl=14&amp;sty=h&amp;cp=31.3026~45.2745&amp;sp=point.31.3026_45.2745","Maplink3")</f>
        <v>Maplink3</v>
      </c>
    </row>
    <row r="1849" spans="1:48" ht="15" customHeight="1" x14ac:dyDescent="0.25">
      <c r="A1849" s="19">
        <v>1586</v>
      </c>
      <c r="B1849" s="20" t="s">
        <v>19</v>
      </c>
      <c r="C1849" s="20" t="s">
        <v>3369</v>
      </c>
      <c r="D1849" s="20" t="s">
        <v>6154</v>
      </c>
      <c r="E1849" s="20" t="s">
        <v>129</v>
      </c>
      <c r="F1849" s="20">
        <v>31.315551330000002</v>
      </c>
      <c r="G1849" s="20">
        <v>45.275330009999998</v>
      </c>
      <c r="H1849" s="22">
        <v>1</v>
      </c>
      <c r="I1849" s="22">
        <v>6</v>
      </c>
      <c r="J1849" s="21"/>
      <c r="K1849" s="21"/>
      <c r="L1849" s="21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>
        <v>1</v>
      </c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21"/>
      <c r="AH1849" s="21">
        <v>1</v>
      </c>
      <c r="AI1849" s="21"/>
      <c r="AJ1849" s="21"/>
      <c r="AK1849" s="21"/>
      <c r="AL1849" s="21"/>
      <c r="AM1849" s="21"/>
      <c r="AN1849" s="21">
        <v>1</v>
      </c>
      <c r="AO1849" s="21"/>
      <c r="AP1849" s="21"/>
      <c r="AQ1849" s="21"/>
      <c r="AR1849" s="21"/>
      <c r="AS1849" s="21"/>
      <c r="AT1849" s="12" t="str">
        <f>HYPERLINK("http://www.openstreetmap.org/?mlat=31.3156&amp;mlon=45.2753&amp;zoom=12#map=12/31.3156/45.2753","Maplink1")</f>
        <v>Maplink1</v>
      </c>
      <c r="AU1849" s="12" t="str">
        <f>HYPERLINK("https://www.google.iq/maps/search/+31.3156,45.2753/@31.3156,45.2753,14z?hl=en","Maplink2")</f>
        <v>Maplink2</v>
      </c>
      <c r="AV1849" s="12" t="str">
        <f>HYPERLINK("http://www.bing.com/maps/?lvl=14&amp;sty=h&amp;cp=31.3156~45.2753&amp;sp=point.31.3156_45.2753","Maplink3")</f>
        <v>Maplink3</v>
      </c>
    </row>
    <row r="1850" spans="1:48" ht="15" customHeight="1" x14ac:dyDescent="0.25">
      <c r="A1850" s="19">
        <v>1611</v>
      </c>
      <c r="B1850" s="20" t="s">
        <v>19</v>
      </c>
      <c r="C1850" s="20" t="s">
        <v>3369</v>
      </c>
      <c r="D1850" s="20" t="s">
        <v>3388</v>
      </c>
      <c r="E1850" s="20" t="s">
        <v>3389</v>
      </c>
      <c r="F1850" s="20">
        <v>31.330629989999998</v>
      </c>
      <c r="G1850" s="20">
        <v>45.29314617</v>
      </c>
      <c r="H1850" s="22">
        <v>2</v>
      </c>
      <c r="I1850" s="22">
        <v>12</v>
      </c>
      <c r="J1850" s="21"/>
      <c r="K1850" s="21"/>
      <c r="L1850" s="21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>
        <v>2</v>
      </c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21"/>
      <c r="AH1850" s="21">
        <v>2</v>
      </c>
      <c r="AI1850" s="21"/>
      <c r="AJ1850" s="21"/>
      <c r="AK1850" s="21"/>
      <c r="AL1850" s="21"/>
      <c r="AM1850" s="21"/>
      <c r="AN1850" s="21">
        <v>2</v>
      </c>
      <c r="AO1850" s="21"/>
      <c r="AP1850" s="21"/>
      <c r="AQ1850" s="21"/>
      <c r="AR1850" s="21"/>
      <c r="AS1850" s="21"/>
      <c r="AT1850" s="12" t="str">
        <f>HYPERLINK("http://www.openstreetmap.org/?mlat=31.3306&amp;mlon=45.2931&amp;zoom=12#map=12/31.3306/45.2931","Maplink1")</f>
        <v>Maplink1</v>
      </c>
      <c r="AU1850" s="12" t="str">
        <f>HYPERLINK("https://www.google.iq/maps/search/+31.3306,45.2931/@31.3306,45.2931,14z?hl=en","Maplink2")</f>
        <v>Maplink2</v>
      </c>
      <c r="AV1850" s="12" t="str">
        <f>HYPERLINK("http://www.bing.com/maps/?lvl=14&amp;sty=h&amp;cp=31.3306~45.2931&amp;sp=point.31.3306_45.2931","Maplink3")</f>
        <v>Maplink3</v>
      </c>
    </row>
    <row r="1851" spans="1:48" ht="15" customHeight="1" x14ac:dyDescent="0.25">
      <c r="A1851" s="19">
        <v>1485</v>
      </c>
      <c r="B1851" s="20" t="s">
        <v>19</v>
      </c>
      <c r="C1851" s="20" t="s">
        <v>3369</v>
      </c>
      <c r="D1851" s="20" t="s">
        <v>3320</v>
      </c>
      <c r="E1851" s="20" t="s">
        <v>3321</v>
      </c>
      <c r="F1851" s="20">
        <v>31.30695472</v>
      </c>
      <c r="G1851" s="20">
        <v>45.267123959999999</v>
      </c>
      <c r="H1851" s="22">
        <v>4</v>
      </c>
      <c r="I1851" s="22">
        <v>24</v>
      </c>
      <c r="J1851" s="21">
        <v>2</v>
      </c>
      <c r="K1851" s="21"/>
      <c r="L1851" s="21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>
        <v>2</v>
      </c>
      <c r="W1851" s="21"/>
      <c r="X1851" s="21"/>
      <c r="Y1851" s="21"/>
      <c r="Z1851" s="21"/>
      <c r="AA1851" s="21"/>
      <c r="AB1851" s="21"/>
      <c r="AC1851" s="21">
        <v>1</v>
      </c>
      <c r="AD1851" s="21"/>
      <c r="AE1851" s="21"/>
      <c r="AF1851" s="21"/>
      <c r="AG1851" s="21"/>
      <c r="AH1851" s="21">
        <v>3</v>
      </c>
      <c r="AI1851" s="21"/>
      <c r="AJ1851" s="21"/>
      <c r="AK1851" s="21"/>
      <c r="AL1851" s="21"/>
      <c r="AM1851" s="21">
        <v>1</v>
      </c>
      <c r="AN1851" s="21">
        <v>1</v>
      </c>
      <c r="AO1851" s="21">
        <v>1</v>
      </c>
      <c r="AP1851" s="21">
        <v>1</v>
      </c>
      <c r="AQ1851" s="21"/>
      <c r="AR1851" s="21"/>
      <c r="AS1851" s="21"/>
      <c r="AT1851" s="12" t="str">
        <f>HYPERLINK("http://www.openstreetmap.org/?mlat=31.307&amp;mlon=45.2671&amp;zoom=12#map=12/31.307/45.2671","Maplink1")</f>
        <v>Maplink1</v>
      </c>
      <c r="AU1851" s="12" t="str">
        <f>HYPERLINK("https://www.google.iq/maps/search/+31.307,45.2671/@31.307,45.2671,14z?hl=en","Maplink2")</f>
        <v>Maplink2</v>
      </c>
      <c r="AV1851" s="12" t="str">
        <f>HYPERLINK("http://www.bing.com/maps/?lvl=14&amp;sty=h&amp;cp=31.307~45.2671&amp;sp=point.31.307_45.2671","Maplink3")</f>
        <v>Maplink3</v>
      </c>
    </row>
    <row r="1852" spans="1:48" ht="15" customHeight="1" x14ac:dyDescent="0.25">
      <c r="A1852" s="19">
        <v>29573</v>
      </c>
      <c r="B1852" s="20" t="s">
        <v>19</v>
      </c>
      <c r="C1852" s="20" t="s">
        <v>3369</v>
      </c>
      <c r="D1852" s="20" t="s">
        <v>3390</v>
      </c>
      <c r="E1852" s="20" t="s">
        <v>3391</v>
      </c>
      <c r="F1852" s="20">
        <v>31.31913668</v>
      </c>
      <c r="G1852" s="20">
        <v>45.295389419999999</v>
      </c>
      <c r="H1852" s="22">
        <v>1</v>
      </c>
      <c r="I1852" s="22">
        <v>6</v>
      </c>
      <c r="J1852" s="21"/>
      <c r="K1852" s="21"/>
      <c r="L1852" s="21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>
        <v>1</v>
      </c>
      <c r="W1852" s="21"/>
      <c r="X1852" s="21"/>
      <c r="Y1852" s="21"/>
      <c r="Z1852" s="21"/>
      <c r="AA1852" s="21"/>
      <c r="AB1852" s="21"/>
      <c r="AC1852" s="21">
        <v>1</v>
      </c>
      <c r="AD1852" s="21"/>
      <c r="AE1852" s="21"/>
      <c r="AF1852" s="21"/>
      <c r="AG1852" s="21"/>
      <c r="AH1852" s="21"/>
      <c r="AI1852" s="21"/>
      <c r="AJ1852" s="21"/>
      <c r="AK1852" s="21"/>
      <c r="AL1852" s="21"/>
      <c r="AM1852" s="21"/>
      <c r="AN1852" s="21">
        <v>1</v>
      </c>
      <c r="AO1852" s="21"/>
      <c r="AP1852" s="21"/>
      <c r="AQ1852" s="21"/>
      <c r="AR1852" s="21"/>
      <c r="AS1852" s="21"/>
      <c r="AT1852" s="12" t="str">
        <f>HYPERLINK("http://www.openstreetmap.org/?mlat=31.3191&amp;mlon=45.2954&amp;zoom=12#map=12/31.3191/45.2954","Maplink1")</f>
        <v>Maplink1</v>
      </c>
      <c r="AU1852" s="12" t="str">
        <f>HYPERLINK("https://www.google.iq/maps/search/+31.3191,45.2954/@31.3191,45.2954,14z?hl=en","Maplink2")</f>
        <v>Maplink2</v>
      </c>
      <c r="AV1852" s="12" t="str">
        <f>HYPERLINK("http://www.bing.com/maps/?lvl=14&amp;sty=h&amp;cp=31.3191~45.2954&amp;sp=point.31.3191_45.2954","Maplink3")</f>
        <v>Maplink3</v>
      </c>
    </row>
    <row r="1853" spans="1:48" ht="15" customHeight="1" x14ac:dyDescent="0.25">
      <c r="A1853" s="19">
        <v>21317</v>
      </c>
      <c r="B1853" s="20" t="s">
        <v>19</v>
      </c>
      <c r="C1853" s="20" t="s">
        <v>3369</v>
      </c>
      <c r="D1853" s="20" t="s">
        <v>3392</v>
      </c>
      <c r="E1853" s="20" t="s">
        <v>318</v>
      </c>
      <c r="F1853" s="20">
        <v>31.31747476</v>
      </c>
      <c r="G1853" s="20">
        <v>45.26526226</v>
      </c>
      <c r="H1853" s="22">
        <v>7</v>
      </c>
      <c r="I1853" s="22">
        <v>42</v>
      </c>
      <c r="J1853" s="21">
        <v>2</v>
      </c>
      <c r="K1853" s="21"/>
      <c r="L1853" s="21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>
        <v>5</v>
      </c>
      <c r="W1853" s="21"/>
      <c r="X1853" s="21"/>
      <c r="Y1853" s="21"/>
      <c r="Z1853" s="21"/>
      <c r="AA1853" s="21"/>
      <c r="AB1853" s="21"/>
      <c r="AC1853" s="21">
        <v>2</v>
      </c>
      <c r="AD1853" s="21"/>
      <c r="AE1853" s="21"/>
      <c r="AF1853" s="21"/>
      <c r="AG1853" s="21"/>
      <c r="AH1853" s="21">
        <v>5</v>
      </c>
      <c r="AI1853" s="21"/>
      <c r="AJ1853" s="21"/>
      <c r="AK1853" s="21"/>
      <c r="AL1853" s="21"/>
      <c r="AM1853" s="21">
        <v>3</v>
      </c>
      <c r="AN1853" s="21">
        <v>1</v>
      </c>
      <c r="AO1853" s="21"/>
      <c r="AP1853" s="21">
        <v>1</v>
      </c>
      <c r="AQ1853" s="21"/>
      <c r="AR1853" s="21">
        <v>2</v>
      </c>
      <c r="AS1853" s="21"/>
      <c r="AT1853" s="12" t="str">
        <f>HYPERLINK("http://www.openstreetmap.org/?mlat=31.3175&amp;mlon=45.2653&amp;zoom=12#map=12/31.3175/45.2653","Maplink1")</f>
        <v>Maplink1</v>
      </c>
      <c r="AU1853" s="12" t="str">
        <f>HYPERLINK("https://www.google.iq/maps/search/+31.3175,45.2653/@31.3175,45.2653,14z?hl=en","Maplink2")</f>
        <v>Maplink2</v>
      </c>
      <c r="AV1853" s="12" t="str">
        <f>HYPERLINK("http://www.bing.com/maps/?lvl=14&amp;sty=h&amp;cp=31.3175~45.2653&amp;sp=point.31.3175_45.2653","Maplink3")</f>
        <v>Maplink3</v>
      </c>
    </row>
    <row r="1854" spans="1:48" ht="15" customHeight="1" x14ac:dyDescent="0.25">
      <c r="A1854" s="19">
        <v>2071</v>
      </c>
      <c r="B1854" s="20" t="s">
        <v>19</v>
      </c>
      <c r="C1854" s="20" t="s">
        <v>3369</v>
      </c>
      <c r="D1854" s="20" t="s">
        <v>3393</v>
      </c>
      <c r="E1854" s="20" t="s">
        <v>3394</v>
      </c>
      <c r="F1854" s="20">
        <v>31.323333999999999</v>
      </c>
      <c r="G1854" s="20">
        <v>45.293610000000001</v>
      </c>
      <c r="H1854" s="22">
        <v>3</v>
      </c>
      <c r="I1854" s="22">
        <v>18</v>
      </c>
      <c r="J1854" s="21"/>
      <c r="K1854" s="21"/>
      <c r="L1854" s="21"/>
      <c r="M1854" s="21"/>
      <c r="N1854" s="21"/>
      <c r="O1854" s="21">
        <v>1</v>
      </c>
      <c r="P1854" s="21"/>
      <c r="Q1854" s="21"/>
      <c r="R1854" s="21">
        <v>1</v>
      </c>
      <c r="S1854" s="21"/>
      <c r="T1854" s="21"/>
      <c r="U1854" s="21"/>
      <c r="V1854" s="21">
        <v>1</v>
      </c>
      <c r="W1854" s="21"/>
      <c r="X1854" s="21"/>
      <c r="Y1854" s="21"/>
      <c r="Z1854" s="21"/>
      <c r="AA1854" s="21"/>
      <c r="AB1854" s="21"/>
      <c r="AC1854" s="21">
        <v>1</v>
      </c>
      <c r="AD1854" s="21"/>
      <c r="AE1854" s="21"/>
      <c r="AF1854" s="21"/>
      <c r="AG1854" s="21"/>
      <c r="AH1854" s="21">
        <v>2</v>
      </c>
      <c r="AI1854" s="21"/>
      <c r="AJ1854" s="21"/>
      <c r="AK1854" s="21"/>
      <c r="AL1854" s="21"/>
      <c r="AM1854" s="21">
        <v>1</v>
      </c>
      <c r="AN1854" s="21">
        <v>1</v>
      </c>
      <c r="AO1854" s="21">
        <v>1</v>
      </c>
      <c r="AP1854" s="21"/>
      <c r="AQ1854" s="21"/>
      <c r="AR1854" s="21"/>
      <c r="AS1854" s="21"/>
      <c r="AT1854" s="12" t="str">
        <f>HYPERLINK("http://www.openstreetmap.org/?mlat=31.3233&amp;mlon=45.2936&amp;zoom=12#map=12/31.3233/45.2936","Maplink1")</f>
        <v>Maplink1</v>
      </c>
      <c r="AU1854" s="12" t="str">
        <f>HYPERLINK("https://www.google.iq/maps/search/+31.3233,45.2936/@31.3233,45.2936,14z?hl=en","Maplink2")</f>
        <v>Maplink2</v>
      </c>
      <c r="AV1854" s="12" t="str">
        <f>HYPERLINK("http://www.bing.com/maps/?lvl=14&amp;sty=h&amp;cp=31.3233~45.2936&amp;sp=point.31.3233_45.2936","Maplink3")</f>
        <v>Maplink3</v>
      </c>
    </row>
    <row r="1855" spans="1:48" ht="15" customHeight="1" x14ac:dyDescent="0.25">
      <c r="A1855" s="19">
        <v>29575</v>
      </c>
      <c r="B1855" s="20" t="s">
        <v>19</v>
      </c>
      <c r="C1855" s="20" t="s">
        <v>3369</v>
      </c>
      <c r="D1855" s="20" t="s">
        <v>3395</v>
      </c>
      <c r="E1855" s="20" t="s">
        <v>3396</v>
      </c>
      <c r="F1855" s="20">
        <v>31.303374219999998</v>
      </c>
      <c r="G1855" s="20">
        <v>45.300523329999997</v>
      </c>
      <c r="H1855" s="22">
        <v>1</v>
      </c>
      <c r="I1855" s="22">
        <v>6</v>
      </c>
      <c r="J1855" s="21"/>
      <c r="K1855" s="21"/>
      <c r="L1855" s="21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>
        <v>1</v>
      </c>
      <c r="W1855" s="21"/>
      <c r="X1855" s="21"/>
      <c r="Y1855" s="21"/>
      <c r="Z1855" s="21"/>
      <c r="AA1855" s="21"/>
      <c r="AB1855" s="21"/>
      <c r="AC1855" s="21">
        <v>1</v>
      </c>
      <c r="AD1855" s="21"/>
      <c r="AE1855" s="21"/>
      <c r="AF1855" s="21"/>
      <c r="AG1855" s="21"/>
      <c r="AH1855" s="21"/>
      <c r="AI1855" s="21"/>
      <c r="AJ1855" s="21"/>
      <c r="AK1855" s="21"/>
      <c r="AL1855" s="21"/>
      <c r="AM1855" s="21">
        <v>1</v>
      </c>
      <c r="AN1855" s="21"/>
      <c r="AO1855" s="21"/>
      <c r="AP1855" s="21"/>
      <c r="AQ1855" s="21"/>
      <c r="AR1855" s="21"/>
      <c r="AS1855" s="21"/>
      <c r="AT1855" s="12" t="str">
        <f>HYPERLINK("http://www.openstreetmap.org/?mlat=31.3034&amp;mlon=45.3005&amp;zoom=12#map=12/31.3034/45.3005","Maplink1")</f>
        <v>Maplink1</v>
      </c>
      <c r="AU1855" s="12" t="str">
        <f>HYPERLINK("https://www.google.iq/maps/search/+31.3034,45.3005/@31.3034,45.3005,14z?hl=en","Maplink2")</f>
        <v>Maplink2</v>
      </c>
      <c r="AV1855" s="12" t="str">
        <f>HYPERLINK("http://www.bing.com/maps/?lvl=14&amp;sty=h&amp;cp=31.3034~45.3005&amp;sp=point.31.3034_45.3005","Maplink3")</f>
        <v>Maplink3</v>
      </c>
    </row>
    <row r="1856" spans="1:48" ht="15" customHeight="1" x14ac:dyDescent="0.25">
      <c r="A1856" s="19">
        <v>1526</v>
      </c>
      <c r="B1856" s="20" t="s">
        <v>19</v>
      </c>
      <c r="C1856" s="20" t="s">
        <v>3369</v>
      </c>
      <c r="D1856" s="20" t="s">
        <v>5880</v>
      </c>
      <c r="E1856" s="20" t="s">
        <v>5881</v>
      </c>
      <c r="F1856" s="20">
        <v>31.271319999999999</v>
      </c>
      <c r="G1856" s="20">
        <v>45.289389</v>
      </c>
      <c r="H1856" s="22">
        <v>1</v>
      </c>
      <c r="I1856" s="22">
        <v>6</v>
      </c>
      <c r="J1856" s="21"/>
      <c r="K1856" s="21"/>
      <c r="L1856" s="21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>
        <v>1</v>
      </c>
      <c r="W1856" s="21"/>
      <c r="X1856" s="21"/>
      <c r="Y1856" s="21"/>
      <c r="Z1856" s="21"/>
      <c r="AA1856" s="21"/>
      <c r="AB1856" s="21"/>
      <c r="AC1856" s="21">
        <v>1</v>
      </c>
      <c r="AD1856" s="21"/>
      <c r="AE1856" s="21"/>
      <c r="AF1856" s="21"/>
      <c r="AG1856" s="21"/>
      <c r="AH1856" s="21"/>
      <c r="AI1856" s="21"/>
      <c r="AJ1856" s="21"/>
      <c r="AK1856" s="21"/>
      <c r="AL1856" s="21"/>
      <c r="AM1856" s="21"/>
      <c r="AN1856" s="21">
        <v>1</v>
      </c>
      <c r="AO1856" s="21"/>
      <c r="AP1856" s="21"/>
      <c r="AQ1856" s="21"/>
      <c r="AR1856" s="21"/>
      <c r="AS1856" s="21"/>
      <c r="AT1856" s="12" t="str">
        <f>HYPERLINK("http://www.openstreetmap.org/?mlat=31.2713&amp;mlon=45.2894&amp;zoom=12#map=12/31.2713/45.2894","Maplink1")</f>
        <v>Maplink1</v>
      </c>
      <c r="AU1856" s="12" t="str">
        <f>HYPERLINK("https://www.google.iq/maps/search/+31.2713,45.2894/@31.2713,45.2894,14z?hl=en","Maplink2")</f>
        <v>Maplink2</v>
      </c>
      <c r="AV1856" s="12" t="str">
        <f>HYPERLINK("http://www.bing.com/maps/?lvl=14&amp;sty=h&amp;cp=31.2713~45.2894&amp;sp=point.31.2713_45.2894","Maplink3")</f>
        <v>Maplink3</v>
      </c>
    </row>
    <row r="1857" spans="1:48" ht="15" customHeight="1" x14ac:dyDescent="0.25">
      <c r="A1857" s="19">
        <v>33297</v>
      </c>
      <c r="B1857" s="20" t="s">
        <v>19</v>
      </c>
      <c r="C1857" s="20" t="s">
        <v>3369</v>
      </c>
      <c r="D1857" s="20" t="s">
        <v>5778</v>
      </c>
      <c r="E1857" s="20" t="s">
        <v>391</v>
      </c>
      <c r="F1857" s="20">
        <v>31.335072</v>
      </c>
      <c r="G1857" s="20">
        <v>45.293818000000002</v>
      </c>
      <c r="H1857" s="22">
        <v>8</v>
      </c>
      <c r="I1857" s="22">
        <v>48</v>
      </c>
      <c r="J1857" s="21">
        <v>1</v>
      </c>
      <c r="K1857" s="21"/>
      <c r="L1857" s="21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>
        <v>7</v>
      </c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21"/>
      <c r="AH1857" s="21">
        <v>8</v>
      </c>
      <c r="AI1857" s="21"/>
      <c r="AJ1857" s="21"/>
      <c r="AK1857" s="21"/>
      <c r="AL1857" s="21"/>
      <c r="AM1857" s="21"/>
      <c r="AN1857" s="21">
        <v>5</v>
      </c>
      <c r="AO1857" s="21">
        <v>3</v>
      </c>
      <c r="AP1857" s="21"/>
      <c r="AQ1857" s="21"/>
      <c r="AR1857" s="21"/>
      <c r="AS1857" s="21"/>
      <c r="AT1857" s="12" t="str">
        <f>HYPERLINK("http://www.openstreetmap.org/?mlat=31.3351&amp;mlon=45.2938&amp;zoom=12#map=12/31.3351/45.2938","Maplink1")</f>
        <v>Maplink1</v>
      </c>
      <c r="AU1857" s="12" t="str">
        <f>HYPERLINK("https://www.google.iq/maps/search/+31.3351,45.2938/@31.3351,45.2938,14z?hl=en","Maplink2")</f>
        <v>Maplink2</v>
      </c>
      <c r="AV1857" s="12" t="str">
        <f>HYPERLINK("http://www.bing.com/maps/?lvl=14&amp;sty=h&amp;cp=31.3351~45.2938&amp;sp=point.31.3351_45.2938","Maplink3")</f>
        <v>Maplink3</v>
      </c>
    </row>
    <row r="1858" spans="1:48" ht="15" customHeight="1" x14ac:dyDescent="0.25">
      <c r="A1858" s="19">
        <v>1573</v>
      </c>
      <c r="B1858" s="20" t="s">
        <v>19</v>
      </c>
      <c r="C1858" s="20" t="s">
        <v>3369</v>
      </c>
      <c r="D1858" s="20" t="s">
        <v>3397</v>
      </c>
      <c r="E1858" s="20" t="s">
        <v>3398</v>
      </c>
      <c r="F1858" s="20">
        <v>31.307598070000001</v>
      </c>
      <c r="G1858" s="20">
        <v>45.312543820000002</v>
      </c>
      <c r="H1858" s="22">
        <v>5</v>
      </c>
      <c r="I1858" s="22">
        <v>30</v>
      </c>
      <c r="J1858" s="21"/>
      <c r="K1858" s="21"/>
      <c r="L1858" s="21"/>
      <c r="M1858" s="21"/>
      <c r="N1858" s="21"/>
      <c r="O1858" s="21"/>
      <c r="P1858" s="21"/>
      <c r="Q1858" s="21"/>
      <c r="R1858" s="21">
        <v>1</v>
      </c>
      <c r="S1858" s="21"/>
      <c r="T1858" s="21"/>
      <c r="U1858" s="21"/>
      <c r="V1858" s="21">
        <v>3</v>
      </c>
      <c r="W1858" s="21"/>
      <c r="X1858" s="21">
        <v>1</v>
      </c>
      <c r="Y1858" s="21"/>
      <c r="Z1858" s="21"/>
      <c r="AA1858" s="21"/>
      <c r="AB1858" s="21"/>
      <c r="AC1858" s="21">
        <v>1</v>
      </c>
      <c r="AD1858" s="21"/>
      <c r="AE1858" s="21"/>
      <c r="AF1858" s="21"/>
      <c r="AG1858" s="21"/>
      <c r="AH1858" s="21">
        <v>4</v>
      </c>
      <c r="AI1858" s="21"/>
      <c r="AJ1858" s="21"/>
      <c r="AK1858" s="21"/>
      <c r="AL1858" s="21"/>
      <c r="AM1858" s="21"/>
      <c r="AN1858" s="21">
        <v>4</v>
      </c>
      <c r="AO1858" s="21">
        <v>1</v>
      </c>
      <c r="AP1858" s="21"/>
      <c r="AQ1858" s="21"/>
      <c r="AR1858" s="21"/>
      <c r="AS1858" s="21"/>
      <c r="AT1858" s="12" t="str">
        <f>HYPERLINK("http://www.openstreetmap.org/?mlat=31.3076&amp;mlon=45.3125&amp;zoom=12#map=12/31.3076/45.3125","Maplink1")</f>
        <v>Maplink1</v>
      </c>
      <c r="AU1858" s="12" t="str">
        <f>HYPERLINK("https://www.google.iq/maps/search/+31.3076,45.3125/@31.3076,45.3125,14z?hl=en","Maplink2")</f>
        <v>Maplink2</v>
      </c>
      <c r="AV1858" s="12" t="str">
        <f>HYPERLINK("http://www.bing.com/maps/?lvl=14&amp;sty=h&amp;cp=31.3076~45.3125&amp;sp=point.31.3076_45.3125","Maplink3")</f>
        <v>Maplink3</v>
      </c>
    </row>
    <row r="1859" spans="1:48" ht="15" customHeight="1" x14ac:dyDescent="0.25">
      <c r="A1859" s="19">
        <v>2077</v>
      </c>
      <c r="B1859" s="20" t="s">
        <v>19</v>
      </c>
      <c r="C1859" s="20" t="s">
        <v>3369</v>
      </c>
      <c r="D1859" s="20" t="s">
        <v>5779</v>
      </c>
      <c r="E1859" s="20" t="s">
        <v>5780</v>
      </c>
      <c r="F1859" s="20">
        <v>31.346903999999999</v>
      </c>
      <c r="G1859" s="20">
        <v>45.287101999999997</v>
      </c>
      <c r="H1859" s="22">
        <v>4</v>
      </c>
      <c r="I1859" s="22">
        <v>24</v>
      </c>
      <c r="J1859" s="21">
        <v>1</v>
      </c>
      <c r="K1859" s="21"/>
      <c r="L1859" s="21">
        <v>2</v>
      </c>
      <c r="M1859" s="21"/>
      <c r="N1859" s="21"/>
      <c r="O1859" s="21"/>
      <c r="P1859" s="21"/>
      <c r="Q1859" s="21"/>
      <c r="R1859" s="21"/>
      <c r="S1859" s="21"/>
      <c r="T1859" s="21"/>
      <c r="U1859" s="21"/>
      <c r="V1859" s="21">
        <v>1</v>
      </c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21"/>
      <c r="AH1859" s="21">
        <v>4</v>
      </c>
      <c r="AI1859" s="21"/>
      <c r="AJ1859" s="21"/>
      <c r="AK1859" s="21"/>
      <c r="AL1859" s="21"/>
      <c r="AM1859" s="21">
        <v>2</v>
      </c>
      <c r="AN1859" s="21">
        <v>1</v>
      </c>
      <c r="AO1859" s="21">
        <v>1</v>
      </c>
      <c r="AP1859" s="21"/>
      <c r="AQ1859" s="21"/>
      <c r="AR1859" s="21"/>
      <c r="AS1859" s="21"/>
      <c r="AT1859" s="12" t="str">
        <f>HYPERLINK("http://www.openstreetmap.org/?mlat=31.3469&amp;mlon=45.2871&amp;zoom=12#map=12/31.3469/45.2871","Maplink1")</f>
        <v>Maplink1</v>
      </c>
      <c r="AU1859" s="12" t="str">
        <f>HYPERLINK("https://www.google.iq/maps/search/+31.3469,45.2871/@31.3469,45.2871,14z?hl=en","Maplink2")</f>
        <v>Maplink2</v>
      </c>
      <c r="AV1859" s="12" t="str">
        <f>HYPERLINK("http://www.bing.com/maps/?lvl=14&amp;sty=h&amp;cp=31.3469~45.2871&amp;sp=point.31.3469_45.2871","Maplink3")</f>
        <v>Maplink3</v>
      </c>
    </row>
    <row r="1860" spans="1:48" ht="15" customHeight="1" x14ac:dyDescent="0.25">
      <c r="A1860" s="19">
        <v>19588</v>
      </c>
      <c r="B1860" s="20" t="s">
        <v>20</v>
      </c>
      <c r="C1860" s="20" t="s">
        <v>3399</v>
      </c>
      <c r="D1860" s="20" t="s">
        <v>3400</v>
      </c>
      <c r="E1860" s="20" t="s">
        <v>3401</v>
      </c>
      <c r="F1860" s="20">
        <v>31.805319999999998</v>
      </c>
      <c r="G1860" s="20">
        <v>44.493613000000003</v>
      </c>
      <c r="H1860" s="22">
        <v>18</v>
      </c>
      <c r="I1860" s="22">
        <v>108</v>
      </c>
      <c r="J1860" s="21">
        <v>2</v>
      </c>
      <c r="K1860" s="21"/>
      <c r="L1860" s="21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>
        <v>15</v>
      </c>
      <c r="W1860" s="21"/>
      <c r="X1860" s="21">
        <v>1</v>
      </c>
      <c r="Y1860" s="21"/>
      <c r="Z1860" s="21"/>
      <c r="AA1860" s="21"/>
      <c r="AB1860" s="21"/>
      <c r="AC1860" s="21"/>
      <c r="AD1860" s="21"/>
      <c r="AE1860" s="21"/>
      <c r="AF1860" s="21"/>
      <c r="AG1860" s="21"/>
      <c r="AH1860" s="21">
        <v>18</v>
      </c>
      <c r="AI1860" s="21"/>
      <c r="AJ1860" s="21"/>
      <c r="AK1860" s="21"/>
      <c r="AL1860" s="21"/>
      <c r="AM1860" s="21"/>
      <c r="AN1860" s="21">
        <v>1</v>
      </c>
      <c r="AO1860" s="21">
        <v>15</v>
      </c>
      <c r="AP1860" s="21">
        <v>2</v>
      </c>
      <c r="AQ1860" s="21"/>
      <c r="AR1860" s="21"/>
      <c r="AS1860" s="21"/>
      <c r="AT1860" s="12" t="str">
        <f>HYPERLINK("http://www.openstreetmap.org/?mlat=31.8053&amp;mlon=44.4936&amp;zoom=12#map=12/31.8053/44.4936","Maplink1")</f>
        <v>Maplink1</v>
      </c>
      <c r="AU1860" s="12" t="str">
        <f>HYPERLINK("https://www.google.iq/maps/search/+31.8053,44.4936/@31.8053,44.4936,14z?hl=en","Maplink2")</f>
        <v>Maplink2</v>
      </c>
      <c r="AV1860" s="12" t="str">
        <f>HYPERLINK("http://www.bing.com/maps/?lvl=14&amp;sty=h&amp;cp=31.8053~44.4936&amp;sp=point.31.8053_44.4936","Maplink3")</f>
        <v>Maplink3</v>
      </c>
    </row>
    <row r="1861" spans="1:48" ht="15" customHeight="1" x14ac:dyDescent="0.25">
      <c r="A1861" s="19">
        <v>25907</v>
      </c>
      <c r="B1861" s="20" t="s">
        <v>20</v>
      </c>
      <c r="C1861" s="20" t="s">
        <v>3399</v>
      </c>
      <c r="D1861" s="20" t="s">
        <v>3402</v>
      </c>
      <c r="E1861" s="20" t="s">
        <v>3403</v>
      </c>
      <c r="F1861" s="20">
        <v>31.88871</v>
      </c>
      <c r="G1861" s="20">
        <v>44.489879999999999</v>
      </c>
      <c r="H1861" s="22">
        <v>3</v>
      </c>
      <c r="I1861" s="22">
        <v>18</v>
      </c>
      <c r="J1861" s="21"/>
      <c r="K1861" s="21"/>
      <c r="L1861" s="21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>
        <v>3</v>
      </c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21"/>
      <c r="AH1861" s="21">
        <v>3</v>
      </c>
      <c r="AI1861" s="21"/>
      <c r="AJ1861" s="21"/>
      <c r="AK1861" s="21"/>
      <c r="AL1861" s="21"/>
      <c r="AM1861" s="21"/>
      <c r="AN1861" s="21">
        <v>3</v>
      </c>
      <c r="AO1861" s="21"/>
      <c r="AP1861" s="21"/>
      <c r="AQ1861" s="21"/>
      <c r="AR1861" s="21"/>
      <c r="AS1861" s="21"/>
      <c r="AT1861" s="12" t="str">
        <f>HYPERLINK("http://www.openstreetmap.org/?mlat=31.8887&amp;mlon=44.4899&amp;zoom=12#map=12/31.8887/44.4899","Maplink1")</f>
        <v>Maplink1</v>
      </c>
      <c r="AU1861" s="12" t="str">
        <f>HYPERLINK("https://www.google.iq/maps/search/+31.8887,44.4899/@31.8887,44.4899,14z?hl=en","Maplink2")</f>
        <v>Maplink2</v>
      </c>
      <c r="AV1861" s="12" t="str">
        <f>HYPERLINK("http://www.bing.com/maps/?lvl=14&amp;sty=h&amp;cp=31.8887~44.4899&amp;sp=point.31.8887_44.4899","Maplink3")</f>
        <v>Maplink3</v>
      </c>
    </row>
    <row r="1862" spans="1:48" ht="15" customHeight="1" x14ac:dyDescent="0.25">
      <c r="A1862" s="19">
        <v>22228</v>
      </c>
      <c r="B1862" s="20" t="s">
        <v>20</v>
      </c>
      <c r="C1862" s="20" t="s">
        <v>3399</v>
      </c>
      <c r="D1862" s="20" t="s">
        <v>3404</v>
      </c>
      <c r="E1862" s="20" t="s">
        <v>3405</v>
      </c>
      <c r="F1862" s="20">
        <v>31.917660000000001</v>
      </c>
      <c r="G1862" s="20">
        <v>44.477060000000002</v>
      </c>
      <c r="H1862" s="22">
        <v>47</v>
      </c>
      <c r="I1862" s="22">
        <v>282</v>
      </c>
      <c r="J1862" s="21"/>
      <c r="K1862" s="21"/>
      <c r="L1862" s="21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>
        <v>47</v>
      </c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21">
        <v>7</v>
      </c>
      <c r="AH1862" s="21">
        <v>40</v>
      </c>
      <c r="AI1862" s="21"/>
      <c r="AJ1862" s="21"/>
      <c r="AK1862" s="21"/>
      <c r="AL1862" s="21"/>
      <c r="AM1862" s="21"/>
      <c r="AN1862" s="21">
        <v>47</v>
      </c>
      <c r="AO1862" s="21"/>
      <c r="AP1862" s="21"/>
      <c r="AQ1862" s="21"/>
      <c r="AR1862" s="21"/>
      <c r="AS1862" s="21"/>
      <c r="AT1862" s="12" t="str">
        <f>HYPERLINK("http://www.openstreetmap.org/?mlat=31.9177&amp;mlon=44.4771&amp;zoom=12#map=12/31.9177/44.4771","Maplink1")</f>
        <v>Maplink1</v>
      </c>
      <c r="AU1862" s="12" t="str">
        <f>HYPERLINK("https://www.google.iq/maps/search/+31.9177,44.4771/@31.9177,44.4771,14z?hl=en","Maplink2")</f>
        <v>Maplink2</v>
      </c>
      <c r="AV1862" s="12" t="str">
        <f>HYPERLINK("http://www.bing.com/maps/?lvl=14&amp;sty=h&amp;cp=31.9177~44.4771&amp;sp=point.31.9177_44.4771","Maplink3")</f>
        <v>Maplink3</v>
      </c>
    </row>
    <row r="1863" spans="1:48" ht="15" customHeight="1" x14ac:dyDescent="0.25">
      <c r="A1863" s="19">
        <v>19911</v>
      </c>
      <c r="B1863" s="20" t="s">
        <v>20</v>
      </c>
      <c r="C1863" s="20" t="s">
        <v>3399</v>
      </c>
      <c r="D1863" s="20" t="s">
        <v>3406</v>
      </c>
      <c r="E1863" s="20" t="s">
        <v>3407</v>
      </c>
      <c r="F1863" s="20">
        <v>31.91478</v>
      </c>
      <c r="G1863" s="20">
        <v>44.480879999999999</v>
      </c>
      <c r="H1863" s="22">
        <v>3</v>
      </c>
      <c r="I1863" s="22">
        <v>18</v>
      </c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>
        <v>3</v>
      </c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21">
        <v>3</v>
      </c>
      <c r="AH1863" s="21"/>
      <c r="AI1863" s="21"/>
      <c r="AJ1863" s="21"/>
      <c r="AK1863" s="21"/>
      <c r="AL1863" s="21"/>
      <c r="AM1863" s="21">
        <v>3</v>
      </c>
      <c r="AN1863" s="21"/>
      <c r="AO1863" s="21"/>
      <c r="AP1863" s="21"/>
      <c r="AQ1863" s="21"/>
      <c r="AR1863" s="21"/>
      <c r="AS1863" s="21"/>
      <c r="AT1863" s="12" t="str">
        <f>HYPERLINK("http://www.openstreetmap.org/?mlat=31.9148&amp;mlon=44.4809&amp;zoom=12#map=12/31.9148/44.4809","Maplink1")</f>
        <v>Maplink1</v>
      </c>
      <c r="AU1863" s="12" t="str">
        <f>HYPERLINK("https://www.google.iq/maps/search/+31.9148,44.4809/@31.9148,44.4809,14z?hl=en","Maplink2")</f>
        <v>Maplink2</v>
      </c>
      <c r="AV1863" s="12" t="str">
        <f>HYPERLINK("http://www.bing.com/maps/?lvl=14&amp;sty=h&amp;cp=31.9148~44.4809&amp;sp=point.31.9148_44.4809","Maplink3")</f>
        <v>Maplink3</v>
      </c>
    </row>
    <row r="1864" spans="1:48" ht="15" customHeight="1" x14ac:dyDescent="0.25">
      <c r="A1864" s="19">
        <v>27146</v>
      </c>
      <c r="B1864" s="20" t="s">
        <v>20</v>
      </c>
      <c r="C1864" s="20" t="s">
        <v>3399</v>
      </c>
      <c r="D1864" s="20" t="s">
        <v>3408</v>
      </c>
      <c r="E1864" s="20" t="s">
        <v>3409</v>
      </c>
      <c r="F1864" s="20">
        <v>31.758669999999999</v>
      </c>
      <c r="G1864" s="20">
        <v>44.516039999999997</v>
      </c>
      <c r="H1864" s="22">
        <v>7</v>
      </c>
      <c r="I1864" s="22">
        <v>42</v>
      </c>
      <c r="J1864" s="21">
        <v>1</v>
      </c>
      <c r="K1864" s="21"/>
      <c r="L1864" s="21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>
        <v>6</v>
      </c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21">
        <v>4</v>
      </c>
      <c r="AH1864" s="21">
        <v>3</v>
      </c>
      <c r="AI1864" s="21"/>
      <c r="AJ1864" s="21"/>
      <c r="AK1864" s="21"/>
      <c r="AL1864" s="21"/>
      <c r="AM1864" s="21">
        <v>6</v>
      </c>
      <c r="AN1864" s="21"/>
      <c r="AO1864" s="21"/>
      <c r="AP1864" s="21">
        <v>1</v>
      </c>
      <c r="AQ1864" s="21"/>
      <c r="AR1864" s="21"/>
      <c r="AS1864" s="21"/>
      <c r="AT1864" s="12" t="str">
        <f>HYPERLINK("http://www.openstreetmap.org/?mlat=31.7587&amp;mlon=44.516&amp;zoom=12#map=12/31.7587/44.516","Maplink1")</f>
        <v>Maplink1</v>
      </c>
      <c r="AU1864" s="12" t="str">
        <f>HYPERLINK("https://www.google.iq/maps/search/+31.7587,44.516/@31.7587,44.516,14z?hl=en","Maplink2")</f>
        <v>Maplink2</v>
      </c>
      <c r="AV1864" s="12" t="str">
        <f>HYPERLINK("http://www.bing.com/maps/?lvl=14&amp;sty=h&amp;cp=31.7587~44.516&amp;sp=point.31.7587_44.516","Maplink3")</f>
        <v>Maplink3</v>
      </c>
    </row>
    <row r="1865" spans="1:48" ht="15" customHeight="1" x14ac:dyDescent="0.25">
      <c r="A1865" s="19">
        <v>24614</v>
      </c>
      <c r="B1865" s="20" t="s">
        <v>20</v>
      </c>
      <c r="C1865" s="20" t="s">
        <v>3410</v>
      </c>
      <c r="D1865" s="20" t="s">
        <v>3411</v>
      </c>
      <c r="E1865" s="20" t="s">
        <v>3412</v>
      </c>
      <c r="F1865" s="20">
        <v>32.078260999999998</v>
      </c>
      <c r="G1865" s="20">
        <v>44.440621</v>
      </c>
      <c r="H1865" s="22">
        <v>2</v>
      </c>
      <c r="I1865" s="22">
        <v>12</v>
      </c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>
        <v>2</v>
      </c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21"/>
      <c r="AH1865" s="21">
        <v>2</v>
      </c>
      <c r="AI1865" s="21"/>
      <c r="AJ1865" s="21"/>
      <c r="AK1865" s="21"/>
      <c r="AL1865" s="21"/>
      <c r="AM1865" s="21"/>
      <c r="AN1865" s="21">
        <v>2</v>
      </c>
      <c r="AO1865" s="21"/>
      <c r="AP1865" s="21"/>
      <c r="AQ1865" s="21"/>
      <c r="AR1865" s="21"/>
      <c r="AS1865" s="21"/>
      <c r="AT1865" s="12" t="str">
        <f>HYPERLINK("http://www.openstreetmap.org/?mlat=32.0783&amp;mlon=44.4406&amp;zoom=12#map=12/32.0783/44.4406","Maplink1")</f>
        <v>Maplink1</v>
      </c>
      <c r="AU1865" s="12" t="str">
        <f>HYPERLINK("https://www.google.iq/maps/search/+32.0783,44.4406/@32.0783,44.4406,14z?hl=en","Maplink2")</f>
        <v>Maplink2</v>
      </c>
      <c r="AV1865" s="12" t="str">
        <f>HYPERLINK("http://www.bing.com/maps/?lvl=14&amp;sty=h&amp;cp=32.0783~44.4406&amp;sp=point.32.0783_44.4406","Maplink3")</f>
        <v>Maplink3</v>
      </c>
    </row>
    <row r="1866" spans="1:48" ht="15" customHeight="1" x14ac:dyDescent="0.25">
      <c r="A1866" s="19">
        <v>25636</v>
      </c>
      <c r="B1866" s="20" t="s">
        <v>20</v>
      </c>
      <c r="C1866" s="20" t="s">
        <v>3410</v>
      </c>
      <c r="D1866" s="20" t="s">
        <v>3413</v>
      </c>
      <c r="E1866" s="20" t="s">
        <v>3414</v>
      </c>
      <c r="F1866" s="20">
        <v>32.079307</v>
      </c>
      <c r="G1866" s="20">
        <v>44.453724000000001</v>
      </c>
      <c r="H1866" s="22">
        <v>18</v>
      </c>
      <c r="I1866" s="22">
        <v>108</v>
      </c>
      <c r="J1866" s="21"/>
      <c r="K1866" s="21"/>
      <c r="L1866" s="21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>
        <v>18</v>
      </c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21"/>
      <c r="AH1866" s="21">
        <v>18</v>
      </c>
      <c r="AI1866" s="21"/>
      <c r="AJ1866" s="21"/>
      <c r="AK1866" s="21"/>
      <c r="AL1866" s="21"/>
      <c r="AM1866" s="21">
        <v>18</v>
      </c>
      <c r="AN1866" s="21"/>
      <c r="AO1866" s="21"/>
      <c r="AP1866" s="21"/>
      <c r="AQ1866" s="21"/>
      <c r="AR1866" s="21"/>
      <c r="AS1866" s="21"/>
      <c r="AT1866" s="12" t="str">
        <f>HYPERLINK("http://www.openstreetmap.org/?mlat=32.0793&amp;mlon=44.4537&amp;zoom=12#map=12/32.0793/44.4537","Maplink1")</f>
        <v>Maplink1</v>
      </c>
      <c r="AU1866" s="12" t="str">
        <f>HYPERLINK("https://www.google.iq/maps/search/+32.0793,44.4537/@32.0793,44.4537,14z?hl=en","Maplink2")</f>
        <v>Maplink2</v>
      </c>
      <c r="AV1866" s="12" t="str">
        <f>HYPERLINK("http://www.bing.com/maps/?lvl=14&amp;sty=h&amp;cp=32.0793~44.4537&amp;sp=point.32.0793_44.4537","Maplink3")</f>
        <v>Maplink3</v>
      </c>
    </row>
    <row r="1867" spans="1:48" ht="15" customHeight="1" x14ac:dyDescent="0.25">
      <c r="A1867" s="19">
        <v>20173</v>
      </c>
      <c r="B1867" s="20" t="s">
        <v>20</v>
      </c>
      <c r="C1867" s="20" t="s">
        <v>3410</v>
      </c>
      <c r="D1867" s="20" t="s">
        <v>3415</v>
      </c>
      <c r="E1867" s="20" t="s">
        <v>3416</v>
      </c>
      <c r="F1867" s="20">
        <v>32.073300000000003</v>
      </c>
      <c r="G1867" s="20">
        <v>44.435699999999997</v>
      </c>
      <c r="H1867" s="22">
        <v>3</v>
      </c>
      <c r="I1867" s="22">
        <v>18</v>
      </c>
      <c r="J1867" s="21"/>
      <c r="K1867" s="21"/>
      <c r="L1867" s="21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>
        <v>3</v>
      </c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21"/>
      <c r="AH1867" s="21">
        <v>3</v>
      </c>
      <c r="AI1867" s="21"/>
      <c r="AJ1867" s="21"/>
      <c r="AK1867" s="21"/>
      <c r="AL1867" s="21"/>
      <c r="AM1867" s="21">
        <v>3</v>
      </c>
      <c r="AN1867" s="21"/>
      <c r="AO1867" s="21"/>
      <c r="AP1867" s="21"/>
      <c r="AQ1867" s="21"/>
      <c r="AR1867" s="21"/>
      <c r="AS1867" s="21"/>
      <c r="AT1867" s="12" t="str">
        <f>HYPERLINK("http://www.openstreetmap.org/?mlat=32.0733&amp;mlon=44.4357&amp;zoom=12#map=12/32.0733/44.4357","Maplink1")</f>
        <v>Maplink1</v>
      </c>
      <c r="AU1867" s="12" t="str">
        <f>HYPERLINK("https://www.google.iq/maps/search/+32.0733,44.4357/@32.0733,44.4357,14z?hl=en","Maplink2")</f>
        <v>Maplink2</v>
      </c>
      <c r="AV1867" s="12" t="str">
        <f>HYPERLINK("http://www.bing.com/maps/?lvl=14&amp;sty=h&amp;cp=32.0733~44.4357&amp;sp=point.32.0733_44.4357","Maplink3")</f>
        <v>Maplink3</v>
      </c>
    </row>
    <row r="1868" spans="1:48" ht="15" customHeight="1" x14ac:dyDescent="0.25">
      <c r="A1868" s="19">
        <v>24613</v>
      </c>
      <c r="B1868" s="20" t="s">
        <v>20</v>
      </c>
      <c r="C1868" s="20" t="s">
        <v>3410</v>
      </c>
      <c r="D1868" s="20" t="s">
        <v>3417</v>
      </c>
      <c r="E1868" s="20" t="s">
        <v>3418</v>
      </c>
      <c r="F1868" s="20">
        <v>32.075380000000003</v>
      </c>
      <c r="G1868" s="20">
        <v>44.437570000000001</v>
      </c>
      <c r="H1868" s="22">
        <v>2</v>
      </c>
      <c r="I1868" s="22">
        <v>12</v>
      </c>
      <c r="J1868" s="21"/>
      <c r="K1868" s="21"/>
      <c r="L1868" s="21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>
        <v>2</v>
      </c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21"/>
      <c r="AH1868" s="21">
        <v>2</v>
      </c>
      <c r="AI1868" s="21"/>
      <c r="AJ1868" s="21"/>
      <c r="AK1868" s="21"/>
      <c r="AL1868" s="21"/>
      <c r="AM1868" s="21">
        <v>2</v>
      </c>
      <c r="AN1868" s="21"/>
      <c r="AO1868" s="21"/>
      <c r="AP1868" s="21"/>
      <c r="AQ1868" s="21"/>
      <c r="AR1868" s="21"/>
      <c r="AS1868" s="21"/>
      <c r="AT1868" s="12" t="str">
        <f>HYPERLINK("http://www.openstreetmap.org/?mlat=32.0754&amp;mlon=44.4376&amp;zoom=12#map=12/32.0754/44.4376","Maplink1")</f>
        <v>Maplink1</v>
      </c>
      <c r="AU1868" s="12" t="str">
        <f>HYPERLINK("https://www.google.iq/maps/search/+32.0754,44.4376/@32.0754,44.4376,14z?hl=en","Maplink2")</f>
        <v>Maplink2</v>
      </c>
      <c r="AV1868" s="12" t="str">
        <f>HYPERLINK("http://www.bing.com/maps/?lvl=14&amp;sty=h&amp;cp=32.0754~44.4376&amp;sp=point.32.0754_44.4376","Maplink3")</f>
        <v>Maplink3</v>
      </c>
    </row>
    <row r="1869" spans="1:48" ht="15" customHeight="1" x14ac:dyDescent="0.25">
      <c r="A1869" s="19">
        <v>20298</v>
      </c>
      <c r="B1869" s="20" t="s">
        <v>20</v>
      </c>
      <c r="C1869" s="20" t="s">
        <v>3410</v>
      </c>
      <c r="D1869" s="20" t="s">
        <v>3419</v>
      </c>
      <c r="E1869" s="20" t="s">
        <v>3420</v>
      </c>
      <c r="F1869" s="20">
        <v>32.009259999999998</v>
      </c>
      <c r="G1869" s="20">
        <v>44.408529999999999</v>
      </c>
      <c r="H1869" s="22">
        <v>5</v>
      </c>
      <c r="I1869" s="22">
        <v>30</v>
      </c>
      <c r="J1869" s="21"/>
      <c r="K1869" s="21"/>
      <c r="L1869" s="21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>
        <v>5</v>
      </c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21"/>
      <c r="AH1869" s="21">
        <v>5</v>
      </c>
      <c r="AI1869" s="21"/>
      <c r="AJ1869" s="21"/>
      <c r="AK1869" s="21"/>
      <c r="AL1869" s="21"/>
      <c r="AM1869" s="21">
        <v>5</v>
      </c>
      <c r="AN1869" s="21"/>
      <c r="AO1869" s="21"/>
      <c r="AP1869" s="21"/>
      <c r="AQ1869" s="21"/>
      <c r="AR1869" s="21"/>
      <c r="AS1869" s="21"/>
      <c r="AT1869" s="12" t="str">
        <f>HYPERLINK("http://www.openstreetmap.org/?mlat=32.0093&amp;mlon=44.4085&amp;zoom=12#map=12/32.0093/44.4085","Maplink1")</f>
        <v>Maplink1</v>
      </c>
      <c r="AU1869" s="12" t="str">
        <f>HYPERLINK("https://www.google.iq/maps/search/+32.0093,44.4085/@32.0093,44.4085,14z?hl=en","Maplink2")</f>
        <v>Maplink2</v>
      </c>
      <c r="AV1869" s="12" t="str">
        <f>HYPERLINK("http://www.bing.com/maps/?lvl=14&amp;sty=h&amp;cp=32.0093~44.4085&amp;sp=point.32.0093_44.4085","Maplink3")</f>
        <v>Maplink3</v>
      </c>
    </row>
    <row r="1870" spans="1:48" ht="15" customHeight="1" x14ac:dyDescent="0.25">
      <c r="A1870" s="19">
        <v>20340</v>
      </c>
      <c r="B1870" s="20" t="s">
        <v>20</v>
      </c>
      <c r="C1870" s="20" t="s">
        <v>3410</v>
      </c>
      <c r="D1870" s="20" t="s">
        <v>3421</v>
      </c>
      <c r="E1870" s="20" t="s">
        <v>3422</v>
      </c>
      <c r="F1870" s="20">
        <v>32.103444000000003</v>
      </c>
      <c r="G1870" s="20">
        <v>44.543801999999999</v>
      </c>
      <c r="H1870" s="22">
        <v>6</v>
      </c>
      <c r="I1870" s="22">
        <v>36</v>
      </c>
      <c r="J1870" s="21"/>
      <c r="K1870" s="21"/>
      <c r="L1870" s="21"/>
      <c r="M1870" s="21"/>
      <c r="N1870" s="21"/>
      <c r="O1870" s="21"/>
      <c r="P1870" s="21"/>
      <c r="Q1870" s="21"/>
      <c r="R1870" s="21">
        <v>1</v>
      </c>
      <c r="S1870" s="21"/>
      <c r="T1870" s="21"/>
      <c r="U1870" s="21"/>
      <c r="V1870" s="21">
        <v>5</v>
      </c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21">
        <v>2</v>
      </c>
      <c r="AH1870" s="21">
        <v>4</v>
      </c>
      <c r="AI1870" s="21"/>
      <c r="AJ1870" s="21"/>
      <c r="AK1870" s="21"/>
      <c r="AL1870" s="21">
        <v>1</v>
      </c>
      <c r="AM1870" s="21"/>
      <c r="AN1870" s="21">
        <v>5</v>
      </c>
      <c r="AO1870" s="21"/>
      <c r="AP1870" s="21"/>
      <c r="AQ1870" s="21"/>
      <c r="AR1870" s="21"/>
      <c r="AS1870" s="21"/>
      <c r="AT1870" s="12" t="str">
        <f>HYPERLINK("http://www.openstreetmap.org/?mlat=32.1034&amp;mlon=44.5438&amp;zoom=12#map=12/32.1034/44.5438","Maplink1")</f>
        <v>Maplink1</v>
      </c>
      <c r="AU1870" s="12" t="str">
        <f>HYPERLINK("https://www.google.iq/maps/search/+32.1034,44.5438/@32.1034,44.5438,14z?hl=en","Maplink2")</f>
        <v>Maplink2</v>
      </c>
      <c r="AV1870" s="12" t="str">
        <f>HYPERLINK("http://www.bing.com/maps/?lvl=14&amp;sty=h&amp;cp=32.1034~44.5438&amp;sp=point.32.1034_44.5438","Maplink3")</f>
        <v>Maplink3</v>
      </c>
    </row>
    <row r="1871" spans="1:48" ht="15" customHeight="1" x14ac:dyDescent="0.25">
      <c r="A1871" s="19">
        <v>19641</v>
      </c>
      <c r="B1871" s="20" t="s">
        <v>20</v>
      </c>
      <c r="C1871" s="20" t="s">
        <v>3410</v>
      </c>
      <c r="D1871" s="20" t="s">
        <v>3423</v>
      </c>
      <c r="E1871" s="20" t="s">
        <v>3424</v>
      </c>
      <c r="F1871" s="20">
        <v>32.021881</v>
      </c>
      <c r="G1871" s="20">
        <v>44.406927000000003</v>
      </c>
      <c r="H1871" s="22">
        <v>5</v>
      </c>
      <c r="I1871" s="22">
        <v>30</v>
      </c>
      <c r="J1871" s="21"/>
      <c r="K1871" s="21"/>
      <c r="L1871" s="21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>
        <v>5</v>
      </c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21"/>
      <c r="AH1871" s="21">
        <v>5</v>
      </c>
      <c r="AI1871" s="21"/>
      <c r="AJ1871" s="21"/>
      <c r="AK1871" s="21"/>
      <c r="AL1871" s="21"/>
      <c r="AM1871" s="21">
        <v>5</v>
      </c>
      <c r="AN1871" s="21"/>
      <c r="AO1871" s="21"/>
      <c r="AP1871" s="21"/>
      <c r="AQ1871" s="21"/>
      <c r="AR1871" s="21"/>
      <c r="AS1871" s="21"/>
      <c r="AT1871" s="12" t="str">
        <f>HYPERLINK("http://www.openstreetmap.org/?mlat=32.0219&amp;mlon=44.4069&amp;zoom=12#map=12/32.0219/44.4069","Maplink1")</f>
        <v>Maplink1</v>
      </c>
      <c r="AU1871" s="12" t="str">
        <f>HYPERLINK("https://www.google.iq/maps/search/+32.0219,44.4069/@32.0219,44.4069,14z?hl=en","Maplink2")</f>
        <v>Maplink2</v>
      </c>
      <c r="AV1871" s="12" t="str">
        <f>HYPERLINK("http://www.bing.com/maps/?lvl=14&amp;sty=h&amp;cp=32.0219~44.4069&amp;sp=point.32.0219_44.4069","Maplink3")</f>
        <v>Maplink3</v>
      </c>
    </row>
    <row r="1872" spans="1:48" ht="15" customHeight="1" x14ac:dyDescent="0.25">
      <c r="A1872" s="19">
        <v>20046</v>
      </c>
      <c r="B1872" s="20" t="s">
        <v>20</v>
      </c>
      <c r="C1872" s="20" t="s">
        <v>3410</v>
      </c>
      <c r="D1872" s="20" t="s">
        <v>3425</v>
      </c>
      <c r="E1872" s="20" t="s">
        <v>3426</v>
      </c>
      <c r="F1872" s="20">
        <v>32.020356999999997</v>
      </c>
      <c r="G1872" s="20">
        <v>44.404232</v>
      </c>
      <c r="H1872" s="22">
        <v>4</v>
      </c>
      <c r="I1872" s="22">
        <v>24</v>
      </c>
      <c r="J1872" s="21">
        <v>4</v>
      </c>
      <c r="K1872" s="21"/>
      <c r="L1872" s="21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21"/>
      <c r="AH1872" s="21">
        <v>4</v>
      </c>
      <c r="AI1872" s="21"/>
      <c r="AJ1872" s="21"/>
      <c r="AK1872" s="21"/>
      <c r="AL1872" s="21">
        <v>4</v>
      </c>
      <c r="AM1872" s="21"/>
      <c r="AN1872" s="21"/>
      <c r="AO1872" s="21"/>
      <c r="AP1872" s="21"/>
      <c r="AQ1872" s="21"/>
      <c r="AR1872" s="21"/>
      <c r="AS1872" s="21"/>
      <c r="AT1872" s="12" t="str">
        <f>HYPERLINK("http://www.openstreetmap.org/?mlat=32.0204&amp;mlon=44.4042&amp;zoom=12#map=12/32.0204/44.4042","Maplink1")</f>
        <v>Maplink1</v>
      </c>
      <c r="AU1872" s="12" t="str">
        <f>HYPERLINK("https://www.google.iq/maps/search/+32.0204,44.4042/@32.0204,44.4042,14z?hl=en","Maplink2")</f>
        <v>Maplink2</v>
      </c>
      <c r="AV1872" s="12" t="str">
        <f>HYPERLINK("http://www.bing.com/maps/?lvl=14&amp;sty=h&amp;cp=32.0204~44.4042&amp;sp=point.32.0204_44.4042","Maplink3")</f>
        <v>Maplink3</v>
      </c>
    </row>
    <row r="1873" spans="1:48" ht="15" customHeight="1" x14ac:dyDescent="0.25">
      <c r="A1873" s="19">
        <v>24145</v>
      </c>
      <c r="B1873" s="20" t="s">
        <v>20</v>
      </c>
      <c r="C1873" s="20" t="s">
        <v>3410</v>
      </c>
      <c r="D1873" s="20" t="s">
        <v>3427</v>
      </c>
      <c r="E1873" s="20" t="s">
        <v>3428</v>
      </c>
      <c r="F1873" s="20">
        <v>32.019176000000002</v>
      </c>
      <c r="G1873" s="20">
        <v>44.405565000000003</v>
      </c>
      <c r="H1873" s="22">
        <v>3</v>
      </c>
      <c r="I1873" s="22">
        <v>18</v>
      </c>
      <c r="J1873" s="21"/>
      <c r="K1873" s="21"/>
      <c r="L1873" s="21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>
        <v>3</v>
      </c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21"/>
      <c r="AH1873" s="21">
        <v>3</v>
      </c>
      <c r="AI1873" s="21"/>
      <c r="AJ1873" s="21"/>
      <c r="AK1873" s="21"/>
      <c r="AL1873" s="21"/>
      <c r="AM1873" s="21"/>
      <c r="AN1873" s="21">
        <v>3</v>
      </c>
      <c r="AO1873" s="21"/>
      <c r="AP1873" s="21"/>
      <c r="AQ1873" s="21"/>
      <c r="AR1873" s="21"/>
      <c r="AS1873" s="21"/>
      <c r="AT1873" s="12" t="str">
        <f>HYPERLINK("http://www.openstreetmap.org/?mlat=32.0192&amp;mlon=44.4056&amp;zoom=12#map=12/32.0192/44.4056","Maplink1")</f>
        <v>Maplink1</v>
      </c>
      <c r="AU1873" s="12" t="str">
        <f>HYPERLINK("https://www.google.iq/maps/search/+32.0192,44.4056/@32.0192,44.4056,14z?hl=en","Maplink2")</f>
        <v>Maplink2</v>
      </c>
      <c r="AV1873" s="12" t="str">
        <f>HYPERLINK("http://www.bing.com/maps/?lvl=14&amp;sty=h&amp;cp=32.0192~44.4056&amp;sp=point.32.0192_44.4056","Maplink3")</f>
        <v>Maplink3</v>
      </c>
    </row>
    <row r="1874" spans="1:48" ht="15" customHeight="1" x14ac:dyDescent="0.25">
      <c r="A1874" s="19">
        <v>20048</v>
      </c>
      <c r="B1874" s="20" t="s">
        <v>20</v>
      </c>
      <c r="C1874" s="20" t="s">
        <v>3410</v>
      </c>
      <c r="D1874" s="20" t="s">
        <v>3429</v>
      </c>
      <c r="E1874" s="20" t="s">
        <v>3430</v>
      </c>
      <c r="F1874" s="20">
        <v>32.020322999999998</v>
      </c>
      <c r="G1874" s="20">
        <v>44.407842000000002</v>
      </c>
      <c r="H1874" s="22">
        <v>3</v>
      </c>
      <c r="I1874" s="22">
        <v>18</v>
      </c>
      <c r="J1874" s="21"/>
      <c r="K1874" s="21"/>
      <c r="L1874" s="21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>
        <v>3</v>
      </c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21"/>
      <c r="AH1874" s="21">
        <v>3</v>
      </c>
      <c r="AI1874" s="21"/>
      <c r="AJ1874" s="21"/>
      <c r="AK1874" s="21"/>
      <c r="AL1874" s="21"/>
      <c r="AM1874" s="21">
        <v>3</v>
      </c>
      <c r="AN1874" s="21"/>
      <c r="AO1874" s="21"/>
      <c r="AP1874" s="21"/>
      <c r="AQ1874" s="21"/>
      <c r="AR1874" s="21"/>
      <c r="AS1874" s="21"/>
      <c r="AT1874" s="12" t="str">
        <f>HYPERLINK("http://www.openstreetmap.org/?mlat=32.0203&amp;mlon=44.4078&amp;zoom=12#map=12/32.0203/44.4078","Maplink1")</f>
        <v>Maplink1</v>
      </c>
      <c r="AU1874" s="12" t="str">
        <f>HYPERLINK("https://www.google.iq/maps/search/+32.0203,44.4078/@32.0203,44.4078,14z?hl=en","Maplink2")</f>
        <v>Maplink2</v>
      </c>
      <c r="AV1874" s="12" t="str">
        <f>HYPERLINK("http://www.bing.com/maps/?lvl=14&amp;sty=h&amp;cp=32.0203~44.4078&amp;sp=point.32.0203_44.4078","Maplink3")</f>
        <v>Maplink3</v>
      </c>
    </row>
    <row r="1875" spans="1:48" ht="15" customHeight="1" x14ac:dyDescent="0.25">
      <c r="A1875" s="19">
        <v>19634</v>
      </c>
      <c r="B1875" s="20" t="s">
        <v>20</v>
      </c>
      <c r="C1875" s="20" t="s">
        <v>3410</v>
      </c>
      <c r="D1875" s="20" t="s">
        <v>3431</v>
      </c>
      <c r="E1875" s="20" t="s">
        <v>3432</v>
      </c>
      <c r="F1875" s="20">
        <v>32.038330000000002</v>
      </c>
      <c r="G1875" s="20">
        <v>44.382759999999998</v>
      </c>
      <c r="H1875" s="22">
        <v>13</v>
      </c>
      <c r="I1875" s="22">
        <v>78</v>
      </c>
      <c r="J1875" s="21"/>
      <c r="K1875" s="21"/>
      <c r="L1875" s="21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>
        <v>13</v>
      </c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21"/>
      <c r="AH1875" s="21">
        <v>13</v>
      </c>
      <c r="AI1875" s="21"/>
      <c r="AJ1875" s="21"/>
      <c r="AK1875" s="21"/>
      <c r="AL1875" s="21"/>
      <c r="AM1875" s="21">
        <v>13</v>
      </c>
      <c r="AN1875" s="21"/>
      <c r="AO1875" s="21"/>
      <c r="AP1875" s="21"/>
      <c r="AQ1875" s="21"/>
      <c r="AR1875" s="21"/>
      <c r="AS1875" s="21"/>
      <c r="AT1875" s="12" t="str">
        <f>HYPERLINK("http://www.openstreetmap.org/?mlat=32.0383&amp;mlon=44.3828&amp;zoom=12#map=12/32.0383/44.3828","Maplink1")</f>
        <v>Maplink1</v>
      </c>
      <c r="AU1875" s="12" t="str">
        <f>HYPERLINK("https://www.google.iq/maps/search/+32.0383,44.3828/@32.0383,44.3828,14z?hl=en","Maplink2")</f>
        <v>Maplink2</v>
      </c>
      <c r="AV1875" s="12" t="str">
        <f>HYPERLINK("http://www.bing.com/maps/?lvl=14&amp;sty=h&amp;cp=32.0383~44.3828&amp;sp=point.32.0383_44.3828","Maplink3")</f>
        <v>Maplink3</v>
      </c>
    </row>
    <row r="1876" spans="1:48" ht="15" customHeight="1" x14ac:dyDescent="0.25">
      <c r="A1876" s="19">
        <v>20089</v>
      </c>
      <c r="B1876" s="20" t="s">
        <v>20</v>
      </c>
      <c r="C1876" s="20" t="s">
        <v>3410</v>
      </c>
      <c r="D1876" s="20" t="s">
        <v>3433</v>
      </c>
      <c r="E1876" s="20" t="s">
        <v>3434</v>
      </c>
      <c r="F1876" s="20">
        <v>32.04318</v>
      </c>
      <c r="G1876" s="20">
        <v>44.379539999999999</v>
      </c>
      <c r="H1876" s="22">
        <v>4</v>
      </c>
      <c r="I1876" s="22">
        <v>24</v>
      </c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>
        <v>4</v>
      </c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21"/>
      <c r="AH1876" s="21">
        <v>4</v>
      </c>
      <c r="AI1876" s="21"/>
      <c r="AJ1876" s="21"/>
      <c r="AK1876" s="21"/>
      <c r="AL1876" s="21"/>
      <c r="AM1876" s="21"/>
      <c r="AN1876" s="21"/>
      <c r="AO1876" s="21">
        <v>4</v>
      </c>
      <c r="AP1876" s="21"/>
      <c r="AQ1876" s="21"/>
      <c r="AR1876" s="21"/>
      <c r="AS1876" s="21"/>
      <c r="AT1876" s="12" t="str">
        <f>HYPERLINK("http://www.openstreetmap.org/?mlat=32.0432&amp;mlon=44.3795&amp;zoom=12#map=12/32.0432/44.3795","Maplink1")</f>
        <v>Maplink1</v>
      </c>
      <c r="AU1876" s="12" t="str">
        <f>HYPERLINK("https://www.google.iq/maps/search/+32.0432,44.3795/@32.0432,44.3795,14z?hl=en","Maplink2")</f>
        <v>Maplink2</v>
      </c>
      <c r="AV1876" s="12" t="str">
        <f>HYPERLINK("http://www.bing.com/maps/?lvl=14&amp;sty=h&amp;cp=32.0432~44.3795&amp;sp=point.32.0432_44.3795","Maplink3")</f>
        <v>Maplink3</v>
      </c>
    </row>
    <row r="1877" spans="1:48" ht="15" customHeight="1" x14ac:dyDescent="0.25">
      <c r="A1877" s="19">
        <v>25644</v>
      </c>
      <c r="B1877" s="20" t="s">
        <v>20</v>
      </c>
      <c r="C1877" s="20" t="s">
        <v>3410</v>
      </c>
      <c r="D1877" s="20" t="s">
        <v>3435</v>
      </c>
      <c r="E1877" s="20" t="s">
        <v>3436</v>
      </c>
      <c r="F1877" s="20">
        <v>32.036929999999998</v>
      </c>
      <c r="G1877" s="20">
        <v>44.388060000000003</v>
      </c>
      <c r="H1877" s="22">
        <v>5</v>
      </c>
      <c r="I1877" s="22">
        <v>30</v>
      </c>
      <c r="J1877" s="21"/>
      <c r="K1877" s="21"/>
      <c r="L1877" s="21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>
        <v>5</v>
      </c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21"/>
      <c r="AH1877" s="21">
        <v>5</v>
      </c>
      <c r="AI1877" s="21"/>
      <c r="AJ1877" s="21"/>
      <c r="AK1877" s="21"/>
      <c r="AL1877" s="21">
        <v>5</v>
      </c>
      <c r="AM1877" s="21"/>
      <c r="AN1877" s="21"/>
      <c r="AO1877" s="21"/>
      <c r="AP1877" s="21"/>
      <c r="AQ1877" s="21"/>
      <c r="AR1877" s="21"/>
      <c r="AS1877" s="21"/>
      <c r="AT1877" s="12" t="str">
        <f>HYPERLINK("http://www.openstreetmap.org/?mlat=32.0369&amp;mlon=44.3881&amp;zoom=12#map=12/32.0369/44.3881","Maplink1")</f>
        <v>Maplink1</v>
      </c>
      <c r="AU1877" s="12" t="str">
        <f>HYPERLINK("https://www.google.iq/maps/search/+32.0369,44.3881/@32.0369,44.3881,14z?hl=en","Maplink2")</f>
        <v>Maplink2</v>
      </c>
      <c r="AV1877" s="12" t="str">
        <f>HYPERLINK("http://www.bing.com/maps/?lvl=14&amp;sty=h&amp;cp=32.0369~44.3881&amp;sp=point.32.0369_44.3881","Maplink3")</f>
        <v>Maplink3</v>
      </c>
    </row>
    <row r="1878" spans="1:48" ht="15" customHeight="1" x14ac:dyDescent="0.25">
      <c r="A1878" s="19">
        <v>24374</v>
      </c>
      <c r="B1878" s="20" t="s">
        <v>20</v>
      </c>
      <c r="C1878" s="20" t="s">
        <v>3410</v>
      </c>
      <c r="D1878" s="20" t="s">
        <v>3437</v>
      </c>
      <c r="E1878" s="20" t="s">
        <v>3438</v>
      </c>
      <c r="F1878" s="20">
        <v>32.059449999999998</v>
      </c>
      <c r="G1878" s="20">
        <v>44.401980000000002</v>
      </c>
      <c r="H1878" s="22">
        <v>10</v>
      </c>
      <c r="I1878" s="22">
        <v>60</v>
      </c>
      <c r="J1878" s="21"/>
      <c r="K1878" s="21"/>
      <c r="L1878" s="21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>
        <v>10</v>
      </c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21"/>
      <c r="AH1878" s="21">
        <v>10</v>
      </c>
      <c r="AI1878" s="21"/>
      <c r="AJ1878" s="21"/>
      <c r="AK1878" s="21"/>
      <c r="AL1878" s="21"/>
      <c r="AM1878" s="21">
        <v>10</v>
      </c>
      <c r="AN1878" s="21"/>
      <c r="AO1878" s="21"/>
      <c r="AP1878" s="21"/>
      <c r="AQ1878" s="21"/>
      <c r="AR1878" s="21"/>
      <c r="AS1878" s="21"/>
      <c r="AT1878" s="12" t="str">
        <f>HYPERLINK("http://www.openstreetmap.org/?mlat=32.0594&amp;mlon=44.402&amp;zoom=12#map=12/32.0594/44.402","Maplink1")</f>
        <v>Maplink1</v>
      </c>
      <c r="AU1878" s="12" t="str">
        <f>HYPERLINK("https://www.google.iq/maps/search/+32.0594,44.402/@32.0594,44.402,14z?hl=en","Maplink2")</f>
        <v>Maplink2</v>
      </c>
      <c r="AV1878" s="12" t="str">
        <f>HYPERLINK("http://www.bing.com/maps/?lvl=14&amp;sty=h&amp;cp=32.0594~44.402&amp;sp=point.32.0594_44.402","Maplink3")</f>
        <v>Maplink3</v>
      </c>
    </row>
    <row r="1879" spans="1:48" ht="15" customHeight="1" x14ac:dyDescent="0.25">
      <c r="A1879" s="19">
        <v>23485</v>
      </c>
      <c r="B1879" s="20" t="s">
        <v>20</v>
      </c>
      <c r="C1879" s="20" t="s">
        <v>3410</v>
      </c>
      <c r="D1879" s="20" t="s">
        <v>3439</v>
      </c>
      <c r="E1879" s="20" t="s">
        <v>3440</v>
      </c>
      <c r="F1879" s="20">
        <v>32.038969999999999</v>
      </c>
      <c r="G1879" s="20">
        <v>44.427039999999998</v>
      </c>
      <c r="H1879" s="22">
        <v>5</v>
      </c>
      <c r="I1879" s="22">
        <v>30</v>
      </c>
      <c r="J1879" s="21"/>
      <c r="K1879" s="21"/>
      <c r="L1879" s="21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>
        <v>5</v>
      </c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21"/>
      <c r="AH1879" s="21">
        <v>5</v>
      </c>
      <c r="AI1879" s="21"/>
      <c r="AJ1879" s="21"/>
      <c r="AK1879" s="21"/>
      <c r="AL1879" s="21"/>
      <c r="AM1879" s="21">
        <v>5</v>
      </c>
      <c r="AN1879" s="21"/>
      <c r="AO1879" s="21"/>
      <c r="AP1879" s="21"/>
      <c r="AQ1879" s="21"/>
      <c r="AR1879" s="21"/>
      <c r="AS1879" s="21"/>
      <c r="AT1879" s="12" t="str">
        <f>HYPERLINK("http://www.openstreetmap.org/?mlat=32.039&amp;mlon=44.427&amp;zoom=12#map=12/32.039/44.427","Maplink1")</f>
        <v>Maplink1</v>
      </c>
      <c r="AU1879" s="12" t="str">
        <f>HYPERLINK("https://www.google.iq/maps/search/+32.039,44.427/@32.039,44.427,14z?hl=en","Maplink2")</f>
        <v>Maplink2</v>
      </c>
      <c r="AV1879" s="12" t="str">
        <f>HYPERLINK("http://www.bing.com/maps/?lvl=14&amp;sty=h&amp;cp=32.039~44.427&amp;sp=point.32.039_44.427","Maplink3")</f>
        <v>Maplink3</v>
      </c>
    </row>
    <row r="1880" spans="1:48" ht="15" customHeight="1" x14ac:dyDescent="0.25">
      <c r="A1880" s="19">
        <v>24311</v>
      </c>
      <c r="B1880" s="20" t="s">
        <v>20</v>
      </c>
      <c r="C1880" s="20" t="s">
        <v>3410</v>
      </c>
      <c r="D1880" s="20" t="s">
        <v>3441</v>
      </c>
      <c r="E1880" s="20" t="s">
        <v>3442</v>
      </c>
      <c r="F1880" s="20">
        <v>32.079250000000002</v>
      </c>
      <c r="G1880" s="20">
        <v>44.377099999999999</v>
      </c>
      <c r="H1880" s="22">
        <v>64</v>
      </c>
      <c r="I1880" s="22">
        <v>384</v>
      </c>
      <c r="J1880" s="21"/>
      <c r="K1880" s="21"/>
      <c r="L1880" s="21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>
        <v>64</v>
      </c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21"/>
      <c r="AH1880" s="21">
        <v>64</v>
      </c>
      <c r="AI1880" s="21"/>
      <c r="AJ1880" s="21"/>
      <c r="AK1880" s="21"/>
      <c r="AL1880" s="21"/>
      <c r="AM1880" s="21"/>
      <c r="AN1880" s="21"/>
      <c r="AO1880" s="21">
        <v>64</v>
      </c>
      <c r="AP1880" s="21"/>
      <c r="AQ1880" s="21"/>
      <c r="AR1880" s="21"/>
      <c r="AS1880" s="21"/>
      <c r="AT1880" s="12" t="str">
        <f>HYPERLINK("http://www.openstreetmap.org/?mlat=32.0793&amp;mlon=44.3771&amp;zoom=12#map=12/32.0793/44.3771","Maplink1")</f>
        <v>Maplink1</v>
      </c>
      <c r="AU1880" s="12" t="str">
        <f>HYPERLINK("https://www.google.iq/maps/search/+32.0793,44.3771/@32.0793,44.3771,14z?hl=en","Maplink2")</f>
        <v>Maplink2</v>
      </c>
      <c r="AV1880" s="12" t="str">
        <f>HYPERLINK("http://www.bing.com/maps/?lvl=14&amp;sty=h&amp;cp=32.0793~44.3771&amp;sp=point.32.0793_44.3771","Maplink3")</f>
        <v>Maplink3</v>
      </c>
    </row>
    <row r="1881" spans="1:48" ht="15" customHeight="1" x14ac:dyDescent="0.25">
      <c r="A1881" s="19">
        <v>20041</v>
      </c>
      <c r="B1881" s="20" t="s">
        <v>20</v>
      </c>
      <c r="C1881" s="20" t="s">
        <v>3410</v>
      </c>
      <c r="D1881" s="20" t="s">
        <v>3443</v>
      </c>
      <c r="E1881" s="20" t="s">
        <v>3444</v>
      </c>
      <c r="F1881" s="20">
        <v>32.032020000000003</v>
      </c>
      <c r="G1881" s="20">
        <v>44.408169999999998</v>
      </c>
      <c r="H1881" s="22">
        <v>3</v>
      </c>
      <c r="I1881" s="22">
        <v>18</v>
      </c>
      <c r="J1881" s="21"/>
      <c r="K1881" s="21"/>
      <c r="L1881" s="21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>
        <v>3</v>
      </c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21"/>
      <c r="AH1881" s="21">
        <v>3</v>
      </c>
      <c r="AI1881" s="21"/>
      <c r="AJ1881" s="21"/>
      <c r="AK1881" s="21"/>
      <c r="AL1881" s="21"/>
      <c r="AM1881" s="21"/>
      <c r="AN1881" s="21">
        <v>3</v>
      </c>
      <c r="AO1881" s="21"/>
      <c r="AP1881" s="21"/>
      <c r="AQ1881" s="21"/>
      <c r="AR1881" s="21"/>
      <c r="AS1881" s="21"/>
      <c r="AT1881" s="12" t="str">
        <f>HYPERLINK("http://www.openstreetmap.org/?mlat=32.032&amp;mlon=44.4082&amp;zoom=12#map=12/32.032/44.4082","Maplink1")</f>
        <v>Maplink1</v>
      </c>
      <c r="AU1881" s="12" t="str">
        <f>HYPERLINK("https://www.google.iq/maps/search/+32.032,44.4082/@32.032,44.4082,14z?hl=en","Maplink2")</f>
        <v>Maplink2</v>
      </c>
      <c r="AV1881" s="12" t="str">
        <f>HYPERLINK("http://www.bing.com/maps/?lvl=14&amp;sty=h&amp;cp=32.032~44.4082&amp;sp=point.32.032_44.4082","Maplink3")</f>
        <v>Maplink3</v>
      </c>
    </row>
    <row r="1882" spans="1:48" ht="15" customHeight="1" x14ac:dyDescent="0.25">
      <c r="A1882" s="19">
        <v>33157</v>
      </c>
      <c r="B1882" s="20" t="s">
        <v>20</v>
      </c>
      <c r="C1882" s="20" t="s">
        <v>3410</v>
      </c>
      <c r="D1882" s="20" t="s">
        <v>5554</v>
      </c>
      <c r="E1882" s="20" t="s">
        <v>5555</v>
      </c>
      <c r="F1882" s="20">
        <v>32.063249999999996</v>
      </c>
      <c r="G1882" s="20">
        <v>44.369430000000001</v>
      </c>
      <c r="H1882" s="22">
        <v>5</v>
      </c>
      <c r="I1882" s="22">
        <v>30</v>
      </c>
      <c r="J1882" s="21"/>
      <c r="K1882" s="21"/>
      <c r="L1882" s="21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>
        <v>5</v>
      </c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21"/>
      <c r="AH1882" s="21">
        <v>5</v>
      </c>
      <c r="AI1882" s="21"/>
      <c r="AJ1882" s="21"/>
      <c r="AK1882" s="21"/>
      <c r="AL1882" s="21"/>
      <c r="AM1882" s="21"/>
      <c r="AN1882" s="21"/>
      <c r="AO1882" s="21">
        <v>5</v>
      </c>
      <c r="AP1882" s="21"/>
      <c r="AQ1882" s="21"/>
      <c r="AR1882" s="21"/>
      <c r="AS1882" s="21"/>
      <c r="AT1882" s="12" t="str">
        <f>HYPERLINK("http://www.openstreetmap.org/?mlat=32.0632&amp;mlon=44.3694&amp;zoom=12#map=12/32.0632/44.3694","Maplink1")</f>
        <v>Maplink1</v>
      </c>
      <c r="AU1882" s="12" t="str">
        <f>HYPERLINK("https://www.google.iq/maps/search/+32.0632,44.3694/@32.0632,44.3694,14z?hl=en","Maplink2")</f>
        <v>Maplink2</v>
      </c>
      <c r="AV1882" s="12" t="str">
        <f>HYPERLINK("http://www.bing.com/maps/?lvl=14&amp;sty=h&amp;cp=32.0632~44.3694&amp;sp=point.32.0632_44.3694","Maplink3")</f>
        <v>Maplink3</v>
      </c>
    </row>
    <row r="1883" spans="1:48" ht="15" customHeight="1" x14ac:dyDescent="0.25">
      <c r="A1883" s="19">
        <v>33155</v>
      </c>
      <c r="B1883" s="20" t="s">
        <v>20</v>
      </c>
      <c r="C1883" s="20" t="s">
        <v>3410</v>
      </c>
      <c r="D1883" s="20" t="s">
        <v>5556</v>
      </c>
      <c r="E1883" s="20" t="s">
        <v>5557</v>
      </c>
      <c r="F1883" s="20">
        <v>32.049219999999998</v>
      </c>
      <c r="G1883" s="20">
        <v>44.358240000000002</v>
      </c>
      <c r="H1883" s="22">
        <v>3</v>
      </c>
      <c r="I1883" s="22">
        <v>18</v>
      </c>
      <c r="J1883" s="21"/>
      <c r="K1883" s="21"/>
      <c r="L1883" s="21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>
        <v>3</v>
      </c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21"/>
      <c r="AH1883" s="21">
        <v>3</v>
      </c>
      <c r="AI1883" s="21"/>
      <c r="AJ1883" s="21"/>
      <c r="AK1883" s="21"/>
      <c r="AL1883" s="21"/>
      <c r="AM1883" s="21">
        <v>3</v>
      </c>
      <c r="AN1883" s="21"/>
      <c r="AO1883" s="21"/>
      <c r="AP1883" s="21"/>
      <c r="AQ1883" s="21"/>
      <c r="AR1883" s="21"/>
      <c r="AS1883" s="21"/>
      <c r="AT1883" s="12" t="str">
        <f>HYPERLINK("http://www.openstreetmap.org/?mlat=32.0492&amp;mlon=44.3582&amp;zoom=12#map=12/32.0492/44.3582","Maplink1")</f>
        <v>Maplink1</v>
      </c>
      <c r="AU1883" s="12" t="str">
        <f>HYPERLINK("https://www.google.iq/maps/search/+32.0492,44.3582/@32.0492,44.3582,14z?hl=en","Maplink2")</f>
        <v>Maplink2</v>
      </c>
      <c r="AV1883" s="12" t="str">
        <f>HYPERLINK("http://www.bing.com/maps/?lvl=14&amp;sty=h&amp;cp=32.0492~44.3582&amp;sp=point.32.0492_44.3582","Maplink3")</f>
        <v>Maplink3</v>
      </c>
    </row>
    <row r="1884" spans="1:48" ht="15" customHeight="1" x14ac:dyDescent="0.25">
      <c r="A1884" s="19">
        <v>33158</v>
      </c>
      <c r="B1884" s="20" t="s">
        <v>20</v>
      </c>
      <c r="C1884" s="20" t="s">
        <v>3410</v>
      </c>
      <c r="D1884" s="20" t="s">
        <v>5558</v>
      </c>
      <c r="E1884" s="20" t="s">
        <v>5559</v>
      </c>
      <c r="F1884" s="20">
        <v>32.056579999999997</v>
      </c>
      <c r="G1884" s="20">
        <v>44.361280000000001</v>
      </c>
      <c r="H1884" s="22">
        <v>3</v>
      </c>
      <c r="I1884" s="22">
        <v>18</v>
      </c>
      <c r="J1884" s="21"/>
      <c r="K1884" s="21"/>
      <c r="L1884" s="21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>
        <v>3</v>
      </c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21"/>
      <c r="AH1884" s="21">
        <v>3</v>
      </c>
      <c r="AI1884" s="21"/>
      <c r="AJ1884" s="21"/>
      <c r="AK1884" s="21"/>
      <c r="AL1884" s="21"/>
      <c r="AM1884" s="21">
        <v>3</v>
      </c>
      <c r="AN1884" s="21"/>
      <c r="AO1884" s="21"/>
      <c r="AP1884" s="21"/>
      <c r="AQ1884" s="21"/>
      <c r="AR1884" s="21"/>
      <c r="AS1884" s="21"/>
      <c r="AT1884" s="12" t="str">
        <f>HYPERLINK("http://www.openstreetmap.org/?mlat=32.0566&amp;mlon=44.3613&amp;zoom=12#map=12/32.0566/44.3613","Maplink1")</f>
        <v>Maplink1</v>
      </c>
      <c r="AU1884" s="12" t="str">
        <f>HYPERLINK("https://www.google.iq/maps/search/+32.0566,44.3613/@32.0566,44.3613,14z?hl=en","Maplink2")</f>
        <v>Maplink2</v>
      </c>
      <c r="AV1884" s="12" t="str">
        <f>HYPERLINK("http://www.bing.com/maps/?lvl=14&amp;sty=h&amp;cp=32.0566~44.3613&amp;sp=point.32.0566_44.3613","Maplink3")</f>
        <v>Maplink3</v>
      </c>
    </row>
    <row r="1885" spans="1:48" ht="15" customHeight="1" x14ac:dyDescent="0.25">
      <c r="A1885" s="19">
        <v>20122</v>
      </c>
      <c r="B1885" s="20" t="s">
        <v>20</v>
      </c>
      <c r="C1885" s="20" t="s">
        <v>3410</v>
      </c>
      <c r="D1885" s="20" t="s">
        <v>3445</v>
      </c>
      <c r="E1885" s="20" t="s">
        <v>3446</v>
      </c>
      <c r="F1885" s="20">
        <v>32.060794000000001</v>
      </c>
      <c r="G1885" s="20">
        <v>44.362537000000003</v>
      </c>
      <c r="H1885" s="22">
        <v>81</v>
      </c>
      <c r="I1885" s="22">
        <v>486</v>
      </c>
      <c r="J1885" s="21"/>
      <c r="K1885" s="21"/>
      <c r="L1885" s="21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>
        <v>81</v>
      </c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21"/>
      <c r="AH1885" s="21">
        <v>81</v>
      </c>
      <c r="AI1885" s="21"/>
      <c r="AJ1885" s="21"/>
      <c r="AK1885" s="21"/>
      <c r="AL1885" s="21"/>
      <c r="AM1885" s="21"/>
      <c r="AN1885" s="21">
        <v>81</v>
      </c>
      <c r="AO1885" s="21"/>
      <c r="AP1885" s="21"/>
      <c r="AQ1885" s="21"/>
      <c r="AR1885" s="21"/>
      <c r="AS1885" s="21"/>
      <c r="AT1885" s="12" t="str">
        <f>HYPERLINK("http://www.openstreetmap.org/?mlat=32.0608&amp;mlon=44.3625&amp;zoom=12#map=12/32.0608/44.3625","Maplink1")</f>
        <v>Maplink1</v>
      </c>
      <c r="AU1885" s="12" t="str">
        <f>HYPERLINK("https://www.google.iq/maps/search/+32.0608,44.3625/@32.0608,44.3625,14z?hl=en","Maplink2")</f>
        <v>Maplink2</v>
      </c>
      <c r="AV1885" s="12" t="str">
        <f>HYPERLINK("http://www.bing.com/maps/?lvl=14&amp;sty=h&amp;cp=32.0608~44.3625&amp;sp=point.32.0608_44.3625","Maplink3")</f>
        <v>Maplink3</v>
      </c>
    </row>
    <row r="1886" spans="1:48" ht="15" customHeight="1" x14ac:dyDescent="0.25">
      <c r="A1886" s="19">
        <v>20130</v>
      </c>
      <c r="B1886" s="20" t="s">
        <v>20</v>
      </c>
      <c r="C1886" s="20" t="s">
        <v>3410</v>
      </c>
      <c r="D1886" s="20" t="s">
        <v>3447</v>
      </c>
      <c r="E1886" s="20" t="s">
        <v>3448</v>
      </c>
      <c r="F1886" s="20">
        <v>32.051850000000002</v>
      </c>
      <c r="G1886" s="20">
        <v>44.357460000000003</v>
      </c>
      <c r="H1886" s="22">
        <v>3</v>
      </c>
      <c r="I1886" s="22">
        <v>18</v>
      </c>
      <c r="J1886" s="21"/>
      <c r="K1886" s="21"/>
      <c r="L1886" s="21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>
        <v>3</v>
      </c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21"/>
      <c r="AH1886" s="21">
        <v>3</v>
      </c>
      <c r="AI1886" s="21"/>
      <c r="AJ1886" s="21"/>
      <c r="AK1886" s="21"/>
      <c r="AL1886" s="21"/>
      <c r="AM1886" s="21"/>
      <c r="AN1886" s="21">
        <v>3</v>
      </c>
      <c r="AO1886" s="21"/>
      <c r="AP1886" s="21"/>
      <c r="AQ1886" s="21"/>
      <c r="AR1886" s="21"/>
      <c r="AS1886" s="21"/>
      <c r="AT1886" s="12" t="str">
        <f>HYPERLINK("http://www.openstreetmap.org/?mlat=32.0519&amp;mlon=44.3575&amp;zoom=12#map=12/32.0519/44.3575","Maplink1")</f>
        <v>Maplink1</v>
      </c>
      <c r="AU1886" s="12" t="str">
        <f>HYPERLINK("https://www.google.iq/maps/search/+32.0519,44.3575/@32.0519,44.3575,14z?hl=en","Maplink2")</f>
        <v>Maplink2</v>
      </c>
      <c r="AV1886" s="12" t="str">
        <f>HYPERLINK("http://www.bing.com/maps/?lvl=14&amp;sty=h&amp;cp=32.0519~44.3575&amp;sp=point.32.0519_44.3575","Maplink3")</f>
        <v>Maplink3</v>
      </c>
    </row>
    <row r="1887" spans="1:48" ht="15" customHeight="1" x14ac:dyDescent="0.25">
      <c r="A1887" s="19">
        <v>20132</v>
      </c>
      <c r="B1887" s="20" t="s">
        <v>20</v>
      </c>
      <c r="C1887" s="20" t="s">
        <v>3410</v>
      </c>
      <c r="D1887" s="20" t="s">
        <v>3449</v>
      </c>
      <c r="E1887" s="20" t="s">
        <v>3450</v>
      </c>
      <c r="F1887" s="20">
        <v>32.058923999999998</v>
      </c>
      <c r="G1887" s="20">
        <v>44.360760999999997</v>
      </c>
      <c r="H1887" s="22">
        <v>5</v>
      </c>
      <c r="I1887" s="22">
        <v>30</v>
      </c>
      <c r="J1887" s="21"/>
      <c r="K1887" s="21"/>
      <c r="L1887" s="21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>
        <v>5</v>
      </c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21"/>
      <c r="AH1887" s="21">
        <v>5</v>
      </c>
      <c r="AI1887" s="21"/>
      <c r="AJ1887" s="21"/>
      <c r="AK1887" s="21"/>
      <c r="AL1887" s="21"/>
      <c r="AM1887" s="21"/>
      <c r="AN1887" s="21">
        <v>4</v>
      </c>
      <c r="AO1887" s="21">
        <v>1</v>
      </c>
      <c r="AP1887" s="21"/>
      <c r="AQ1887" s="21"/>
      <c r="AR1887" s="21"/>
      <c r="AS1887" s="21"/>
      <c r="AT1887" s="12" t="str">
        <f>HYPERLINK("http://www.openstreetmap.org/?mlat=32.0589&amp;mlon=44.3608&amp;zoom=12#map=12/32.0589/44.3608","Maplink1")</f>
        <v>Maplink1</v>
      </c>
      <c r="AU1887" s="12" t="str">
        <f>HYPERLINK("https://www.google.iq/maps/search/+32.0589,44.3608/@32.0589,44.3608,14z?hl=en","Maplink2")</f>
        <v>Maplink2</v>
      </c>
      <c r="AV1887" s="12" t="str">
        <f>HYPERLINK("http://www.bing.com/maps/?lvl=14&amp;sty=h&amp;cp=32.0589~44.3608&amp;sp=point.32.0589_44.3608","Maplink3")</f>
        <v>Maplink3</v>
      </c>
    </row>
    <row r="1888" spans="1:48" ht="15" customHeight="1" x14ac:dyDescent="0.25">
      <c r="A1888" s="19">
        <v>20161</v>
      </c>
      <c r="B1888" s="20" t="s">
        <v>20</v>
      </c>
      <c r="C1888" s="20" t="s">
        <v>3410</v>
      </c>
      <c r="D1888" s="20" t="s">
        <v>3451</v>
      </c>
      <c r="E1888" s="20" t="s">
        <v>3452</v>
      </c>
      <c r="F1888" s="20">
        <v>32.064729999999997</v>
      </c>
      <c r="G1888" s="20">
        <v>44.357680000000002</v>
      </c>
      <c r="H1888" s="22">
        <v>3</v>
      </c>
      <c r="I1888" s="22">
        <v>18</v>
      </c>
      <c r="J1888" s="21"/>
      <c r="K1888" s="21"/>
      <c r="L1888" s="21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>
        <v>3</v>
      </c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21"/>
      <c r="AH1888" s="21">
        <v>3</v>
      </c>
      <c r="AI1888" s="21"/>
      <c r="AJ1888" s="21"/>
      <c r="AK1888" s="21"/>
      <c r="AL1888" s="21"/>
      <c r="AM1888" s="21">
        <v>3</v>
      </c>
      <c r="AN1888" s="21"/>
      <c r="AO1888" s="21"/>
      <c r="AP1888" s="21"/>
      <c r="AQ1888" s="21"/>
      <c r="AR1888" s="21"/>
      <c r="AS1888" s="21"/>
      <c r="AT1888" s="12" t="str">
        <f>HYPERLINK("http://www.openstreetmap.org/?mlat=32.0647&amp;mlon=44.3577&amp;zoom=12#map=12/32.0647/44.3577","Maplink1")</f>
        <v>Maplink1</v>
      </c>
      <c r="AU1888" s="12" t="str">
        <f>HYPERLINK("https://www.google.iq/maps/search/+32.0647,44.3577/@32.0647,44.3577,14z?hl=en","Maplink2")</f>
        <v>Maplink2</v>
      </c>
      <c r="AV1888" s="12" t="str">
        <f>HYPERLINK("http://www.bing.com/maps/?lvl=14&amp;sty=h&amp;cp=32.0647~44.3577&amp;sp=point.32.0647_44.3577","Maplink3")</f>
        <v>Maplink3</v>
      </c>
    </row>
    <row r="1889" spans="1:48" ht="15" customHeight="1" x14ac:dyDescent="0.25">
      <c r="A1889" s="19">
        <v>20276</v>
      </c>
      <c r="B1889" s="20" t="s">
        <v>20</v>
      </c>
      <c r="C1889" s="20" t="s">
        <v>3410</v>
      </c>
      <c r="D1889" s="20" t="s">
        <v>5560</v>
      </c>
      <c r="E1889" s="20" t="s">
        <v>5561</v>
      </c>
      <c r="F1889" s="20">
        <v>32.060220000000001</v>
      </c>
      <c r="G1889" s="20">
        <v>44.359780000000001</v>
      </c>
      <c r="H1889" s="22">
        <v>6</v>
      </c>
      <c r="I1889" s="22">
        <v>36</v>
      </c>
      <c r="J1889" s="21"/>
      <c r="K1889" s="21"/>
      <c r="L1889" s="21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>
        <v>6</v>
      </c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21"/>
      <c r="AH1889" s="21">
        <v>6</v>
      </c>
      <c r="AI1889" s="21"/>
      <c r="AJ1889" s="21"/>
      <c r="AK1889" s="21"/>
      <c r="AL1889" s="21"/>
      <c r="AM1889" s="21"/>
      <c r="AN1889" s="21">
        <v>6</v>
      </c>
      <c r="AO1889" s="21"/>
      <c r="AP1889" s="21"/>
      <c r="AQ1889" s="21"/>
      <c r="AR1889" s="21"/>
      <c r="AS1889" s="21"/>
      <c r="AT1889" s="12" t="str">
        <f>HYPERLINK("http://www.openstreetmap.org/?mlat=32.0602&amp;mlon=44.3598&amp;zoom=12#map=12/32.0602/44.3598","Maplink1")</f>
        <v>Maplink1</v>
      </c>
      <c r="AU1889" s="12" t="str">
        <f>HYPERLINK("https://www.google.iq/maps/search/+32.0602,44.3598/@32.0602,44.3598,14z?hl=en","Maplink2")</f>
        <v>Maplink2</v>
      </c>
      <c r="AV1889" s="12" t="str">
        <f>HYPERLINK("http://www.bing.com/maps/?lvl=14&amp;sty=h&amp;cp=32.0602~44.3598&amp;sp=point.32.0602_44.3598","Maplink3")</f>
        <v>Maplink3</v>
      </c>
    </row>
    <row r="1890" spans="1:48" ht="15" customHeight="1" x14ac:dyDescent="0.25">
      <c r="A1890" s="19">
        <v>20148</v>
      </c>
      <c r="B1890" s="20" t="s">
        <v>20</v>
      </c>
      <c r="C1890" s="20" t="s">
        <v>3410</v>
      </c>
      <c r="D1890" s="20" t="s">
        <v>3453</v>
      </c>
      <c r="E1890" s="20" t="s">
        <v>3454</v>
      </c>
      <c r="F1890" s="20">
        <v>32.062939999999998</v>
      </c>
      <c r="G1890" s="20">
        <v>44.36347</v>
      </c>
      <c r="H1890" s="22">
        <v>5</v>
      </c>
      <c r="I1890" s="22">
        <v>30</v>
      </c>
      <c r="J1890" s="21"/>
      <c r="K1890" s="21"/>
      <c r="L1890" s="21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>
        <v>5</v>
      </c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21"/>
      <c r="AH1890" s="21">
        <v>5</v>
      </c>
      <c r="AI1890" s="21"/>
      <c r="AJ1890" s="21"/>
      <c r="AK1890" s="21"/>
      <c r="AL1890" s="21"/>
      <c r="AM1890" s="21"/>
      <c r="AN1890" s="21"/>
      <c r="AO1890" s="21">
        <v>5</v>
      </c>
      <c r="AP1890" s="21"/>
      <c r="AQ1890" s="21"/>
      <c r="AR1890" s="21"/>
      <c r="AS1890" s="21"/>
      <c r="AT1890" s="12" t="str">
        <f>HYPERLINK("http://www.openstreetmap.org/?mlat=32.0629&amp;mlon=44.3635&amp;zoom=12#map=12/32.0629/44.3635","Maplink1")</f>
        <v>Maplink1</v>
      </c>
      <c r="AU1890" s="12" t="str">
        <f>HYPERLINK("https://www.google.iq/maps/search/+32.0629,44.3635/@32.0629,44.3635,14z?hl=en","Maplink2")</f>
        <v>Maplink2</v>
      </c>
      <c r="AV1890" s="12" t="str">
        <f>HYPERLINK("http://www.bing.com/maps/?lvl=14&amp;sty=h&amp;cp=32.0629~44.3635&amp;sp=point.32.0629_44.3635","Maplink3")</f>
        <v>Maplink3</v>
      </c>
    </row>
    <row r="1891" spans="1:48" ht="15" customHeight="1" x14ac:dyDescent="0.25">
      <c r="A1891" s="19">
        <v>20158</v>
      </c>
      <c r="B1891" s="20" t="s">
        <v>20</v>
      </c>
      <c r="C1891" s="20" t="s">
        <v>3410</v>
      </c>
      <c r="D1891" s="20" t="s">
        <v>3455</v>
      </c>
      <c r="E1891" s="20" t="s">
        <v>3456</v>
      </c>
      <c r="F1891" s="20">
        <v>32.054549999999999</v>
      </c>
      <c r="G1891" s="20">
        <v>44.368720000000003</v>
      </c>
      <c r="H1891" s="22">
        <v>10</v>
      </c>
      <c r="I1891" s="22">
        <v>60</v>
      </c>
      <c r="J1891" s="21"/>
      <c r="K1891" s="21"/>
      <c r="L1891" s="21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>
        <v>10</v>
      </c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21"/>
      <c r="AH1891" s="21">
        <v>10</v>
      </c>
      <c r="AI1891" s="21"/>
      <c r="AJ1891" s="21"/>
      <c r="AK1891" s="21"/>
      <c r="AL1891" s="21"/>
      <c r="AM1891" s="21"/>
      <c r="AN1891" s="21">
        <v>10</v>
      </c>
      <c r="AO1891" s="21"/>
      <c r="AP1891" s="21"/>
      <c r="AQ1891" s="21"/>
      <c r="AR1891" s="21"/>
      <c r="AS1891" s="21"/>
      <c r="AT1891" s="12" t="str">
        <f>HYPERLINK("http://www.openstreetmap.org/?mlat=32.0545&amp;mlon=44.3687&amp;zoom=12#map=12/32.0545/44.3687","Maplink1")</f>
        <v>Maplink1</v>
      </c>
      <c r="AU1891" s="12" t="str">
        <f>HYPERLINK("https://www.google.iq/maps/search/+32.0545,44.3687/@32.0545,44.3687,14z?hl=en","Maplink2")</f>
        <v>Maplink2</v>
      </c>
      <c r="AV1891" s="12" t="str">
        <f>HYPERLINK("http://www.bing.com/maps/?lvl=14&amp;sty=h&amp;cp=32.0545~44.3687&amp;sp=point.32.0545_44.3687","Maplink3")</f>
        <v>Maplink3</v>
      </c>
    </row>
    <row r="1892" spans="1:48" ht="15" customHeight="1" x14ac:dyDescent="0.25">
      <c r="A1892" s="19">
        <v>20347</v>
      </c>
      <c r="B1892" s="20" t="s">
        <v>20</v>
      </c>
      <c r="C1892" s="20" t="s">
        <v>3410</v>
      </c>
      <c r="D1892" s="20" t="s">
        <v>3457</v>
      </c>
      <c r="E1892" s="20" t="s">
        <v>3458</v>
      </c>
      <c r="F1892" s="20">
        <v>32.021630000000002</v>
      </c>
      <c r="G1892" s="20">
        <v>44.397799999999997</v>
      </c>
      <c r="H1892" s="22">
        <v>9</v>
      </c>
      <c r="I1892" s="22">
        <v>54</v>
      </c>
      <c r="J1892" s="21"/>
      <c r="K1892" s="21"/>
      <c r="L1892" s="21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>
        <v>9</v>
      </c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21"/>
      <c r="AH1892" s="21">
        <v>9</v>
      </c>
      <c r="AI1892" s="21"/>
      <c r="AJ1892" s="21"/>
      <c r="AK1892" s="21"/>
      <c r="AL1892" s="21"/>
      <c r="AM1892" s="21"/>
      <c r="AN1892" s="21">
        <v>9</v>
      </c>
      <c r="AO1892" s="21"/>
      <c r="AP1892" s="21"/>
      <c r="AQ1892" s="21"/>
      <c r="AR1892" s="21"/>
      <c r="AS1892" s="21"/>
      <c r="AT1892" s="12" t="str">
        <f>HYPERLINK("http://www.openstreetmap.org/?mlat=32.0216&amp;mlon=44.3978&amp;zoom=12#map=12/32.0216/44.3978","Maplink1")</f>
        <v>Maplink1</v>
      </c>
      <c r="AU1892" s="12" t="str">
        <f>HYPERLINK("https://www.google.iq/maps/search/+32.0216,44.3978/@32.0216,44.3978,14z?hl=en","Maplink2")</f>
        <v>Maplink2</v>
      </c>
      <c r="AV1892" s="12" t="str">
        <f>HYPERLINK("http://www.bing.com/maps/?lvl=14&amp;sty=h&amp;cp=32.0216~44.3978&amp;sp=point.32.0216_44.3978","Maplink3")</f>
        <v>Maplink3</v>
      </c>
    </row>
    <row r="1893" spans="1:48" ht="15" customHeight="1" x14ac:dyDescent="0.25">
      <c r="A1893" s="19">
        <v>25890</v>
      </c>
      <c r="B1893" s="20" t="s">
        <v>20</v>
      </c>
      <c r="C1893" s="20" t="s">
        <v>3410</v>
      </c>
      <c r="D1893" s="20" t="s">
        <v>3459</v>
      </c>
      <c r="E1893" s="20" t="s">
        <v>3460</v>
      </c>
      <c r="F1893" s="20">
        <v>32.018219000000002</v>
      </c>
      <c r="G1893" s="20">
        <v>44.399220999999997</v>
      </c>
      <c r="H1893" s="22">
        <v>18</v>
      </c>
      <c r="I1893" s="22">
        <v>108</v>
      </c>
      <c r="J1893" s="21">
        <v>2</v>
      </c>
      <c r="K1893" s="21"/>
      <c r="L1893" s="21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>
        <v>16</v>
      </c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21"/>
      <c r="AH1893" s="21">
        <v>18</v>
      </c>
      <c r="AI1893" s="21"/>
      <c r="AJ1893" s="21"/>
      <c r="AK1893" s="21"/>
      <c r="AL1893" s="21"/>
      <c r="AM1893" s="21"/>
      <c r="AN1893" s="21">
        <v>16</v>
      </c>
      <c r="AO1893" s="21"/>
      <c r="AP1893" s="21">
        <v>2</v>
      </c>
      <c r="AQ1893" s="21"/>
      <c r="AR1893" s="21"/>
      <c r="AS1893" s="21"/>
      <c r="AT1893" s="12" t="str">
        <f>HYPERLINK("http://www.openstreetmap.org/?mlat=32.0182&amp;mlon=44.3992&amp;zoom=12#map=12/32.0182/44.3992","Maplink1")</f>
        <v>Maplink1</v>
      </c>
      <c r="AU1893" s="12" t="str">
        <f>HYPERLINK("https://www.google.iq/maps/search/+32.0182,44.3992/@32.0182,44.3992,14z?hl=en","Maplink2")</f>
        <v>Maplink2</v>
      </c>
      <c r="AV1893" s="12" t="str">
        <f>HYPERLINK("http://www.bing.com/maps/?lvl=14&amp;sty=h&amp;cp=32.0182~44.3992&amp;sp=point.32.0182_44.3992","Maplink3")</f>
        <v>Maplink3</v>
      </c>
    </row>
    <row r="1894" spans="1:48" ht="15" customHeight="1" x14ac:dyDescent="0.25">
      <c r="A1894" s="19">
        <v>20260</v>
      </c>
      <c r="B1894" s="20" t="s">
        <v>20</v>
      </c>
      <c r="C1894" s="20" t="s">
        <v>20</v>
      </c>
      <c r="D1894" s="20" t="s">
        <v>3461</v>
      </c>
      <c r="E1894" s="20" t="s">
        <v>3462</v>
      </c>
      <c r="F1894" s="20">
        <v>32.278590000000001</v>
      </c>
      <c r="G1894" s="20">
        <v>44.284959999999998</v>
      </c>
      <c r="H1894" s="22">
        <v>35</v>
      </c>
      <c r="I1894" s="22">
        <v>210</v>
      </c>
      <c r="J1894" s="21"/>
      <c r="K1894" s="21"/>
      <c r="L1894" s="21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>
        <v>35</v>
      </c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21">
        <v>15</v>
      </c>
      <c r="AH1894" s="21">
        <v>20</v>
      </c>
      <c r="AI1894" s="21"/>
      <c r="AJ1894" s="21"/>
      <c r="AK1894" s="21"/>
      <c r="AL1894" s="21"/>
      <c r="AM1894" s="21"/>
      <c r="AN1894" s="21">
        <v>35</v>
      </c>
      <c r="AO1894" s="21"/>
      <c r="AP1894" s="21"/>
      <c r="AQ1894" s="21"/>
      <c r="AR1894" s="21"/>
      <c r="AS1894" s="21"/>
      <c r="AT1894" s="12" t="str">
        <f>HYPERLINK("http://www.openstreetmap.org/?mlat=32.2786&amp;mlon=44.285&amp;zoom=12#map=12/32.2786/44.285","Maplink1")</f>
        <v>Maplink1</v>
      </c>
      <c r="AU1894" s="12" t="str">
        <f>HYPERLINK("https://www.google.iq/maps/search/+32.2786,44.285/@32.2786,44.285,14z?hl=en","Maplink2")</f>
        <v>Maplink2</v>
      </c>
      <c r="AV1894" s="12" t="str">
        <f>HYPERLINK("http://www.bing.com/maps/?lvl=14&amp;sty=h&amp;cp=32.2786~44.285&amp;sp=point.32.2786_44.285","Maplink3")</f>
        <v>Maplink3</v>
      </c>
    </row>
    <row r="1895" spans="1:48" ht="15" customHeight="1" x14ac:dyDescent="0.25">
      <c r="A1895" s="19">
        <v>22565</v>
      </c>
      <c r="B1895" s="20" t="s">
        <v>20</v>
      </c>
      <c r="C1895" s="20" t="s">
        <v>20</v>
      </c>
      <c r="D1895" s="20" t="s">
        <v>3463</v>
      </c>
      <c r="E1895" s="20" t="s">
        <v>3464</v>
      </c>
      <c r="F1895" s="20">
        <v>32.037619999999997</v>
      </c>
      <c r="G1895" s="20">
        <v>44.351900000000001</v>
      </c>
      <c r="H1895" s="22">
        <v>10</v>
      </c>
      <c r="I1895" s="22">
        <v>60</v>
      </c>
      <c r="J1895" s="21"/>
      <c r="K1895" s="21"/>
      <c r="L1895" s="21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>
        <v>10</v>
      </c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21"/>
      <c r="AH1895" s="21">
        <v>10</v>
      </c>
      <c r="AI1895" s="21"/>
      <c r="AJ1895" s="21"/>
      <c r="AK1895" s="21"/>
      <c r="AL1895" s="21"/>
      <c r="AM1895" s="21">
        <v>10</v>
      </c>
      <c r="AN1895" s="21"/>
      <c r="AO1895" s="21"/>
      <c r="AP1895" s="21"/>
      <c r="AQ1895" s="21"/>
      <c r="AR1895" s="21"/>
      <c r="AS1895" s="21"/>
      <c r="AT1895" s="12" t="str">
        <f>HYPERLINK("http://www.openstreetmap.org/?mlat=32.0376&amp;mlon=44.3519&amp;zoom=12#map=12/32.0376/44.3519","Maplink1")</f>
        <v>Maplink1</v>
      </c>
      <c r="AU1895" s="12" t="str">
        <f>HYPERLINK("https://www.google.iq/maps/search/+32.0376,44.3519/@32.0376,44.3519,14z?hl=en","Maplink2")</f>
        <v>Maplink2</v>
      </c>
      <c r="AV1895" s="12" t="str">
        <f>HYPERLINK("http://www.bing.com/maps/?lvl=14&amp;sty=h&amp;cp=32.0376~44.3519&amp;sp=point.32.0376_44.3519","Maplink3")</f>
        <v>Maplink3</v>
      </c>
    </row>
    <row r="1896" spans="1:48" ht="15" customHeight="1" x14ac:dyDescent="0.25">
      <c r="A1896" s="19">
        <v>23118</v>
      </c>
      <c r="B1896" s="20" t="s">
        <v>20</v>
      </c>
      <c r="C1896" s="20" t="s">
        <v>20</v>
      </c>
      <c r="D1896" s="20" t="s">
        <v>3465</v>
      </c>
      <c r="E1896" s="20" t="s">
        <v>3466</v>
      </c>
      <c r="F1896" s="20">
        <v>32.043619999999997</v>
      </c>
      <c r="G1896" s="20">
        <v>44.347569999999997</v>
      </c>
      <c r="H1896" s="22">
        <v>5</v>
      </c>
      <c r="I1896" s="22">
        <v>30</v>
      </c>
      <c r="J1896" s="21"/>
      <c r="K1896" s="21"/>
      <c r="L1896" s="21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>
        <v>5</v>
      </c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21"/>
      <c r="AH1896" s="21">
        <v>5</v>
      </c>
      <c r="AI1896" s="21"/>
      <c r="AJ1896" s="21"/>
      <c r="AK1896" s="21"/>
      <c r="AL1896" s="21"/>
      <c r="AM1896" s="21"/>
      <c r="AN1896" s="21">
        <v>5</v>
      </c>
      <c r="AO1896" s="21"/>
      <c r="AP1896" s="21"/>
      <c r="AQ1896" s="21"/>
      <c r="AR1896" s="21"/>
      <c r="AS1896" s="21"/>
      <c r="AT1896" s="12" t="str">
        <f>HYPERLINK("http://www.openstreetmap.org/?mlat=32.0436&amp;mlon=44.3476&amp;zoom=12#map=12/32.0436/44.3476","Maplink1")</f>
        <v>Maplink1</v>
      </c>
      <c r="AU1896" s="12" t="str">
        <f>HYPERLINK("https://www.google.iq/maps/search/+32.0436,44.3476/@32.0436,44.3476,14z?hl=en","Maplink2")</f>
        <v>Maplink2</v>
      </c>
      <c r="AV1896" s="12" t="str">
        <f>HYPERLINK("http://www.bing.com/maps/?lvl=14&amp;sty=h&amp;cp=32.0436~44.3476&amp;sp=point.32.0436_44.3476","Maplink3")</f>
        <v>Maplink3</v>
      </c>
    </row>
    <row r="1897" spans="1:48" ht="15" customHeight="1" x14ac:dyDescent="0.25">
      <c r="A1897" s="19">
        <v>21936</v>
      </c>
      <c r="B1897" s="20" t="s">
        <v>20</v>
      </c>
      <c r="C1897" s="20" t="s">
        <v>20</v>
      </c>
      <c r="D1897" s="20" t="s">
        <v>3467</v>
      </c>
      <c r="E1897" s="20" t="s">
        <v>3468</v>
      </c>
      <c r="F1897" s="20">
        <v>32.04609</v>
      </c>
      <c r="G1897" s="20">
        <v>44.346310000000003</v>
      </c>
      <c r="H1897" s="22">
        <v>2</v>
      </c>
      <c r="I1897" s="22">
        <v>12</v>
      </c>
      <c r="J1897" s="21"/>
      <c r="K1897" s="21"/>
      <c r="L1897" s="21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>
        <v>2</v>
      </c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21"/>
      <c r="AH1897" s="21">
        <v>2</v>
      </c>
      <c r="AI1897" s="21"/>
      <c r="AJ1897" s="21"/>
      <c r="AK1897" s="21"/>
      <c r="AL1897" s="21"/>
      <c r="AM1897" s="21"/>
      <c r="AN1897" s="21">
        <v>2</v>
      </c>
      <c r="AO1897" s="21"/>
      <c r="AP1897" s="21"/>
      <c r="AQ1897" s="21"/>
      <c r="AR1897" s="21"/>
      <c r="AS1897" s="21"/>
      <c r="AT1897" s="12" t="str">
        <f>HYPERLINK("http://www.openstreetmap.org/?mlat=32.0461&amp;mlon=44.3463&amp;zoom=12#map=12/32.0461/44.3463","Maplink1")</f>
        <v>Maplink1</v>
      </c>
      <c r="AU1897" s="12" t="str">
        <f>HYPERLINK("https://www.google.iq/maps/search/+32.0461,44.3463/@32.0461,44.3463,14z?hl=en","Maplink2")</f>
        <v>Maplink2</v>
      </c>
      <c r="AV1897" s="12" t="str">
        <f>HYPERLINK("http://www.bing.com/maps/?lvl=14&amp;sty=h&amp;cp=32.0461~44.3463&amp;sp=point.32.0461_44.3463","Maplink3")</f>
        <v>Maplink3</v>
      </c>
    </row>
    <row r="1898" spans="1:48" ht="15" customHeight="1" x14ac:dyDescent="0.25">
      <c r="A1898" s="19">
        <v>25642</v>
      </c>
      <c r="B1898" s="20" t="s">
        <v>20</v>
      </c>
      <c r="C1898" s="20" t="s">
        <v>20</v>
      </c>
      <c r="D1898" s="20" t="s">
        <v>3469</v>
      </c>
      <c r="E1898" s="20" t="s">
        <v>3470</v>
      </c>
      <c r="F1898" s="20">
        <v>32.04569</v>
      </c>
      <c r="G1898" s="20">
        <v>44.35172</v>
      </c>
      <c r="H1898" s="22">
        <v>3</v>
      </c>
      <c r="I1898" s="22">
        <v>18</v>
      </c>
      <c r="J1898" s="21"/>
      <c r="K1898" s="21"/>
      <c r="L1898" s="21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>
        <v>3</v>
      </c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21"/>
      <c r="AH1898" s="21">
        <v>3</v>
      </c>
      <c r="AI1898" s="21"/>
      <c r="AJ1898" s="21"/>
      <c r="AK1898" s="21"/>
      <c r="AL1898" s="21"/>
      <c r="AM1898" s="21"/>
      <c r="AN1898" s="21"/>
      <c r="AO1898" s="21">
        <v>3</v>
      </c>
      <c r="AP1898" s="21"/>
      <c r="AQ1898" s="21"/>
      <c r="AR1898" s="21"/>
      <c r="AS1898" s="21"/>
      <c r="AT1898" s="12" t="str">
        <f>HYPERLINK("http://www.openstreetmap.org/?mlat=32.0457&amp;mlon=44.3517&amp;zoom=12#map=12/32.0457/44.3517","Maplink1")</f>
        <v>Maplink1</v>
      </c>
      <c r="AU1898" s="12" t="str">
        <f>HYPERLINK("https://www.google.iq/maps/search/+32.0457,44.3517/@32.0457,44.3517,14z?hl=en","Maplink2")</f>
        <v>Maplink2</v>
      </c>
      <c r="AV1898" s="12" t="str">
        <f>HYPERLINK("http://www.bing.com/maps/?lvl=14&amp;sty=h&amp;cp=32.0457~44.3517&amp;sp=point.32.0457_44.3517","Maplink3")</f>
        <v>Maplink3</v>
      </c>
    </row>
    <row r="1899" spans="1:48" ht="15" customHeight="1" x14ac:dyDescent="0.25">
      <c r="A1899" s="19">
        <v>20338</v>
      </c>
      <c r="B1899" s="20" t="s">
        <v>20</v>
      </c>
      <c r="C1899" s="20" t="s">
        <v>20</v>
      </c>
      <c r="D1899" s="20" t="s">
        <v>3471</v>
      </c>
      <c r="E1899" s="20" t="s">
        <v>3472</v>
      </c>
      <c r="F1899" s="20">
        <v>31.988367</v>
      </c>
      <c r="G1899" s="20">
        <v>44.319758999999998</v>
      </c>
      <c r="H1899" s="22">
        <v>24</v>
      </c>
      <c r="I1899" s="22">
        <v>144</v>
      </c>
      <c r="J1899" s="21"/>
      <c r="K1899" s="21"/>
      <c r="L1899" s="21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>
        <v>24</v>
      </c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21">
        <v>4</v>
      </c>
      <c r="AH1899" s="21">
        <v>20</v>
      </c>
      <c r="AI1899" s="21"/>
      <c r="AJ1899" s="21"/>
      <c r="AK1899" s="21"/>
      <c r="AL1899" s="21"/>
      <c r="AM1899" s="21">
        <v>24</v>
      </c>
      <c r="AN1899" s="21"/>
      <c r="AO1899" s="21"/>
      <c r="AP1899" s="21"/>
      <c r="AQ1899" s="21"/>
      <c r="AR1899" s="21"/>
      <c r="AS1899" s="21"/>
      <c r="AT1899" s="12" t="str">
        <f>HYPERLINK("http://www.openstreetmap.org/?mlat=31.9884&amp;mlon=44.3198&amp;zoom=12#map=12/31.9884/44.3198","Maplink1")</f>
        <v>Maplink1</v>
      </c>
      <c r="AU1899" s="12" t="str">
        <f>HYPERLINK("https://www.google.iq/maps/search/+31.9884,44.3198/@31.9884,44.3198,14z?hl=en","Maplink2")</f>
        <v>Maplink2</v>
      </c>
      <c r="AV1899" s="12" t="str">
        <f>HYPERLINK("http://www.bing.com/maps/?lvl=14&amp;sty=h&amp;cp=31.9884~44.3198&amp;sp=point.31.9884_44.3198","Maplink3")</f>
        <v>Maplink3</v>
      </c>
    </row>
    <row r="1900" spans="1:48" ht="15" customHeight="1" x14ac:dyDescent="0.25">
      <c r="A1900" s="19">
        <v>24373</v>
      </c>
      <c r="B1900" s="20" t="s">
        <v>20</v>
      </c>
      <c r="C1900" s="20" t="s">
        <v>20</v>
      </c>
      <c r="D1900" s="20" t="s">
        <v>3474</v>
      </c>
      <c r="E1900" s="20" t="s">
        <v>3475</v>
      </c>
      <c r="F1900" s="20">
        <v>31.982569999999999</v>
      </c>
      <c r="G1900" s="20">
        <v>44.363039999999998</v>
      </c>
      <c r="H1900" s="22">
        <v>6</v>
      </c>
      <c r="I1900" s="22">
        <v>36</v>
      </c>
      <c r="J1900" s="21"/>
      <c r="K1900" s="21"/>
      <c r="L1900" s="21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>
        <v>6</v>
      </c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21"/>
      <c r="AH1900" s="21">
        <v>6</v>
      </c>
      <c r="AI1900" s="21"/>
      <c r="AJ1900" s="21"/>
      <c r="AK1900" s="21"/>
      <c r="AL1900" s="21"/>
      <c r="AM1900" s="21">
        <v>4</v>
      </c>
      <c r="AN1900" s="21">
        <v>2</v>
      </c>
      <c r="AO1900" s="21"/>
      <c r="AP1900" s="21"/>
      <c r="AQ1900" s="21"/>
      <c r="AR1900" s="21"/>
      <c r="AS1900" s="21"/>
      <c r="AT1900" s="12" t="str">
        <f>HYPERLINK("http://www.openstreetmap.org/?mlat=31.9826&amp;mlon=44.363&amp;zoom=12#map=12/31.9826/44.363","Maplink1")</f>
        <v>Maplink1</v>
      </c>
      <c r="AU1900" s="12" t="str">
        <f>HYPERLINK("https://www.google.iq/maps/search/+31.9826,44.363/@31.9826,44.363,14z?hl=en","Maplink2")</f>
        <v>Maplink2</v>
      </c>
      <c r="AV1900" s="12" t="str">
        <f>HYPERLINK("http://www.bing.com/maps/?lvl=14&amp;sty=h&amp;cp=31.9826~44.363&amp;sp=point.31.9826_44.363","Maplink3")</f>
        <v>Maplink3</v>
      </c>
    </row>
    <row r="1901" spans="1:48" ht="15" customHeight="1" x14ac:dyDescent="0.25">
      <c r="A1901" s="19">
        <v>21575</v>
      </c>
      <c r="B1901" s="20" t="s">
        <v>20</v>
      </c>
      <c r="C1901" s="20" t="s">
        <v>20</v>
      </c>
      <c r="D1901" s="20" t="s">
        <v>3476</v>
      </c>
      <c r="E1901" s="20" t="s">
        <v>3477</v>
      </c>
      <c r="F1901" s="20">
        <v>31.962769999999999</v>
      </c>
      <c r="G1901" s="20">
        <v>44.388480000000001</v>
      </c>
      <c r="H1901" s="22">
        <v>3</v>
      </c>
      <c r="I1901" s="22">
        <v>18</v>
      </c>
      <c r="J1901" s="21"/>
      <c r="K1901" s="21"/>
      <c r="L1901" s="21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>
        <v>3</v>
      </c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21"/>
      <c r="AH1901" s="21">
        <v>3</v>
      </c>
      <c r="AI1901" s="21"/>
      <c r="AJ1901" s="21"/>
      <c r="AK1901" s="21"/>
      <c r="AL1901" s="21"/>
      <c r="AM1901" s="21">
        <v>3</v>
      </c>
      <c r="AN1901" s="21"/>
      <c r="AO1901" s="21"/>
      <c r="AP1901" s="21"/>
      <c r="AQ1901" s="21"/>
      <c r="AR1901" s="21"/>
      <c r="AS1901" s="21"/>
      <c r="AT1901" s="12" t="str">
        <f>HYPERLINK("http://www.openstreetmap.org/?mlat=31.9628&amp;mlon=44.3885&amp;zoom=12#map=12/31.9628/44.3885","Maplink1")</f>
        <v>Maplink1</v>
      </c>
      <c r="AU1901" s="12" t="str">
        <f>HYPERLINK("https://www.google.iq/maps/search/+31.9628,44.3885/@31.9628,44.3885,14z?hl=en","Maplink2")</f>
        <v>Maplink2</v>
      </c>
      <c r="AV1901" s="12" t="str">
        <f>HYPERLINK("http://www.bing.com/maps/?lvl=14&amp;sty=h&amp;cp=31.9628~44.3885&amp;sp=point.31.9628_44.3885","Maplink3")</f>
        <v>Maplink3</v>
      </c>
    </row>
    <row r="1902" spans="1:48" ht="15" customHeight="1" x14ac:dyDescent="0.25">
      <c r="A1902" s="19">
        <v>25640</v>
      </c>
      <c r="B1902" s="20" t="s">
        <v>20</v>
      </c>
      <c r="C1902" s="20" t="s">
        <v>20</v>
      </c>
      <c r="D1902" s="20" t="s">
        <v>3478</v>
      </c>
      <c r="E1902" s="20" t="s">
        <v>3479</v>
      </c>
      <c r="F1902" s="20">
        <v>31.949954999999999</v>
      </c>
      <c r="G1902" s="20">
        <v>44.414290999999999</v>
      </c>
      <c r="H1902" s="22">
        <v>35</v>
      </c>
      <c r="I1902" s="22">
        <v>210</v>
      </c>
      <c r="J1902" s="21"/>
      <c r="K1902" s="21"/>
      <c r="L1902" s="21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>
        <v>35</v>
      </c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21"/>
      <c r="AH1902" s="21">
        <v>35</v>
      </c>
      <c r="AI1902" s="21"/>
      <c r="AJ1902" s="21"/>
      <c r="AK1902" s="21"/>
      <c r="AL1902" s="21"/>
      <c r="AM1902" s="21"/>
      <c r="AN1902" s="21">
        <v>35</v>
      </c>
      <c r="AO1902" s="21"/>
      <c r="AP1902" s="21"/>
      <c r="AQ1902" s="21"/>
      <c r="AR1902" s="21"/>
      <c r="AS1902" s="21"/>
      <c r="AT1902" s="12" t="str">
        <f>HYPERLINK("http://www.openstreetmap.org/?mlat=31.95&amp;mlon=44.4143&amp;zoom=12#map=12/31.95/44.4143","Maplink1")</f>
        <v>Maplink1</v>
      </c>
      <c r="AU1902" s="12" t="str">
        <f>HYPERLINK("https://www.google.iq/maps/search/+31.95,44.4143/@31.95,44.4143,14z?hl=en","Maplink2")</f>
        <v>Maplink2</v>
      </c>
      <c r="AV1902" s="12" t="str">
        <f>HYPERLINK("http://www.bing.com/maps/?lvl=14&amp;sty=h&amp;cp=31.95~44.4143&amp;sp=point.31.95_44.4143","Maplink3")</f>
        <v>Maplink3</v>
      </c>
    </row>
    <row r="1903" spans="1:48" ht="15" customHeight="1" x14ac:dyDescent="0.25">
      <c r="A1903" s="19">
        <v>23705</v>
      </c>
      <c r="B1903" s="20" t="s">
        <v>20</v>
      </c>
      <c r="C1903" s="20" t="s">
        <v>20</v>
      </c>
      <c r="D1903" s="20" t="s">
        <v>3480</v>
      </c>
      <c r="E1903" s="20" t="s">
        <v>2580</v>
      </c>
      <c r="F1903" s="20">
        <v>32.092770000000002</v>
      </c>
      <c r="G1903" s="20">
        <v>44.334269999999997</v>
      </c>
      <c r="H1903" s="22">
        <v>10</v>
      </c>
      <c r="I1903" s="22">
        <v>60</v>
      </c>
      <c r="J1903" s="21"/>
      <c r="K1903" s="21"/>
      <c r="L1903" s="21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>
        <v>10</v>
      </c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21"/>
      <c r="AH1903" s="21">
        <v>10</v>
      </c>
      <c r="AI1903" s="21"/>
      <c r="AJ1903" s="21"/>
      <c r="AK1903" s="21"/>
      <c r="AL1903" s="21"/>
      <c r="AM1903" s="21">
        <v>10</v>
      </c>
      <c r="AN1903" s="21"/>
      <c r="AO1903" s="21"/>
      <c r="AP1903" s="21"/>
      <c r="AQ1903" s="21"/>
      <c r="AR1903" s="21"/>
      <c r="AS1903" s="21"/>
      <c r="AT1903" s="12" t="str">
        <f>HYPERLINK("http://www.openstreetmap.org/?mlat=32.0928&amp;mlon=44.3343&amp;zoom=12#map=12/32.0928/44.3343","Maplink1")</f>
        <v>Maplink1</v>
      </c>
      <c r="AU1903" s="12" t="str">
        <f>HYPERLINK("https://www.google.iq/maps/search/+32.0928,44.3343/@32.0928,44.3343,14z?hl=en","Maplink2")</f>
        <v>Maplink2</v>
      </c>
      <c r="AV1903" s="12" t="str">
        <f>HYPERLINK("http://www.bing.com/maps/?lvl=14&amp;sty=h&amp;cp=32.0928~44.3343&amp;sp=point.32.0928_44.3343","Maplink3")</f>
        <v>Maplink3</v>
      </c>
    </row>
    <row r="1904" spans="1:48" ht="15" customHeight="1" x14ac:dyDescent="0.25">
      <c r="A1904" s="19">
        <v>19643</v>
      </c>
      <c r="B1904" s="20" t="s">
        <v>20</v>
      </c>
      <c r="C1904" s="20" t="s">
        <v>20</v>
      </c>
      <c r="D1904" s="20" t="s">
        <v>681</v>
      </c>
      <c r="E1904" s="20" t="s">
        <v>117</v>
      </c>
      <c r="F1904" s="20">
        <v>32.034939000000001</v>
      </c>
      <c r="G1904" s="20">
        <v>44.339500999999998</v>
      </c>
      <c r="H1904" s="22">
        <v>17</v>
      </c>
      <c r="I1904" s="22">
        <v>102</v>
      </c>
      <c r="J1904" s="21"/>
      <c r="K1904" s="21"/>
      <c r="L1904" s="21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>
        <v>17</v>
      </c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21"/>
      <c r="AH1904" s="21">
        <v>17</v>
      </c>
      <c r="AI1904" s="21"/>
      <c r="AJ1904" s="21"/>
      <c r="AK1904" s="21"/>
      <c r="AL1904" s="21"/>
      <c r="AM1904" s="21">
        <v>17</v>
      </c>
      <c r="AN1904" s="21"/>
      <c r="AO1904" s="21"/>
      <c r="AP1904" s="21"/>
      <c r="AQ1904" s="21"/>
      <c r="AR1904" s="21"/>
      <c r="AS1904" s="21"/>
      <c r="AT1904" s="12" t="str">
        <f>HYPERLINK("http://www.openstreetmap.org/?mlat=32.0349&amp;mlon=44.3395&amp;zoom=12#map=12/32.0349/44.3395","Maplink1")</f>
        <v>Maplink1</v>
      </c>
      <c r="AU1904" s="12" t="str">
        <f>HYPERLINK("https://www.google.iq/maps/search/+32.0349,44.3395/@32.0349,44.3395,14z?hl=en","Maplink2")</f>
        <v>Maplink2</v>
      </c>
      <c r="AV1904" s="12" t="str">
        <f>HYPERLINK("http://www.bing.com/maps/?lvl=14&amp;sty=h&amp;cp=32.0349~44.3395&amp;sp=point.32.0349_44.3395","Maplink3")</f>
        <v>Maplink3</v>
      </c>
    </row>
    <row r="1905" spans="1:48" ht="15" customHeight="1" x14ac:dyDescent="0.25">
      <c r="A1905" s="19">
        <v>29598</v>
      </c>
      <c r="B1905" s="20" t="s">
        <v>20</v>
      </c>
      <c r="C1905" s="20" t="s">
        <v>20</v>
      </c>
      <c r="D1905" s="20" t="s">
        <v>3481</v>
      </c>
      <c r="E1905" s="20" t="s">
        <v>3482</v>
      </c>
      <c r="F1905" s="20">
        <v>32.146425000000001</v>
      </c>
      <c r="G1905" s="20">
        <v>44.291891</v>
      </c>
      <c r="H1905" s="22">
        <v>188</v>
      </c>
      <c r="I1905" s="22">
        <v>1128</v>
      </c>
      <c r="J1905" s="21"/>
      <c r="K1905" s="21"/>
      <c r="L1905" s="21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>
        <v>188</v>
      </c>
      <c r="W1905" s="21"/>
      <c r="X1905" s="21"/>
      <c r="Y1905" s="21"/>
      <c r="Z1905" s="21"/>
      <c r="AA1905" s="21"/>
      <c r="AB1905" s="21">
        <v>188</v>
      </c>
      <c r="AC1905" s="21"/>
      <c r="AD1905" s="21"/>
      <c r="AE1905" s="21"/>
      <c r="AF1905" s="21"/>
      <c r="AG1905" s="21"/>
      <c r="AH1905" s="21"/>
      <c r="AI1905" s="21"/>
      <c r="AJ1905" s="21"/>
      <c r="AK1905" s="21"/>
      <c r="AL1905" s="21"/>
      <c r="AM1905" s="21">
        <v>188</v>
      </c>
      <c r="AN1905" s="21"/>
      <c r="AO1905" s="21"/>
      <c r="AP1905" s="21"/>
      <c r="AQ1905" s="21"/>
      <c r="AR1905" s="21"/>
      <c r="AS1905" s="21"/>
      <c r="AT1905" s="12" t="str">
        <f>HYPERLINK("http://www.openstreetmap.org/?mlat=32.1464&amp;mlon=44.2919&amp;zoom=12#map=12/32.1464/44.2919","Maplink1")</f>
        <v>Maplink1</v>
      </c>
      <c r="AU1905" s="12" t="str">
        <f>HYPERLINK("https://www.google.iq/maps/search/+32.1464,44.2919/@32.1464,44.2919,14z?hl=en","Maplink2")</f>
        <v>Maplink2</v>
      </c>
      <c r="AV1905" s="12" t="str">
        <f>HYPERLINK("http://www.bing.com/maps/?lvl=14&amp;sty=h&amp;cp=32.1464~44.2919&amp;sp=point.32.1464_44.2919","Maplink3")</f>
        <v>Maplink3</v>
      </c>
    </row>
    <row r="1906" spans="1:48" ht="15" customHeight="1" x14ac:dyDescent="0.25">
      <c r="A1906" s="19">
        <v>29620</v>
      </c>
      <c r="B1906" s="20" t="s">
        <v>20</v>
      </c>
      <c r="C1906" s="20" t="s">
        <v>20</v>
      </c>
      <c r="D1906" s="20" t="s">
        <v>3483</v>
      </c>
      <c r="E1906" s="20" t="s">
        <v>3484</v>
      </c>
      <c r="F1906" s="20">
        <v>32.331099999999999</v>
      </c>
      <c r="G1906" s="20">
        <v>44.25705</v>
      </c>
      <c r="H1906" s="22">
        <v>49</v>
      </c>
      <c r="I1906" s="22">
        <v>294</v>
      </c>
      <c r="J1906" s="21"/>
      <c r="K1906" s="21"/>
      <c r="L1906" s="21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>
        <v>49</v>
      </c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21"/>
      <c r="AH1906" s="21">
        <v>49</v>
      </c>
      <c r="AI1906" s="21"/>
      <c r="AJ1906" s="21"/>
      <c r="AK1906" s="21"/>
      <c r="AL1906" s="21"/>
      <c r="AM1906" s="21">
        <v>49</v>
      </c>
      <c r="AN1906" s="21"/>
      <c r="AO1906" s="21"/>
      <c r="AP1906" s="21"/>
      <c r="AQ1906" s="21"/>
      <c r="AR1906" s="21"/>
      <c r="AS1906" s="21"/>
      <c r="AT1906" s="12" t="str">
        <f>HYPERLINK("http://www.openstreetmap.org/?mlat=32.3311&amp;mlon=44.2571&amp;zoom=12#map=12/32.3311/44.2571","Maplink1")</f>
        <v>Maplink1</v>
      </c>
      <c r="AU1906" s="12" t="str">
        <f>HYPERLINK("https://www.google.iq/maps/search/+32.3311,44.2571/@32.3311,44.2571,14z?hl=en","Maplink2")</f>
        <v>Maplink2</v>
      </c>
      <c r="AV1906" s="12" t="str">
        <f>HYPERLINK("http://www.bing.com/maps/?lvl=14&amp;sty=h&amp;cp=32.3311~44.2571&amp;sp=point.32.3311_44.2571","Maplink3")</f>
        <v>Maplink3</v>
      </c>
    </row>
    <row r="1907" spans="1:48" ht="15" customHeight="1" x14ac:dyDescent="0.25">
      <c r="A1907" s="19">
        <v>26015</v>
      </c>
      <c r="B1907" s="20" t="s">
        <v>20</v>
      </c>
      <c r="C1907" s="20" t="s">
        <v>20</v>
      </c>
      <c r="D1907" s="20" t="s">
        <v>3485</v>
      </c>
      <c r="E1907" s="20" t="s">
        <v>3486</v>
      </c>
      <c r="F1907" s="20">
        <v>31.996490000000001</v>
      </c>
      <c r="G1907" s="20">
        <v>44.303579999999997</v>
      </c>
      <c r="H1907" s="22">
        <v>10</v>
      </c>
      <c r="I1907" s="22">
        <v>60</v>
      </c>
      <c r="J1907" s="21"/>
      <c r="K1907" s="21"/>
      <c r="L1907" s="21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>
        <v>10</v>
      </c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21"/>
      <c r="AH1907" s="21">
        <v>10</v>
      </c>
      <c r="AI1907" s="21"/>
      <c r="AJ1907" s="21"/>
      <c r="AK1907" s="21"/>
      <c r="AL1907" s="21"/>
      <c r="AM1907" s="21"/>
      <c r="AN1907" s="21">
        <v>10</v>
      </c>
      <c r="AO1907" s="21"/>
      <c r="AP1907" s="21"/>
      <c r="AQ1907" s="21"/>
      <c r="AR1907" s="21"/>
      <c r="AS1907" s="21"/>
      <c r="AT1907" s="12" t="str">
        <f>HYPERLINK("http://www.openstreetmap.org/?mlat=31.9965&amp;mlon=44.3036&amp;zoom=12#map=12/31.9965/44.3036","Maplink1")</f>
        <v>Maplink1</v>
      </c>
      <c r="AU1907" s="12" t="str">
        <f>HYPERLINK("https://www.google.iq/maps/search/+31.9965,44.3036/@31.9965,44.3036,14z?hl=en","Maplink2")</f>
        <v>Maplink2</v>
      </c>
      <c r="AV1907" s="12" t="str">
        <f>HYPERLINK("http://www.bing.com/maps/?lvl=14&amp;sty=h&amp;cp=31.9965~44.3036&amp;sp=point.31.9965_44.3036","Maplink3")</f>
        <v>Maplink3</v>
      </c>
    </row>
    <row r="1908" spans="1:48" ht="15" customHeight="1" x14ac:dyDescent="0.25">
      <c r="A1908" s="19">
        <v>19971</v>
      </c>
      <c r="B1908" s="20" t="s">
        <v>20</v>
      </c>
      <c r="C1908" s="20" t="s">
        <v>20</v>
      </c>
      <c r="D1908" s="20" t="s">
        <v>3487</v>
      </c>
      <c r="E1908" s="20" t="s">
        <v>338</v>
      </c>
      <c r="F1908" s="20">
        <v>31.98638</v>
      </c>
      <c r="G1908" s="20">
        <v>44.35107</v>
      </c>
      <c r="H1908" s="22">
        <v>4</v>
      </c>
      <c r="I1908" s="22">
        <v>24</v>
      </c>
      <c r="J1908" s="21"/>
      <c r="K1908" s="21"/>
      <c r="L1908" s="21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>
        <v>4</v>
      </c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21"/>
      <c r="AH1908" s="21">
        <v>4</v>
      </c>
      <c r="AI1908" s="21"/>
      <c r="AJ1908" s="21"/>
      <c r="AK1908" s="21"/>
      <c r="AL1908" s="21"/>
      <c r="AM1908" s="21">
        <v>4</v>
      </c>
      <c r="AN1908" s="21"/>
      <c r="AO1908" s="21"/>
      <c r="AP1908" s="21"/>
      <c r="AQ1908" s="21"/>
      <c r="AR1908" s="21"/>
      <c r="AS1908" s="21"/>
      <c r="AT1908" s="12" t="str">
        <f>HYPERLINK("http://www.openstreetmap.org/?mlat=31.9864&amp;mlon=44.3511&amp;zoom=12#map=12/31.9864/44.3511","Maplink1")</f>
        <v>Maplink1</v>
      </c>
      <c r="AU1908" s="12" t="str">
        <f>HYPERLINK("https://www.google.iq/maps/search/+31.9864,44.3511/@31.9864,44.3511,14z?hl=en","Maplink2")</f>
        <v>Maplink2</v>
      </c>
      <c r="AV1908" s="12" t="str">
        <f>HYPERLINK("http://www.bing.com/maps/?lvl=14&amp;sty=h&amp;cp=31.9864~44.3511&amp;sp=point.31.9864_44.3511","Maplink3")</f>
        <v>Maplink3</v>
      </c>
    </row>
    <row r="1909" spans="1:48" ht="15" customHeight="1" x14ac:dyDescent="0.25">
      <c r="A1909" s="19">
        <v>25943</v>
      </c>
      <c r="B1909" s="20" t="s">
        <v>20</v>
      </c>
      <c r="C1909" s="20" t="s">
        <v>20</v>
      </c>
      <c r="D1909" s="20" t="s">
        <v>3488</v>
      </c>
      <c r="E1909" s="20" t="s">
        <v>3489</v>
      </c>
      <c r="F1909" s="20">
        <v>32.063470000000002</v>
      </c>
      <c r="G1909" s="20">
        <v>44.304830000000003</v>
      </c>
      <c r="H1909" s="22">
        <v>5</v>
      </c>
      <c r="I1909" s="22">
        <v>30</v>
      </c>
      <c r="J1909" s="21"/>
      <c r="K1909" s="21"/>
      <c r="L1909" s="21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>
        <v>5</v>
      </c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21"/>
      <c r="AH1909" s="21">
        <v>5</v>
      </c>
      <c r="AI1909" s="21"/>
      <c r="AJ1909" s="21"/>
      <c r="AK1909" s="21"/>
      <c r="AL1909" s="21"/>
      <c r="AM1909" s="21"/>
      <c r="AN1909" s="21">
        <v>5</v>
      </c>
      <c r="AO1909" s="21"/>
      <c r="AP1909" s="21"/>
      <c r="AQ1909" s="21"/>
      <c r="AR1909" s="21"/>
      <c r="AS1909" s="21"/>
      <c r="AT1909" s="12" t="str">
        <f>HYPERLINK("http://www.openstreetmap.org/?mlat=32.0635&amp;mlon=44.3048&amp;zoom=12#map=12/32.0635/44.3048","Maplink1")</f>
        <v>Maplink1</v>
      </c>
      <c r="AU1909" s="12" t="str">
        <f>HYPERLINK("https://www.google.iq/maps/search/+32.0635,44.3048/@32.0635,44.3048,14z?hl=en","Maplink2")</f>
        <v>Maplink2</v>
      </c>
      <c r="AV1909" s="12" t="str">
        <f>HYPERLINK("http://www.bing.com/maps/?lvl=14&amp;sty=h&amp;cp=32.0635~44.3048&amp;sp=point.32.0635_44.3048","Maplink3")</f>
        <v>Maplink3</v>
      </c>
    </row>
    <row r="1910" spans="1:48" ht="15" customHeight="1" x14ac:dyDescent="0.25">
      <c r="A1910" s="19">
        <v>20287</v>
      </c>
      <c r="B1910" s="20" t="s">
        <v>20</v>
      </c>
      <c r="C1910" s="20" t="s">
        <v>20</v>
      </c>
      <c r="D1910" s="20" t="s">
        <v>3490</v>
      </c>
      <c r="E1910" s="20" t="s">
        <v>3491</v>
      </c>
      <c r="F1910" s="20">
        <v>32.082585999999999</v>
      </c>
      <c r="G1910" s="20">
        <v>44.333323999999998</v>
      </c>
      <c r="H1910" s="22">
        <v>100</v>
      </c>
      <c r="I1910" s="22">
        <v>600</v>
      </c>
      <c r="J1910" s="21"/>
      <c r="K1910" s="21"/>
      <c r="L1910" s="21"/>
      <c r="M1910" s="21"/>
      <c r="N1910" s="21"/>
      <c r="O1910" s="21">
        <v>7</v>
      </c>
      <c r="P1910" s="21"/>
      <c r="Q1910" s="21"/>
      <c r="R1910" s="21"/>
      <c r="S1910" s="21"/>
      <c r="T1910" s="21"/>
      <c r="U1910" s="21"/>
      <c r="V1910" s="21">
        <v>87</v>
      </c>
      <c r="W1910" s="21"/>
      <c r="X1910" s="21">
        <v>6</v>
      </c>
      <c r="Y1910" s="21"/>
      <c r="Z1910" s="21"/>
      <c r="AA1910" s="21"/>
      <c r="AB1910" s="21"/>
      <c r="AC1910" s="21"/>
      <c r="AD1910" s="21"/>
      <c r="AE1910" s="21"/>
      <c r="AF1910" s="21"/>
      <c r="AG1910" s="21"/>
      <c r="AH1910" s="21">
        <v>100</v>
      </c>
      <c r="AI1910" s="21"/>
      <c r="AJ1910" s="21"/>
      <c r="AK1910" s="21"/>
      <c r="AL1910" s="21"/>
      <c r="AM1910" s="21">
        <v>87</v>
      </c>
      <c r="AN1910" s="21"/>
      <c r="AO1910" s="21">
        <v>13</v>
      </c>
      <c r="AP1910" s="21"/>
      <c r="AQ1910" s="21"/>
      <c r="AR1910" s="21"/>
      <c r="AS1910" s="21"/>
      <c r="AT1910" s="12" t="str">
        <f>HYPERLINK("http://www.openstreetmap.org/?mlat=32.0826&amp;mlon=44.3333&amp;zoom=12#map=12/32.0826/44.3333","Maplink1")</f>
        <v>Maplink1</v>
      </c>
      <c r="AU1910" s="12" t="str">
        <f>HYPERLINK("https://www.google.iq/maps/search/+32.0826,44.3333/@32.0826,44.3333,14z?hl=en","Maplink2")</f>
        <v>Maplink2</v>
      </c>
      <c r="AV1910" s="12" t="str">
        <f>HYPERLINK("http://www.bing.com/maps/?lvl=14&amp;sty=h&amp;cp=32.0826~44.3333&amp;sp=point.32.0826_44.3333","Maplink3")</f>
        <v>Maplink3</v>
      </c>
    </row>
    <row r="1911" spans="1:48" ht="15" customHeight="1" x14ac:dyDescent="0.25">
      <c r="A1911" s="19">
        <v>29624</v>
      </c>
      <c r="B1911" s="20" t="s">
        <v>20</v>
      </c>
      <c r="C1911" s="20" t="s">
        <v>20</v>
      </c>
      <c r="D1911" s="20" t="s">
        <v>3492</v>
      </c>
      <c r="E1911" s="20" t="s">
        <v>3493</v>
      </c>
      <c r="F1911" s="20">
        <v>32.145499999999998</v>
      </c>
      <c r="G1911" s="20">
        <v>44.329009999999997</v>
      </c>
      <c r="H1911" s="22">
        <v>4</v>
      </c>
      <c r="I1911" s="22">
        <v>24</v>
      </c>
      <c r="J1911" s="21"/>
      <c r="K1911" s="21"/>
      <c r="L1911" s="21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>
        <v>4</v>
      </c>
      <c r="W1911" s="21"/>
      <c r="X1911" s="21"/>
      <c r="Y1911" s="21"/>
      <c r="Z1911" s="21"/>
      <c r="AA1911" s="21"/>
      <c r="AB1911" s="21">
        <v>4</v>
      </c>
      <c r="AC1911" s="21"/>
      <c r="AD1911" s="21"/>
      <c r="AE1911" s="21"/>
      <c r="AF1911" s="21"/>
      <c r="AG1911" s="21"/>
      <c r="AH1911" s="21"/>
      <c r="AI1911" s="21"/>
      <c r="AJ1911" s="21"/>
      <c r="AK1911" s="21"/>
      <c r="AL1911" s="21"/>
      <c r="AM1911" s="21"/>
      <c r="AN1911" s="21">
        <v>4</v>
      </c>
      <c r="AO1911" s="21"/>
      <c r="AP1911" s="21"/>
      <c r="AQ1911" s="21"/>
      <c r="AR1911" s="21"/>
      <c r="AS1911" s="21"/>
      <c r="AT1911" s="12" t="str">
        <f>HYPERLINK("http://www.openstreetmap.org/?mlat=32.1455&amp;mlon=44.329&amp;zoom=12#map=12/32.1455/44.329","Maplink1")</f>
        <v>Maplink1</v>
      </c>
      <c r="AU1911" s="12" t="str">
        <f>HYPERLINK("https://www.google.iq/maps/search/+32.1455,44.329/@32.1455,44.329,14z?hl=en","Maplink2")</f>
        <v>Maplink2</v>
      </c>
      <c r="AV1911" s="12" t="str">
        <f>HYPERLINK("http://www.bing.com/maps/?lvl=14&amp;sty=h&amp;cp=32.1455~44.329&amp;sp=point.32.1455_44.329","Maplink3")</f>
        <v>Maplink3</v>
      </c>
    </row>
    <row r="1912" spans="1:48" ht="15" customHeight="1" x14ac:dyDescent="0.25">
      <c r="A1912" s="19">
        <v>20098</v>
      </c>
      <c r="B1912" s="20" t="s">
        <v>20</v>
      </c>
      <c r="C1912" s="20" t="s">
        <v>20</v>
      </c>
      <c r="D1912" s="20" t="s">
        <v>6155</v>
      </c>
      <c r="E1912" s="20" t="s">
        <v>6156</v>
      </c>
      <c r="F1912" s="20">
        <v>32.045670000000001</v>
      </c>
      <c r="G1912" s="20">
        <v>44.311050000000002</v>
      </c>
      <c r="H1912" s="22">
        <v>5</v>
      </c>
      <c r="I1912" s="22">
        <v>30</v>
      </c>
      <c r="J1912" s="21"/>
      <c r="K1912" s="21"/>
      <c r="L1912" s="21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>
        <v>5</v>
      </c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21"/>
      <c r="AH1912" s="21">
        <v>5</v>
      </c>
      <c r="AI1912" s="21"/>
      <c r="AJ1912" s="21"/>
      <c r="AK1912" s="21"/>
      <c r="AL1912" s="21"/>
      <c r="AM1912" s="21">
        <v>5</v>
      </c>
      <c r="AN1912" s="21"/>
      <c r="AO1912" s="21"/>
      <c r="AP1912" s="21"/>
      <c r="AQ1912" s="21"/>
      <c r="AR1912" s="21"/>
      <c r="AS1912" s="21"/>
      <c r="AT1912" s="12" t="str">
        <f>HYPERLINK("http://www.openstreetmap.org/?mlat=32.0457&amp;mlon=44.3111&amp;zoom=12#map=12/32.0457/44.3111","Maplink1")</f>
        <v>Maplink1</v>
      </c>
      <c r="AU1912" s="12" t="str">
        <f>HYPERLINK("https://www.google.iq/maps/search/+32.0457,44.3111/@32.0457,44.3111,14z?hl=en","Maplink2")</f>
        <v>Maplink2</v>
      </c>
      <c r="AV1912" s="12" t="str">
        <f>HYPERLINK("http://www.bing.com/maps/?lvl=14&amp;sty=h&amp;cp=32.0457~44.3111&amp;sp=point.32.0457_44.3111","Maplink3")</f>
        <v>Maplink3</v>
      </c>
    </row>
    <row r="1913" spans="1:48" ht="15" customHeight="1" x14ac:dyDescent="0.25">
      <c r="A1913" s="19">
        <v>20073</v>
      </c>
      <c r="B1913" s="20" t="s">
        <v>20</v>
      </c>
      <c r="C1913" s="20" t="s">
        <v>20</v>
      </c>
      <c r="D1913" s="20" t="s">
        <v>3494</v>
      </c>
      <c r="E1913" s="20" t="s">
        <v>3495</v>
      </c>
      <c r="F1913" s="20">
        <v>32.046239999999997</v>
      </c>
      <c r="G1913" s="20">
        <v>44.315939999999998</v>
      </c>
      <c r="H1913" s="22">
        <v>8</v>
      </c>
      <c r="I1913" s="22">
        <v>48</v>
      </c>
      <c r="J1913" s="21"/>
      <c r="K1913" s="21"/>
      <c r="L1913" s="21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>
        <v>8</v>
      </c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21"/>
      <c r="AH1913" s="21">
        <v>8</v>
      </c>
      <c r="AI1913" s="21"/>
      <c r="AJ1913" s="21"/>
      <c r="AK1913" s="21"/>
      <c r="AL1913" s="21"/>
      <c r="AM1913" s="21">
        <v>8</v>
      </c>
      <c r="AN1913" s="21"/>
      <c r="AO1913" s="21"/>
      <c r="AP1913" s="21"/>
      <c r="AQ1913" s="21"/>
      <c r="AR1913" s="21"/>
      <c r="AS1913" s="21"/>
      <c r="AT1913" s="12" t="str">
        <f>HYPERLINK("http://www.openstreetmap.org/?mlat=32.0462&amp;mlon=44.3159&amp;zoom=12#map=12/32.0462/44.3159","Maplink1")</f>
        <v>Maplink1</v>
      </c>
      <c r="AU1913" s="12" t="str">
        <f>HYPERLINK("https://www.google.iq/maps/search/+32.0462,44.3159/@32.0462,44.3159,14z?hl=en","Maplink2")</f>
        <v>Maplink2</v>
      </c>
      <c r="AV1913" s="12" t="str">
        <f>HYPERLINK("http://www.bing.com/maps/?lvl=14&amp;sty=h&amp;cp=32.0462~44.3159&amp;sp=point.32.0462_44.3159","Maplink3")</f>
        <v>Maplink3</v>
      </c>
    </row>
    <row r="1914" spans="1:48" ht="15" customHeight="1" x14ac:dyDescent="0.25">
      <c r="A1914" s="19">
        <v>20084</v>
      </c>
      <c r="B1914" s="20" t="s">
        <v>20</v>
      </c>
      <c r="C1914" s="20" t="s">
        <v>20</v>
      </c>
      <c r="D1914" s="20" t="s">
        <v>3496</v>
      </c>
      <c r="E1914" s="20" t="s">
        <v>3497</v>
      </c>
      <c r="F1914" s="20">
        <v>32.033169999999998</v>
      </c>
      <c r="G1914" s="20">
        <v>44.315629999999999</v>
      </c>
      <c r="H1914" s="22">
        <v>10</v>
      </c>
      <c r="I1914" s="22">
        <v>60</v>
      </c>
      <c r="J1914" s="21"/>
      <c r="K1914" s="21"/>
      <c r="L1914" s="21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>
        <v>10</v>
      </c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21"/>
      <c r="AH1914" s="21">
        <v>10</v>
      </c>
      <c r="AI1914" s="21"/>
      <c r="AJ1914" s="21"/>
      <c r="AK1914" s="21"/>
      <c r="AL1914" s="21"/>
      <c r="AM1914" s="21"/>
      <c r="AN1914" s="21">
        <v>10</v>
      </c>
      <c r="AO1914" s="21"/>
      <c r="AP1914" s="21"/>
      <c r="AQ1914" s="21"/>
      <c r="AR1914" s="21"/>
      <c r="AS1914" s="21"/>
      <c r="AT1914" s="12" t="str">
        <f>HYPERLINK("http://www.openstreetmap.org/?mlat=32.0332&amp;mlon=44.3156&amp;zoom=12#map=12/32.0332/44.3156","Maplink1")</f>
        <v>Maplink1</v>
      </c>
      <c r="AU1914" s="12" t="str">
        <f>HYPERLINK("https://www.google.iq/maps/search/+32.0332,44.3156/@32.0332,44.3156,14z?hl=en","Maplink2")</f>
        <v>Maplink2</v>
      </c>
      <c r="AV1914" s="12" t="str">
        <f>HYPERLINK("http://www.bing.com/maps/?lvl=14&amp;sty=h&amp;cp=32.0332~44.3156&amp;sp=point.32.0332_44.3156","Maplink3")</f>
        <v>Maplink3</v>
      </c>
    </row>
    <row r="1915" spans="1:48" ht="15" customHeight="1" x14ac:dyDescent="0.25">
      <c r="A1915" s="19">
        <v>29623</v>
      </c>
      <c r="B1915" s="20" t="s">
        <v>20</v>
      </c>
      <c r="C1915" s="20" t="s">
        <v>20</v>
      </c>
      <c r="D1915" s="20" t="s">
        <v>3498</v>
      </c>
      <c r="E1915" s="20" t="s">
        <v>3499</v>
      </c>
      <c r="F1915" s="20">
        <v>32.158630000000002</v>
      </c>
      <c r="G1915" s="20">
        <v>44.319159999999997</v>
      </c>
      <c r="H1915" s="22">
        <v>160</v>
      </c>
      <c r="I1915" s="22">
        <v>960</v>
      </c>
      <c r="J1915" s="21"/>
      <c r="K1915" s="21"/>
      <c r="L1915" s="21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>
        <v>160</v>
      </c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21">
        <v>5</v>
      </c>
      <c r="AH1915" s="21">
        <v>155</v>
      </c>
      <c r="AI1915" s="21"/>
      <c r="AJ1915" s="21"/>
      <c r="AK1915" s="21"/>
      <c r="AL1915" s="21"/>
      <c r="AM1915" s="21">
        <v>160</v>
      </c>
      <c r="AN1915" s="21"/>
      <c r="AO1915" s="21"/>
      <c r="AP1915" s="21"/>
      <c r="AQ1915" s="21"/>
      <c r="AR1915" s="21"/>
      <c r="AS1915" s="21"/>
      <c r="AT1915" s="12" t="str">
        <f>HYPERLINK("http://www.openstreetmap.org/?mlat=32.1586&amp;mlon=44.3192&amp;zoom=12#map=12/32.1586/44.3192","Maplink1")</f>
        <v>Maplink1</v>
      </c>
      <c r="AU1915" s="12" t="str">
        <f>HYPERLINK("https://www.google.iq/maps/search/+32.1586,44.3192/@32.1586,44.3192,14z?hl=en","Maplink2")</f>
        <v>Maplink2</v>
      </c>
      <c r="AV1915" s="12" t="str">
        <f>HYPERLINK("http://www.bing.com/maps/?lvl=14&amp;sty=h&amp;cp=32.1586~44.3192&amp;sp=point.32.1586_44.3192","Maplink3")</f>
        <v>Maplink3</v>
      </c>
    </row>
    <row r="1916" spans="1:48" ht="15" customHeight="1" x14ac:dyDescent="0.25">
      <c r="A1916" s="19">
        <v>29619</v>
      </c>
      <c r="B1916" s="20" t="s">
        <v>20</v>
      </c>
      <c r="C1916" s="20" t="s">
        <v>20</v>
      </c>
      <c r="D1916" s="20" t="s">
        <v>3500</v>
      </c>
      <c r="E1916" s="20" t="s">
        <v>3501</v>
      </c>
      <c r="F1916" s="20">
        <v>32.298780000000001</v>
      </c>
      <c r="G1916" s="20">
        <v>44.286859999999997</v>
      </c>
      <c r="H1916" s="22">
        <v>135</v>
      </c>
      <c r="I1916" s="22">
        <v>810</v>
      </c>
      <c r="J1916" s="21"/>
      <c r="K1916" s="21"/>
      <c r="L1916" s="21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>
        <v>135</v>
      </c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21">
        <v>10</v>
      </c>
      <c r="AH1916" s="21">
        <v>125</v>
      </c>
      <c r="AI1916" s="21"/>
      <c r="AJ1916" s="21"/>
      <c r="AK1916" s="21"/>
      <c r="AL1916" s="21"/>
      <c r="AM1916" s="21">
        <v>135</v>
      </c>
      <c r="AN1916" s="21"/>
      <c r="AO1916" s="21"/>
      <c r="AP1916" s="21"/>
      <c r="AQ1916" s="21"/>
      <c r="AR1916" s="21"/>
      <c r="AS1916" s="21"/>
      <c r="AT1916" s="12" t="str">
        <f>HYPERLINK("http://www.openstreetmap.org/?mlat=32.2988&amp;mlon=44.2869&amp;zoom=12#map=12/32.2988/44.2869","Maplink1")</f>
        <v>Maplink1</v>
      </c>
      <c r="AU1916" s="12" t="str">
        <f>HYPERLINK("https://www.google.iq/maps/search/+32.2988,44.2869/@32.2988,44.2869,14z?hl=en","Maplink2")</f>
        <v>Maplink2</v>
      </c>
      <c r="AV1916" s="12" t="str">
        <f>HYPERLINK("http://www.bing.com/maps/?lvl=14&amp;sty=h&amp;cp=32.2988~44.2869&amp;sp=point.32.2988_44.2869","Maplink3")</f>
        <v>Maplink3</v>
      </c>
    </row>
    <row r="1917" spans="1:48" ht="15" customHeight="1" x14ac:dyDescent="0.25">
      <c r="A1917" s="19">
        <v>25977</v>
      </c>
      <c r="B1917" s="20" t="s">
        <v>20</v>
      </c>
      <c r="C1917" s="20" t="s">
        <v>20</v>
      </c>
      <c r="D1917" s="20" t="s">
        <v>3502</v>
      </c>
      <c r="E1917" s="20" t="s">
        <v>3503</v>
      </c>
      <c r="F1917" s="20">
        <v>32.062662000000003</v>
      </c>
      <c r="G1917" s="20">
        <v>44.311770000000003</v>
      </c>
      <c r="H1917" s="22">
        <v>4</v>
      </c>
      <c r="I1917" s="22">
        <v>24</v>
      </c>
      <c r="J1917" s="21"/>
      <c r="K1917" s="21"/>
      <c r="L1917" s="21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>
        <v>4</v>
      </c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21"/>
      <c r="AH1917" s="21">
        <v>4</v>
      </c>
      <c r="AI1917" s="21"/>
      <c r="AJ1917" s="21"/>
      <c r="AK1917" s="21"/>
      <c r="AL1917" s="21"/>
      <c r="AM1917" s="21">
        <v>4</v>
      </c>
      <c r="AN1917" s="21"/>
      <c r="AO1917" s="21"/>
      <c r="AP1917" s="21"/>
      <c r="AQ1917" s="21"/>
      <c r="AR1917" s="21"/>
      <c r="AS1917" s="21"/>
      <c r="AT1917" s="12" t="str">
        <f>HYPERLINK("http://www.openstreetmap.org/?mlat=32.0627&amp;mlon=44.3118&amp;zoom=12#map=12/32.0627/44.3118","Maplink1")</f>
        <v>Maplink1</v>
      </c>
      <c r="AU1917" s="12" t="str">
        <f>HYPERLINK("https://www.google.iq/maps/search/+32.0627,44.3118/@32.0627,44.3118,14z?hl=en","Maplink2")</f>
        <v>Maplink2</v>
      </c>
      <c r="AV1917" s="12" t="str">
        <f>HYPERLINK("http://www.bing.com/maps/?lvl=14&amp;sty=h&amp;cp=32.0627~44.3118&amp;sp=point.32.0627_44.3118","Maplink3")</f>
        <v>Maplink3</v>
      </c>
    </row>
    <row r="1918" spans="1:48" ht="15" customHeight="1" x14ac:dyDescent="0.25">
      <c r="A1918" s="19">
        <v>20341</v>
      </c>
      <c r="B1918" s="20" t="s">
        <v>20</v>
      </c>
      <c r="C1918" s="20" t="s">
        <v>20</v>
      </c>
      <c r="D1918" s="20" t="s">
        <v>3504</v>
      </c>
      <c r="E1918" s="20" t="s">
        <v>3505</v>
      </c>
      <c r="F1918" s="20">
        <v>32.286520000000003</v>
      </c>
      <c r="G1918" s="20">
        <v>44.279220000000002</v>
      </c>
      <c r="H1918" s="22">
        <v>16</v>
      </c>
      <c r="I1918" s="22">
        <v>96</v>
      </c>
      <c r="J1918" s="21"/>
      <c r="K1918" s="21"/>
      <c r="L1918" s="21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>
        <v>16</v>
      </c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21">
        <v>6</v>
      </c>
      <c r="AH1918" s="21">
        <v>10</v>
      </c>
      <c r="AI1918" s="21"/>
      <c r="AJ1918" s="21"/>
      <c r="AK1918" s="21"/>
      <c r="AL1918" s="21"/>
      <c r="AM1918" s="21">
        <v>16</v>
      </c>
      <c r="AN1918" s="21"/>
      <c r="AO1918" s="21"/>
      <c r="AP1918" s="21"/>
      <c r="AQ1918" s="21"/>
      <c r="AR1918" s="21"/>
      <c r="AS1918" s="21"/>
      <c r="AT1918" s="12" t="str">
        <f>HYPERLINK("http://www.openstreetmap.org/?mlat=32.2865&amp;mlon=44.2792&amp;zoom=12#map=12/32.2865/44.2792","Maplink1")</f>
        <v>Maplink1</v>
      </c>
      <c r="AU1918" s="12" t="str">
        <f>HYPERLINK("https://www.google.iq/maps/search/+32.2865,44.2792/@32.2865,44.2792,14z?hl=en","Maplink2")</f>
        <v>Maplink2</v>
      </c>
      <c r="AV1918" s="12" t="str">
        <f>HYPERLINK("http://www.bing.com/maps/?lvl=14&amp;sty=h&amp;cp=32.2865~44.2792&amp;sp=point.32.2865_44.2792","Maplink3")</f>
        <v>Maplink3</v>
      </c>
    </row>
    <row r="1919" spans="1:48" ht="15" customHeight="1" x14ac:dyDescent="0.25">
      <c r="A1919" s="19">
        <v>23747</v>
      </c>
      <c r="B1919" s="20" t="s">
        <v>20</v>
      </c>
      <c r="C1919" s="20" t="s">
        <v>20</v>
      </c>
      <c r="D1919" s="20" t="s">
        <v>3506</v>
      </c>
      <c r="E1919" s="20" t="s">
        <v>3507</v>
      </c>
      <c r="F1919" s="20">
        <v>32.05556</v>
      </c>
      <c r="G1919" s="20">
        <v>44.313229999999997</v>
      </c>
      <c r="H1919" s="22">
        <v>5</v>
      </c>
      <c r="I1919" s="22">
        <v>30</v>
      </c>
      <c r="J1919" s="21"/>
      <c r="K1919" s="21"/>
      <c r="L1919" s="21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>
        <v>5</v>
      </c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21"/>
      <c r="AH1919" s="21">
        <v>5</v>
      </c>
      <c r="AI1919" s="21"/>
      <c r="AJ1919" s="21"/>
      <c r="AK1919" s="21"/>
      <c r="AL1919" s="21"/>
      <c r="AM1919" s="21">
        <v>5</v>
      </c>
      <c r="AN1919" s="21"/>
      <c r="AO1919" s="21"/>
      <c r="AP1919" s="21"/>
      <c r="AQ1919" s="21"/>
      <c r="AR1919" s="21"/>
      <c r="AS1919" s="21"/>
      <c r="AT1919" s="12" t="str">
        <f>HYPERLINK("http://www.openstreetmap.org/?mlat=32.0556&amp;mlon=44.3132&amp;zoom=12#map=12/32.0556/44.3132","Maplink1")</f>
        <v>Maplink1</v>
      </c>
      <c r="AU1919" s="12" t="str">
        <f>HYPERLINK("https://www.google.iq/maps/search/+32.0556,44.3132/@32.0556,44.3132,14z?hl=en","Maplink2")</f>
        <v>Maplink2</v>
      </c>
      <c r="AV1919" s="12" t="str">
        <f>HYPERLINK("http://www.bing.com/maps/?lvl=14&amp;sty=h&amp;cp=32.0556~44.3132&amp;sp=point.32.0556_44.3132","Maplink3")</f>
        <v>Maplink3</v>
      </c>
    </row>
    <row r="1920" spans="1:48" ht="15" customHeight="1" x14ac:dyDescent="0.25">
      <c r="A1920" s="19">
        <v>20128</v>
      </c>
      <c r="B1920" s="20" t="s">
        <v>20</v>
      </c>
      <c r="C1920" s="20" t="s">
        <v>20</v>
      </c>
      <c r="D1920" s="20" t="s">
        <v>3508</v>
      </c>
      <c r="E1920" s="20" t="s">
        <v>3509</v>
      </c>
      <c r="F1920" s="20">
        <v>32.048380000000002</v>
      </c>
      <c r="G1920" s="20">
        <v>44.313139999999997</v>
      </c>
      <c r="H1920" s="22">
        <v>25</v>
      </c>
      <c r="I1920" s="22">
        <v>150</v>
      </c>
      <c r="J1920" s="21"/>
      <c r="K1920" s="21"/>
      <c r="L1920" s="21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>
        <v>25</v>
      </c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21"/>
      <c r="AH1920" s="21">
        <v>25</v>
      </c>
      <c r="AI1920" s="21"/>
      <c r="AJ1920" s="21"/>
      <c r="AK1920" s="21"/>
      <c r="AL1920" s="21"/>
      <c r="AM1920" s="21"/>
      <c r="AN1920" s="21">
        <v>25</v>
      </c>
      <c r="AO1920" s="21"/>
      <c r="AP1920" s="21"/>
      <c r="AQ1920" s="21"/>
      <c r="AR1920" s="21"/>
      <c r="AS1920" s="21"/>
      <c r="AT1920" s="12" t="str">
        <f>HYPERLINK("http://www.openstreetmap.org/?mlat=32.0484&amp;mlon=44.3131&amp;zoom=12#map=12/32.0484/44.3131","Maplink1")</f>
        <v>Maplink1</v>
      </c>
      <c r="AU1920" s="12" t="str">
        <f>HYPERLINK("https://www.google.iq/maps/search/+32.0484,44.3131/@32.0484,44.3131,14z?hl=en","Maplink2")</f>
        <v>Maplink2</v>
      </c>
      <c r="AV1920" s="12" t="str">
        <f>HYPERLINK("http://www.bing.com/maps/?lvl=14&amp;sty=h&amp;cp=32.0484~44.3131&amp;sp=point.32.0484_44.3131","Maplink3")</f>
        <v>Maplink3</v>
      </c>
    </row>
    <row r="1921" spans="1:48" ht="15" customHeight="1" x14ac:dyDescent="0.25">
      <c r="A1921" s="19">
        <v>20304</v>
      </c>
      <c r="B1921" s="20" t="s">
        <v>20</v>
      </c>
      <c r="C1921" s="20" t="s">
        <v>20</v>
      </c>
      <c r="D1921" s="20" t="s">
        <v>3510</v>
      </c>
      <c r="E1921" s="20" t="s">
        <v>3511</v>
      </c>
      <c r="F1921" s="20">
        <v>31.92456</v>
      </c>
      <c r="G1921" s="20">
        <v>44.445920000000001</v>
      </c>
      <c r="H1921" s="22">
        <v>167</v>
      </c>
      <c r="I1921" s="22">
        <v>1002</v>
      </c>
      <c r="J1921" s="21"/>
      <c r="K1921" s="21"/>
      <c r="L1921" s="21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>
        <v>167</v>
      </c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21"/>
      <c r="AH1921" s="21">
        <v>167</v>
      </c>
      <c r="AI1921" s="21"/>
      <c r="AJ1921" s="21"/>
      <c r="AK1921" s="21"/>
      <c r="AL1921" s="21"/>
      <c r="AM1921" s="21"/>
      <c r="AN1921" s="21">
        <v>167</v>
      </c>
      <c r="AO1921" s="21"/>
      <c r="AP1921" s="21"/>
      <c r="AQ1921" s="21"/>
      <c r="AR1921" s="21"/>
      <c r="AS1921" s="21"/>
      <c r="AT1921" s="12" t="str">
        <f>HYPERLINK("http://www.openstreetmap.org/?mlat=31.9246&amp;mlon=44.4459&amp;zoom=12#map=12/31.9246/44.4459","Maplink1")</f>
        <v>Maplink1</v>
      </c>
      <c r="AU1921" s="12" t="str">
        <f>HYPERLINK("https://www.google.iq/maps/search/+31.9246,44.4459/@31.9246,44.4459,14z?hl=en","Maplink2")</f>
        <v>Maplink2</v>
      </c>
      <c r="AV1921" s="12" t="str">
        <f>HYPERLINK("http://www.bing.com/maps/?lvl=14&amp;sty=h&amp;cp=31.9246~44.4459&amp;sp=point.31.9246_44.4459","Maplink3")</f>
        <v>Maplink3</v>
      </c>
    </row>
    <row r="1922" spans="1:48" ht="15" customHeight="1" x14ac:dyDescent="0.25">
      <c r="A1922" s="19">
        <v>23748</v>
      </c>
      <c r="B1922" s="20" t="s">
        <v>20</v>
      </c>
      <c r="C1922" s="20" t="s">
        <v>20</v>
      </c>
      <c r="D1922" s="20" t="s">
        <v>3512</v>
      </c>
      <c r="E1922" s="20" t="s">
        <v>3513</v>
      </c>
      <c r="F1922" s="20">
        <v>32.04224</v>
      </c>
      <c r="G1922" s="20">
        <v>44.324570000000001</v>
      </c>
      <c r="H1922" s="22">
        <v>13</v>
      </c>
      <c r="I1922" s="22">
        <v>78</v>
      </c>
      <c r="J1922" s="21"/>
      <c r="K1922" s="21"/>
      <c r="L1922" s="21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>
        <v>13</v>
      </c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21"/>
      <c r="AH1922" s="21">
        <v>13</v>
      </c>
      <c r="AI1922" s="21"/>
      <c r="AJ1922" s="21"/>
      <c r="AK1922" s="21"/>
      <c r="AL1922" s="21"/>
      <c r="AM1922" s="21">
        <v>13</v>
      </c>
      <c r="AN1922" s="21"/>
      <c r="AO1922" s="21"/>
      <c r="AP1922" s="21"/>
      <c r="AQ1922" s="21"/>
      <c r="AR1922" s="21"/>
      <c r="AS1922" s="21"/>
      <c r="AT1922" s="12" t="str">
        <f>HYPERLINK("http://www.openstreetmap.org/?mlat=32.0422&amp;mlon=44.3246&amp;zoom=12#map=12/32.0422/44.3246","Maplink1")</f>
        <v>Maplink1</v>
      </c>
      <c r="AU1922" s="12" t="str">
        <f>HYPERLINK("https://www.google.iq/maps/search/+32.0422,44.3246/@32.0422,44.3246,14z?hl=en","Maplink2")</f>
        <v>Maplink2</v>
      </c>
      <c r="AV1922" s="12" t="str">
        <f>HYPERLINK("http://www.bing.com/maps/?lvl=14&amp;sty=h&amp;cp=32.0422~44.3246&amp;sp=point.32.0422_44.3246","Maplink3")</f>
        <v>Maplink3</v>
      </c>
    </row>
    <row r="1923" spans="1:48" ht="15" customHeight="1" x14ac:dyDescent="0.25">
      <c r="A1923" s="19">
        <v>21574</v>
      </c>
      <c r="B1923" s="20" t="s">
        <v>20</v>
      </c>
      <c r="C1923" s="20" t="s">
        <v>20</v>
      </c>
      <c r="D1923" s="20" t="s">
        <v>3514</v>
      </c>
      <c r="E1923" s="20" t="s">
        <v>3515</v>
      </c>
      <c r="F1923" s="20">
        <v>32.064709999999998</v>
      </c>
      <c r="G1923" s="20">
        <v>44.324770000000001</v>
      </c>
      <c r="H1923" s="22">
        <v>20</v>
      </c>
      <c r="I1923" s="22">
        <v>120</v>
      </c>
      <c r="J1923" s="21"/>
      <c r="K1923" s="21"/>
      <c r="L1923" s="21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>
        <v>20</v>
      </c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21">
        <v>18</v>
      </c>
      <c r="AH1923" s="21">
        <v>2</v>
      </c>
      <c r="AI1923" s="21"/>
      <c r="AJ1923" s="21"/>
      <c r="AK1923" s="21"/>
      <c r="AL1923" s="21"/>
      <c r="AM1923" s="21">
        <v>20</v>
      </c>
      <c r="AN1923" s="21"/>
      <c r="AO1923" s="21"/>
      <c r="AP1923" s="21"/>
      <c r="AQ1923" s="21"/>
      <c r="AR1923" s="21"/>
      <c r="AS1923" s="21"/>
      <c r="AT1923" s="12" t="str">
        <f>HYPERLINK("http://www.openstreetmap.org/?mlat=32.0647&amp;mlon=44.3248&amp;zoom=12#map=12/32.0647/44.3248","Maplink1")</f>
        <v>Maplink1</v>
      </c>
      <c r="AU1923" s="12" t="str">
        <f>HYPERLINK("https://www.google.iq/maps/search/+32.0647,44.3248/@32.0647,44.3248,14z?hl=en","Maplink2")</f>
        <v>Maplink2</v>
      </c>
      <c r="AV1923" s="12" t="str">
        <f>HYPERLINK("http://www.bing.com/maps/?lvl=14&amp;sty=h&amp;cp=32.0647~44.3248&amp;sp=point.32.0647_44.3248","Maplink3")</f>
        <v>Maplink3</v>
      </c>
    </row>
    <row r="1924" spans="1:48" ht="15" customHeight="1" x14ac:dyDescent="0.25">
      <c r="A1924" s="19">
        <v>24429</v>
      </c>
      <c r="B1924" s="20" t="s">
        <v>20</v>
      </c>
      <c r="C1924" s="20" t="s">
        <v>20</v>
      </c>
      <c r="D1924" s="20" t="s">
        <v>3516</v>
      </c>
      <c r="E1924" s="20" t="s">
        <v>3517</v>
      </c>
      <c r="F1924" s="20">
        <v>32.063200000000002</v>
      </c>
      <c r="G1924" s="20">
        <v>44.328189999999999</v>
      </c>
      <c r="H1924" s="22">
        <v>3</v>
      </c>
      <c r="I1924" s="22">
        <v>18</v>
      </c>
      <c r="J1924" s="21"/>
      <c r="K1924" s="21"/>
      <c r="L1924" s="21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>
        <v>3</v>
      </c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21"/>
      <c r="AH1924" s="21">
        <v>3</v>
      </c>
      <c r="AI1924" s="21"/>
      <c r="AJ1924" s="21"/>
      <c r="AK1924" s="21"/>
      <c r="AL1924" s="21"/>
      <c r="AM1924" s="21"/>
      <c r="AN1924" s="21">
        <v>3</v>
      </c>
      <c r="AO1924" s="21"/>
      <c r="AP1924" s="21"/>
      <c r="AQ1924" s="21"/>
      <c r="AR1924" s="21"/>
      <c r="AS1924" s="21"/>
      <c r="AT1924" s="12" t="str">
        <f>HYPERLINK("http://www.openstreetmap.org/?mlat=32.0632&amp;mlon=44.3282&amp;zoom=12#map=12/32.0632/44.3282","Maplink1")</f>
        <v>Maplink1</v>
      </c>
      <c r="AU1924" s="12" t="str">
        <f>HYPERLINK("https://www.google.iq/maps/search/+32.0632,44.3282/@32.0632,44.3282,14z?hl=en","Maplink2")</f>
        <v>Maplink2</v>
      </c>
      <c r="AV1924" s="12" t="str">
        <f>HYPERLINK("http://www.bing.com/maps/?lvl=14&amp;sty=h&amp;cp=32.0632~44.3282&amp;sp=point.32.0632_44.3282","Maplink3")</f>
        <v>Maplink3</v>
      </c>
    </row>
    <row r="1925" spans="1:48" ht="15" customHeight="1" x14ac:dyDescent="0.25">
      <c r="A1925" s="19">
        <v>29658</v>
      </c>
      <c r="B1925" s="20" t="s">
        <v>20</v>
      </c>
      <c r="C1925" s="20" t="s">
        <v>20</v>
      </c>
      <c r="D1925" s="20" t="s">
        <v>3518</v>
      </c>
      <c r="E1925" s="20" t="s">
        <v>3519</v>
      </c>
      <c r="F1925" s="20">
        <v>32.067160000000001</v>
      </c>
      <c r="G1925" s="20">
        <v>44.323239999999998</v>
      </c>
      <c r="H1925" s="22">
        <v>42</v>
      </c>
      <c r="I1925" s="22">
        <v>252</v>
      </c>
      <c r="J1925" s="21"/>
      <c r="K1925" s="21"/>
      <c r="L1925" s="21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>
        <v>42</v>
      </c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21">
        <v>6</v>
      </c>
      <c r="AH1925" s="21">
        <v>36</v>
      </c>
      <c r="AI1925" s="21"/>
      <c r="AJ1925" s="21"/>
      <c r="AK1925" s="21"/>
      <c r="AL1925" s="21"/>
      <c r="AM1925" s="21">
        <v>42</v>
      </c>
      <c r="AN1925" s="21"/>
      <c r="AO1925" s="21"/>
      <c r="AP1925" s="21"/>
      <c r="AQ1925" s="21"/>
      <c r="AR1925" s="21"/>
      <c r="AS1925" s="21"/>
      <c r="AT1925" s="12" t="str">
        <f>HYPERLINK("http://www.openstreetmap.org/?mlat=32.0672&amp;mlon=44.3232&amp;zoom=12#map=12/32.0672/44.3232","Maplink1")</f>
        <v>Maplink1</v>
      </c>
      <c r="AU1925" s="12" t="str">
        <f>HYPERLINK("https://www.google.iq/maps/search/+32.0672,44.3232/@32.0672,44.3232,14z?hl=en","Maplink2")</f>
        <v>Maplink2</v>
      </c>
      <c r="AV1925" s="12" t="str">
        <f>HYPERLINK("http://www.bing.com/maps/?lvl=14&amp;sty=h&amp;cp=32.0672~44.3232&amp;sp=point.32.0672_44.3232","Maplink3")</f>
        <v>Maplink3</v>
      </c>
    </row>
    <row r="1926" spans="1:48" ht="15" customHeight="1" x14ac:dyDescent="0.25">
      <c r="A1926" s="19">
        <v>19976</v>
      </c>
      <c r="B1926" s="20" t="s">
        <v>20</v>
      </c>
      <c r="C1926" s="20" t="s">
        <v>20</v>
      </c>
      <c r="D1926" s="20" t="s">
        <v>3520</v>
      </c>
      <c r="E1926" s="20" t="s">
        <v>3521</v>
      </c>
      <c r="F1926" s="20">
        <v>31.992819999999998</v>
      </c>
      <c r="G1926" s="20">
        <v>44.329703000000002</v>
      </c>
      <c r="H1926" s="22">
        <v>8</v>
      </c>
      <c r="I1926" s="22">
        <v>48</v>
      </c>
      <c r="J1926" s="21"/>
      <c r="K1926" s="21"/>
      <c r="L1926" s="21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>
        <v>8</v>
      </c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21">
        <v>1</v>
      </c>
      <c r="AH1926" s="21">
        <v>7</v>
      </c>
      <c r="AI1926" s="21"/>
      <c r="AJ1926" s="21"/>
      <c r="AK1926" s="21"/>
      <c r="AL1926" s="21"/>
      <c r="AM1926" s="21">
        <v>8</v>
      </c>
      <c r="AN1926" s="21"/>
      <c r="AO1926" s="21"/>
      <c r="AP1926" s="21"/>
      <c r="AQ1926" s="21"/>
      <c r="AR1926" s="21"/>
      <c r="AS1926" s="21"/>
      <c r="AT1926" s="12" t="str">
        <f>HYPERLINK("http://www.openstreetmap.org/?mlat=31.9928&amp;mlon=44.3297&amp;zoom=12#map=12/31.9928/44.3297","Maplink1")</f>
        <v>Maplink1</v>
      </c>
      <c r="AU1926" s="12" t="str">
        <f>HYPERLINK("https://www.google.iq/maps/search/+31.9928,44.3297/@31.9928,44.3297,14z?hl=en","Maplink2")</f>
        <v>Maplink2</v>
      </c>
      <c r="AV1926" s="12" t="str">
        <f>HYPERLINK("http://www.bing.com/maps/?lvl=14&amp;sty=h&amp;cp=31.9928~44.3297&amp;sp=point.31.9928_44.3297","Maplink3")</f>
        <v>Maplink3</v>
      </c>
    </row>
    <row r="1927" spans="1:48" ht="15" customHeight="1" x14ac:dyDescent="0.25">
      <c r="A1927" s="19">
        <v>19968</v>
      </c>
      <c r="B1927" s="20" t="s">
        <v>20</v>
      </c>
      <c r="C1927" s="20" t="s">
        <v>20</v>
      </c>
      <c r="D1927" s="20" t="s">
        <v>3522</v>
      </c>
      <c r="E1927" s="20" t="s">
        <v>3523</v>
      </c>
      <c r="F1927" s="20">
        <v>31.991599999999998</v>
      </c>
      <c r="G1927" s="20">
        <v>44.319360000000003</v>
      </c>
      <c r="H1927" s="22">
        <v>3</v>
      </c>
      <c r="I1927" s="22">
        <v>18</v>
      </c>
      <c r="J1927" s="21"/>
      <c r="K1927" s="21"/>
      <c r="L1927" s="21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>
        <v>3</v>
      </c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21">
        <v>1</v>
      </c>
      <c r="AH1927" s="21">
        <v>2</v>
      </c>
      <c r="AI1927" s="21"/>
      <c r="AJ1927" s="21"/>
      <c r="AK1927" s="21"/>
      <c r="AL1927" s="21"/>
      <c r="AM1927" s="21">
        <v>3</v>
      </c>
      <c r="AN1927" s="21"/>
      <c r="AO1927" s="21"/>
      <c r="AP1927" s="21"/>
      <c r="AQ1927" s="21"/>
      <c r="AR1927" s="21"/>
      <c r="AS1927" s="21"/>
      <c r="AT1927" s="12" t="str">
        <f>HYPERLINK("http://www.openstreetmap.org/?mlat=31.9916&amp;mlon=44.3194&amp;zoom=12#map=12/31.9916/44.3194","Maplink1")</f>
        <v>Maplink1</v>
      </c>
      <c r="AU1927" s="12" t="str">
        <f>HYPERLINK("https://www.google.iq/maps/search/+31.9916,44.3194/@31.9916,44.3194,14z?hl=en","Maplink2")</f>
        <v>Maplink2</v>
      </c>
      <c r="AV1927" s="12" t="str">
        <f>HYPERLINK("http://www.bing.com/maps/?lvl=14&amp;sty=h&amp;cp=31.9916~44.3194&amp;sp=point.31.9916_44.3194","Maplink3")</f>
        <v>Maplink3</v>
      </c>
    </row>
    <row r="1928" spans="1:48" ht="15" customHeight="1" x14ac:dyDescent="0.25">
      <c r="A1928" s="19">
        <v>19965</v>
      </c>
      <c r="B1928" s="20" t="s">
        <v>20</v>
      </c>
      <c r="C1928" s="20" t="s">
        <v>20</v>
      </c>
      <c r="D1928" s="20" t="s">
        <v>3524</v>
      </c>
      <c r="E1928" s="20" t="s">
        <v>3525</v>
      </c>
      <c r="F1928" s="20">
        <v>31.996220000000001</v>
      </c>
      <c r="G1928" s="20">
        <v>44.327005</v>
      </c>
      <c r="H1928" s="22">
        <v>23</v>
      </c>
      <c r="I1928" s="22">
        <v>138</v>
      </c>
      <c r="J1928" s="21"/>
      <c r="K1928" s="21"/>
      <c r="L1928" s="21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>
        <v>23</v>
      </c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21">
        <v>2</v>
      </c>
      <c r="AH1928" s="21">
        <v>21</v>
      </c>
      <c r="AI1928" s="21"/>
      <c r="AJ1928" s="21"/>
      <c r="AK1928" s="21"/>
      <c r="AL1928" s="21"/>
      <c r="AM1928" s="21">
        <v>23</v>
      </c>
      <c r="AN1928" s="21"/>
      <c r="AO1928" s="21"/>
      <c r="AP1928" s="21"/>
      <c r="AQ1928" s="21"/>
      <c r="AR1928" s="21"/>
      <c r="AS1928" s="21"/>
      <c r="AT1928" s="12" t="str">
        <f>HYPERLINK("http://www.openstreetmap.org/?mlat=31.9962&amp;mlon=44.327&amp;zoom=12#map=12/31.9962/44.327","Maplink1")</f>
        <v>Maplink1</v>
      </c>
      <c r="AU1928" s="12" t="str">
        <f>HYPERLINK("https://www.google.iq/maps/search/+31.9962,44.327/@31.9962,44.327,14z?hl=en","Maplink2")</f>
        <v>Maplink2</v>
      </c>
      <c r="AV1928" s="12" t="str">
        <f>HYPERLINK("http://www.bing.com/maps/?lvl=14&amp;sty=h&amp;cp=31.9962~44.327&amp;sp=point.31.9962_44.327","Maplink3")</f>
        <v>Maplink3</v>
      </c>
    </row>
    <row r="1929" spans="1:48" ht="15" customHeight="1" x14ac:dyDescent="0.25">
      <c r="A1929" s="19">
        <v>29622</v>
      </c>
      <c r="B1929" s="20" t="s">
        <v>20</v>
      </c>
      <c r="C1929" s="20" t="s">
        <v>20</v>
      </c>
      <c r="D1929" s="20" t="s">
        <v>3526</v>
      </c>
      <c r="E1929" s="20" t="s">
        <v>3527</v>
      </c>
      <c r="F1929" s="20">
        <v>32.160620000000002</v>
      </c>
      <c r="G1929" s="20">
        <v>44.323419999999999</v>
      </c>
      <c r="H1929" s="22">
        <v>50</v>
      </c>
      <c r="I1929" s="22">
        <v>300</v>
      </c>
      <c r="J1929" s="21"/>
      <c r="K1929" s="21"/>
      <c r="L1929" s="21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>
        <v>50</v>
      </c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21">
        <v>5</v>
      </c>
      <c r="AH1929" s="21">
        <v>45</v>
      </c>
      <c r="AI1929" s="21"/>
      <c r="AJ1929" s="21"/>
      <c r="AK1929" s="21"/>
      <c r="AL1929" s="21"/>
      <c r="AM1929" s="21"/>
      <c r="AN1929" s="21">
        <v>50</v>
      </c>
      <c r="AO1929" s="21"/>
      <c r="AP1929" s="21"/>
      <c r="AQ1929" s="21"/>
      <c r="AR1929" s="21"/>
      <c r="AS1929" s="21"/>
      <c r="AT1929" s="12" t="str">
        <f>HYPERLINK("http://www.openstreetmap.org/?mlat=32.1606&amp;mlon=44.3234&amp;zoom=12#map=12/32.1606/44.3234","Maplink1")</f>
        <v>Maplink1</v>
      </c>
      <c r="AU1929" s="12" t="str">
        <f>HYPERLINK("https://www.google.iq/maps/search/+32.1606,44.3234/@32.1606,44.3234,14z?hl=en","Maplink2")</f>
        <v>Maplink2</v>
      </c>
      <c r="AV1929" s="12" t="str">
        <f>HYPERLINK("http://www.bing.com/maps/?lvl=14&amp;sty=h&amp;cp=32.1606~44.3234&amp;sp=point.32.1606_44.3234","Maplink3")</f>
        <v>Maplink3</v>
      </c>
    </row>
    <row r="1930" spans="1:48" ht="15" customHeight="1" x14ac:dyDescent="0.25">
      <c r="A1930" s="19">
        <v>20062</v>
      </c>
      <c r="B1930" s="20" t="s">
        <v>20</v>
      </c>
      <c r="C1930" s="20" t="s">
        <v>20</v>
      </c>
      <c r="D1930" s="20" t="s">
        <v>3528</v>
      </c>
      <c r="E1930" s="20" t="s">
        <v>3529</v>
      </c>
      <c r="F1930" s="20">
        <v>32.025709999999997</v>
      </c>
      <c r="G1930" s="20">
        <v>44.3142</v>
      </c>
      <c r="H1930" s="22">
        <v>4</v>
      </c>
      <c r="I1930" s="22">
        <v>24</v>
      </c>
      <c r="J1930" s="21"/>
      <c r="K1930" s="21"/>
      <c r="L1930" s="21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>
        <v>4</v>
      </c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21"/>
      <c r="AH1930" s="21">
        <v>4</v>
      </c>
      <c r="AI1930" s="21"/>
      <c r="AJ1930" s="21"/>
      <c r="AK1930" s="21"/>
      <c r="AL1930" s="21"/>
      <c r="AM1930" s="21">
        <v>4</v>
      </c>
      <c r="AN1930" s="21"/>
      <c r="AO1930" s="21"/>
      <c r="AP1930" s="21"/>
      <c r="AQ1930" s="21"/>
      <c r="AR1930" s="21"/>
      <c r="AS1930" s="21"/>
      <c r="AT1930" s="12" t="str">
        <f>HYPERLINK("http://www.openstreetmap.org/?mlat=32.0257&amp;mlon=44.3142&amp;zoom=12#map=12/32.0257/44.3142","Maplink1")</f>
        <v>Maplink1</v>
      </c>
      <c r="AU1930" s="12" t="str">
        <f>HYPERLINK("https://www.google.iq/maps/search/+32.0257,44.3142/@32.0257,44.3142,14z?hl=en","Maplink2")</f>
        <v>Maplink2</v>
      </c>
      <c r="AV1930" s="12" t="str">
        <f>HYPERLINK("http://www.bing.com/maps/?lvl=14&amp;sty=h&amp;cp=32.0257~44.3142&amp;sp=point.32.0257_44.3142","Maplink3")</f>
        <v>Maplink3</v>
      </c>
    </row>
    <row r="1931" spans="1:48" ht="15" customHeight="1" x14ac:dyDescent="0.25">
      <c r="A1931" s="19">
        <v>25431</v>
      </c>
      <c r="B1931" s="20" t="s">
        <v>20</v>
      </c>
      <c r="C1931" s="20" t="s">
        <v>20</v>
      </c>
      <c r="D1931" s="20" t="s">
        <v>3530</v>
      </c>
      <c r="E1931" s="20" t="s">
        <v>277</v>
      </c>
      <c r="F1931" s="20">
        <v>31.890518</v>
      </c>
      <c r="G1931" s="20">
        <v>44.481597999999998</v>
      </c>
      <c r="H1931" s="22">
        <v>50</v>
      </c>
      <c r="I1931" s="22">
        <v>300</v>
      </c>
      <c r="J1931" s="21"/>
      <c r="K1931" s="21"/>
      <c r="L1931" s="21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>
        <v>50</v>
      </c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21"/>
      <c r="AH1931" s="21">
        <v>50</v>
      </c>
      <c r="AI1931" s="21"/>
      <c r="AJ1931" s="21"/>
      <c r="AK1931" s="21"/>
      <c r="AL1931" s="21"/>
      <c r="AM1931" s="21">
        <v>50</v>
      </c>
      <c r="AN1931" s="21"/>
      <c r="AO1931" s="21"/>
      <c r="AP1931" s="21"/>
      <c r="AQ1931" s="21"/>
      <c r="AR1931" s="21"/>
      <c r="AS1931" s="21"/>
      <c r="AT1931" s="12" t="str">
        <f>HYPERLINK("http://www.openstreetmap.org/?mlat=31.8905&amp;mlon=44.4816&amp;zoom=12#map=12/31.8905/44.4816","Maplink1")</f>
        <v>Maplink1</v>
      </c>
      <c r="AU1931" s="12" t="str">
        <f>HYPERLINK("https://www.google.iq/maps/search/+31.8905,44.4816/@31.8905,44.4816,14z?hl=en","Maplink2")</f>
        <v>Maplink2</v>
      </c>
      <c r="AV1931" s="12" t="str">
        <f>HYPERLINK("http://www.bing.com/maps/?lvl=14&amp;sty=h&amp;cp=31.8905~44.4816&amp;sp=point.31.8905_44.4816","Maplink3")</f>
        <v>Maplink3</v>
      </c>
    </row>
    <row r="1932" spans="1:48" ht="15" customHeight="1" x14ac:dyDescent="0.25">
      <c r="A1932" s="19">
        <v>24377</v>
      </c>
      <c r="B1932" s="20" t="s">
        <v>20</v>
      </c>
      <c r="C1932" s="20" t="s">
        <v>20</v>
      </c>
      <c r="D1932" s="20" t="s">
        <v>6030</v>
      </c>
      <c r="E1932" s="20" t="s">
        <v>1359</v>
      </c>
      <c r="F1932" s="20">
        <v>32.001531999999997</v>
      </c>
      <c r="G1932" s="20">
        <v>44.374679999999998</v>
      </c>
      <c r="H1932" s="22">
        <v>40</v>
      </c>
      <c r="I1932" s="22">
        <v>240</v>
      </c>
      <c r="J1932" s="21"/>
      <c r="K1932" s="21"/>
      <c r="L1932" s="21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>
        <v>40</v>
      </c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21"/>
      <c r="AH1932" s="21">
        <v>40</v>
      </c>
      <c r="AI1932" s="21"/>
      <c r="AJ1932" s="21"/>
      <c r="AK1932" s="21"/>
      <c r="AL1932" s="21"/>
      <c r="AM1932" s="21">
        <v>15</v>
      </c>
      <c r="AN1932" s="21"/>
      <c r="AO1932" s="21">
        <v>25</v>
      </c>
      <c r="AP1932" s="21"/>
      <c r="AQ1932" s="21"/>
      <c r="AR1932" s="21"/>
      <c r="AS1932" s="21"/>
      <c r="AT1932" s="12" t="str">
        <f>HYPERLINK("http://www.openstreetmap.org/?mlat=32.0015&amp;mlon=44.3747&amp;zoom=12#map=12/32.0015/44.3747","Maplink1")</f>
        <v>Maplink1</v>
      </c>
      <c r="AU1932" s="12" t="str">
        <f>HYPERLINK("https://www.google.iq/maps/search/+32.0015,44.3747/@32.0015,44.3747,14z?hl=en","Maplink2")</f>
        <v>Maplink2</v>
      </c>
      <c r="AV1932" s="12" t="str">
        <f>HYPERLINK("http://www.bing.com/maps/?lvl=14&amp;sty=h&amp;cp=32.0015~44.3747&amp;sp=point.32.0015_44.3747","Maplink3")</f>
        <v>Maplink3</v>
      </c>
    </row>
    <row r="1933" spans="1:48" ht="15" customHeight="1" x14ac:dyDescent="0.25">
      <c r="A1933" s="19">
        <v>20349</v>
      </c>
      <c r="B1933" s="20" t="s">
        <v>20</v>
      </c>
      <c r="C1933" s="20" t="s">
        <v>20</v>
      </c>
      <c r="D1933" s="20" t="s">
        <v>3531</v>
      </c>
      <c r="E1933" s="20" t="s">
        <v>3532</v>
      </c>
      <c r="F1933" s="20">
        <v>32.022030000000001</v>
      </c>
      <c r="G1933" s="20">
        <v>44.323160000000001</v>
      </c>
      <c r="H1933" s="22">
        <v>27</v>
      </c>
      <c r="I1933" s="22">
        <v>162</v>
      </c>
      <c r="J1933" s="21">
        <v>2</v>
      </c>
      <c r="K1933" s="21"/>
      <c r="L1933" s="21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>
        <v>25</v>
      </c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21"/>
      <c r="AH1933" s="21">
        <v>27</v>
      </c>
      <c r="AI1933" s="21"/>
      <c r="AJ1933" s="21"/>
      <c r="AK1933" s="21"/>
      <c r="AL1933" s="21">
        <v>2</v>
      </c>
      <c r="AM1933" s="21">
        <v>25</v>
      </c>
      <c r="AN1933" s="21"/>
      <c r="AO1933" s="21"/>
      <c r="AP1933" s="21"/>
      <c r="AQ1933" s="21"/>
      <c r="AR1933" s="21"/>
      <c r="AS1933" s="21"/>
      <c r="AT1933" s="12" t="str">
        <f>HYPERLINK("http://www.openstreetmap.org/?mlat=32.022&amp;mlon=44.3232&amp;zoom=12#map=12/32.022/44.3232","Maplink1")</f>
        <v>Maplink1</v>
      </c>
      <c r="AU1933" s="12" t="str">
        <f>HYPERLINK("https://www.google.iq/maps/search/+32.022,44.3232/@32.022,44.3232,14z?hl=en","Maplink2")</f>
        <v>Maplink2</v>
      </c>
      <c r="AV1933" s="12" t="str">
        <f>HYPERLINK("http://www.bing.com/maps/?lvl=14&amp;sty=h&amp;cp=32.022~44.3232&amp;sp=point.32.022_44.3232","Maplink3")</f>
        <v>Maplink3</v>
      </c>
    </row>
    <row r="1934" spans="1:48" ht="15" customHeight="1" x14ac:dyDescent="0.25">
      <c r="A1934" s="19">
        <v>25432</v>
      </c>
      <c r="B1934" s="20" t="s">
        <v>20</v>
      </c>
      <c r="C1934" s="20" t="s">
        <v>20</v>
      </c>
      <c r="D1934" s="20" t="s">
        <v>3533</v>
      </c>
      <c r="E1934" s="20" t="s">
        <v>3068</v>
      </c>
      <c r="F1934" s="20">
        <v>31.914777999999998</v>
      </c>
      <c r="G1934" s="20">
        <v>44.480876000000002</v>
      </c>
      <c r="H1934" s="22">
        <v>10</v>
      </c>
      <c r="I1934" s="22">
        <v>60</v>
      </c>
      <c r="J1934" s="21"/>
      <c r="K1934" s="21"/>
      <c r="L1934" s="21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>
        <v>10</v>
      </c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21"/>
      <c r="AH1934" s="21">
        <v>10</v>
      </c>
      <c r="AI1934" s="21"/>
      <c r="AJ1934" s="21"/>
      <c r="AK1934" s="21"/>
      <c r="AL1934" s="21"/>
      <c r="AM1934" s="21">
        <v>10</v>
      </c>
      <c r="AN1934" s="21"/>
      <c r="AO1934" s="21"/>
      <c r="AP1934" s="21"/>
      <c r="AQ1934" s="21"/>
      <c r="AR1934" s="21"/>
      <c r="AS1934" s="21"/>
      <c r="AT1934" s="12" t="str">
        <f>HYPERLINK("http://www.openstreetmap.org/?mlat=31.9148&amp;mlon=44.4809&amp;zoom=12#map=12/31.9148/44.4809","Maplink1")</f>
        <v>Maplink1</v>
      </c>
      <c r="AU1934" s="12" t="str">
        <f>HYPERLINK("https://www.google.iq/maps/search/+31.9148,44.4809/@31.9148,44.4809,14z?hl=en","Maplink2")</f>
        <v>Maplink2</v>
      </c>
      <c r="AV1934" s="12" t="str">
        <f>HYPERLINK("http://www.bing.com/maps/?lvl=14&amp;sty=h&amp;cp=31.9148~44.4809&amp;sp=point.31.9148_44.4809","Maplink3")</f>
        <v>Maplink3</v>
      </c>
    </row>
    <row r="1935" spans="1:48" ht="15" customHeight="1" x14ac:dyDescent="0.25">
      <c r="A1935" s="19">
        <v>22769</v>
      </c>
      <c r="B1935" s="20" t="s">
        <v>20</v>
      </c>
      <c r="C1935" s="20" t="s">
        <v>20</v>
      </c>
      <c r="D1935" s="20" t="s">
        <v>3534</v>
      </c>
      <c r="E1935" s="20" t="s">
        <v>3535</v>
      </c>
      <c r="F1935" s="20">
        <v>32.062759999999997</v>
      </c>
      <c r="G1935" s="20">
        <v>44.33381</v>
      </c>
      <c r="H1935" s="22">
        <v>13</v>
      </c>
      <c r="I1935" s="22">
        <v>78</v>
      </c>
      <c r="J1935" s="21"/>
      <c r="K1935" s="21"/>
      <c r="L1935" s="21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>
        <v>13</v>
      </c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21"/>
      <c r="AH1935" s="21">
        <v>13</v>
      </c>
      <c r="AI1935" s="21"/>
      <c r="AJ1935" s="21"/>
      <c r="AK1935" s="21"/>
      <c r="AL1935" s="21"/>
      <c r="AM1935" s="21">
        <v>13</v>
      </c>
      <c r="AN1935" s="21"/>
      <c r="AO1935" s="21"/>
      <c r="AP1935" s="21"/>
      <c r="AQ1935" s="21"/>
      <c r="AR1935" s="21"/>
      <c r="AS1935" s="21"/>
      <c r="AT1935" s="12" t="str">
        <f>HYPERLINK("http://www.openstreetmap.org/?mlat=32.0628&amp;mlon=44.3338&amp;zoom=12#map=12/32.0628/44.3338","Maplink1")</f>
        <v>Maplink1</v>
      </c>
      <c r="AU1935" s="12" t="str">
        <f>HYPERLINK("https://www.google.iq/maps/search/+32.0628,44.3338/@32.0628,44.3338,14z?hl=en","Maplink2")</f>
        <v>Maplink2</v>
      </c>
      <c r="AV1935" s="12" t="str">
        <f>HYPERLINK("http://www.bing.com/maps/?lvl=14&amp;sty=h&amp;cp=32.0628~44.3338&amp;sp=point.32.0628_44.3338","Maplink3")</f>
        <v>Maplink3</v>
      </c>
    </row>
    <row r="1936" spans="1:48" ht="15" customHeight="1" x14ac:dyDescent="0.25">
      <c r="A1936" s="19">
        <v>22911</v>
      </c>
      <c r="B1936" s="20" t="s">
        <v>20</v>
      </c>
      <c r="C1936" s="20" t="s">
        <v>20</v>
      </c>
      <c r="D1936" s="20" t="s">
        <v>3536</v>
      </c>
      <c r="E1936" s="20" t="s">
        <v>3537</v>
      </c>
      <c r="F1936" s="20">
        <v>32.061050000000002</v>
      </c>
      <c r="G1936" s="20">
        <v>44.33934</v>
      </c>
      <c r="H1936" s="22">
        <v>15</v>
      </c>
      <c r="I1936" s="22">
        <v>90</v>
      </c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>
        <v>15</v>
      </c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21"/>
      <c r="AH1936" s="21">
        <v>15</v>
      </c>
      <c r="AI1936" s="21"/>
      <c r="AJ1936" s="21"/>
      <c r="AK1936" s="21"/>
      <c r="AL1936" s="21"/>
      <c r="AM1936" s="21"/>
      <c r="AN1936" s="21">
        <v>15</v>
      </c>
      <c r="AO1936" s="21"/>
      <c r="AP1936" s="21"/>
      <c r="AQ1936" s="21"/>
      <c r="AR1936" s="21"/>
      <c r="AS1936" s="21"/>
      <c r="AT1936" s="12" t="str">
        <f>HYPERLINK("http://www.openstreetmap.org/?mlat=32.0611&amp;mlon=44.3393&amp;zoom=12#map=12/32.0611/44.3393","Maplink1")</f>
        <v>Maplink1</v>
      </c>
      <c r="AU1936" s="12" t="str">
        <f>HYPERLINK("https://www.google.iq/maps/search/+32.0611,44.3393/@32.0611,44.3393,14z?hl=en","Maplink2")</f>
        <v>Maplink2</v>
      </c>
      <c r="AV1936" s="12" t="str">
        <f>HYPERLINK("http://www.bing.com/maps/?lvl=14&amp;sty=h&amp;cp=32.0611~44.3393&amp;sp=point.32.0611_44.3393","Maplink3")</f>
        <v>Maplink3</v>
      </c>
    </row>
    <row r="1937" spans="1:48" ht="15" customHeight="1" x14ac:dyDescent="0.25">
      <c r="A1937" s="19">
        <v>24240</v>
      </c>
      <c r="B1937" s="20" t="s">
        <v>20</v>
      </c>
      <c r="C1937" s="20" t="s">
        <v>20</v>
      </c>
      <c r="D1937" s="20" t="s">
        <v>3538</v>
      </c>
      <c r="E1937" s="20" t="s">
        <v>3539</v>
      </c>
      <c r="F1937" s="20">
        <v>32.305399999999999</v>
      </c>
      <c r="G1937" s="20">
        <v>44.274369999999998</v>
      </c>
      <c r="H1937" s="22">
        <v>29</v>
      </c>
      <c r="I1937" s="22">
        <v>174</v>
      </c>
      <c r="J1937" s="21"/>
      <c r="K1937" s="21"/>
      <c r="L1937" s="21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>
        <v>29</v>
      </c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21"/>
      <c r="AH1937" s="21">
        <v>29</v>
      </c>
      <c r="AI1937" s="21"/>
      <c r="AJ1937" s="21"/>
      <c r="AK1937" s="21"/>
      <c r="AL1937" s="21"/>
      <c r="AM1937" s="21">
        <v>29</v>
      </c>
      <c r="AN1937" s="21"/>
      <c r="AO1937" s="21"/>
      <c r="AP1937" s="21"/>
      <c r="AQ1937" s="21"/>
      <c r="AR1937" s="21"/>
      <c r="AS1937" s="21"/>
      <c r="AT1937" s="12" t="str">
        <f>HYPERLINK("http://www.openstreetmap.org/?mlat=32.3054&amp;mlon=44.2744&amp;zoom=12#map=12/32.3054/44.2744","Maplink1")</f>
        <v>Maplink1</v>
      </c>
      <c r="AU1937" s="12" t="str">
        <f>HYPERLINK("https://www.google.iq/maps/search/+32.3054,44.2744/@32.3054,44.2744,14z?hl=en","Maplink2")</f>
        <v>Maplink2</v>
      </c>
      <c r="AV1937" s="12" t="str">
        <f>HYPERLINK("http://www.bing.com/maps/?lvl=14&amp;sty=h&amp;cp=32.3054~44.2744&amp;sp=point.32.3054_44.2744","Maplink3")</f>
        <v>Maplink3</v>
      </c>
    </row>
    <row r="1938" spans="1:48" ht="15" customHeight="1" x14ac:dyDescent="0.25">
      <c r="A1938" s="19">
        <v>20080</v>
      </c>
      <c r="B1938" s="20" t="s">
        <v>20</v>
      </c>
      <c r="C1938" s="20" t="s">
        <v>20</v>
      </c>
      <c r="D1938" s="20" t="s">
        <v>3540</v>
      </c>
      <c r="E1938" s="20" t="s">
        <v>3541</v>
      </c>
      <c r="F1938" s="20">
        <v>32.032229999999998</v>
      </c>
      <c r="G1938" s="20">
        <v>44.328940000000003</v>
      </c>
      <c r="H1938" s="22">
        <v>27</v>
      </c>
      <c r="I1938" s="22">
        <v>162</v>
      </c>
      <c r="J1938" s="21"/>
      <c r="K1938" s="21"/>
      <c r="L1938" s="21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>
        <v>27</v>
      </c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21"/>
      <c r="AH1938" s="21">
        <v>27</v>
      </c>
      <c r="AI1938" s="21"/>
      <c r="AJ1938" s="21"/>
      <c r="AK1938" s="21"/>
      <c r="AL1938" s="21"/>
      <c r="AM1938" s="21"/>
      <c r="AN1938" s="21">
        <v>27</v>
      </c>
      <c r="AO1938" s="21"/>
      <c r="AP1938" s="21"/>
      <c r="AQ1938" s="21"/>
      <c r="AR1938" s="21"/>
      <c r="AS1938" s="21"/>
      <c r="AT1938" s="12" t="str">
        <f>HYPERLINK("http://www.openstreetmap.org/?mlat=32.0322&amp;mlon=44.3289&amp;zoom=12#map=12/32.0322/44.3289","Maplink1")</f>
        <v>Maplink1</v>
      </c>
      <c r="AU1938" s="12" t="str">
        <f>HYPERLINK("https://www.google.iq/maps/search/+32.0322,44.3289/@32.0322,44.3289,14z?hl=en","Maplink2")</f>
        <v>Maplink2</v>
      </c>
      <c r="AV1938" s="12" t="str">
        <f>HYPERLINK("http://www.bing.com/maps/?lvl=14&amp;sty=h&amp;cp=32.0322~44.3289&amp;sp=point.32.0322_44.3289","Maplink3")</f>
        <v>Maplink3</v>
      </c>
    </row>
    <row r="1939" spans="1:48" ht="15" customHeight="1" x14ac:dyDescent="0.25">
      <c r="A1939" s="19">
        <v>24378</v>
      </c>
      <c r="B1939" s="20" t="s">
        <v>20</v>
      </c>
      <c r="C1939" s="20" t="s">
        <v>20</v>
      </c>
      <c r="D1939" s="20" t="s">
        <v>3542</v>
      </c>
      <c r="E1939" s="20" t="s">
        <v>3543</v>
      </c>
      <c r="F1939" s="20">
        <v>31.983342</v>
      </c>
      <c r="G1939" s="20">
        <v>44.333559999999999</v>
      </c>
      <c r="H1939" s="22">
        <v>10</v>
      </c>
      <c r="I1939" s="22">
        <v>60</v>
      </c>
      <c r="J1939" s="21">
        <v>3</v>
      </c>
      <c r="K1939" s="21"/>
      <c r="L1939" s="21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>
        <v>7</v>
      </c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21"/>
      <c r="AH1939" s="21">
        <v>10</v>
      </c>
      <c r="AI1939" s="21"/>
      <c r="AJ1939" s="21"/>
      <c r="AK1939" s="21"/>
      <c r="AL1939" s="21"/>
      <c r="AM1939" s="21">
        <v>7</v>
      </c>
      <c r="AN1939" s="21"/>
      <c r="AO1939" s="21"/>
      <c r="AP1939" s="21">
        <v>3</v>
      </c>
      <c r="AQ1939" s="21"/>
      <c r="AR1939" s="21"/>
      <c r="AS1939" s="21"/>
      <c r="AT1939" s="12" t="str">
        <f>HYPERLINK("http://www.openstreetmap.org/?mlat=31.9833&amp;mlon=44.3336&amp;zoom=12#map=12/31.9833/44.3336","Maplink1")</f>
        <v>Maplink1</v>
      </c>
      <c r="AU1939" s="12" t="str">
        <f>HYPERLINK("https://www.google.iq/maps/search/+31.9833,44.3336/@31.9833,44.3336,14z?hl=en","Maplink2")</f>
        <v>Maplink2</v>
      </c>
      <c r="AV1939" s="12" t="str">
        <f>HYPERLINK("http://www.bing.com/maps/?lvl=14&amp;sty=h&amp;cp=31.9833~44.3336&amp;sp=point.31.9833_44.3336","Maplink3")</f>
        <v>Maplink3</v>
      </c>
    </row>
    <row r="1940" spans="1:48" ht="15" customHeight="1" x14ac:dyDescent="0.25">
      <c r="A1940" s="19">
        <v>29618</v>
      </c>
      <c r="B1940" s="20" t="s">
        <v>20</v>
      </c>
      <c r="C1940" s="20" t="s">
        <v>20</v>
      </c>
      <c r="D1940" s="20" t="s">
        <v>3544</v>
      </c>
      <c r="E1940" s="20" t="s">
        <v>3545</v>
      </c>
      <c r="F1940" s="20">
        <v>32.217700000000001</v>
      </c>
      <c r="G1940" s="20">
        <v>44.298850000000002</v>
      </c>
      <c r="H1940" s="22">
        <v>52</v>
      </c>
      <c r="I1940" s="22">
        <v>312</v>
      </c>
      <c r="J1940" s="21"/>
      <c r="K1940" s="21"/>
      <c r="L1940" s="21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>
        <v>52</v>
      </c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21"/>
      <c r="AH1940" s="21">
        <v>52</v>
      </c>
      <c r="AI1940" s="21"/>
      <c r="AJ1940" s="21"/>
      <c r="AK1940" s="21"/>
      <c r="AL1940" s="21"/>
      <c r="AM1940" s="21">
        <v>52</v>
      </c>
      <c r="AN1940" s="21"/>
      <c r="AO1940" s="21"/>
      <c r="AP1940" s="21"/>
      <c r="AQ1940" s="21"/>
      <c r="AR1940" s="21"/>
      <c r="AS1940" s="21"/>
      <c r="AT1940" s="12" t="str">
        <f>HYPERLINK("http://www.openstreetmap.org/?mlat=32.2177&amp;mlon=44.2989&amp;zoom=12#map=12/32.2177/44.2989","Maplink1")</f>
        <v>Maplink1</v>
      </c>
      <c r="AU1940" s="12" t="str">
        <f>HYPERLINK("https://www.google.iq/maps/search/+32.2177,44.2989/@32.2177,44.2989,14z?hl=en","Maplink2")</f>
        <v>Maplink2</v>
      </c>
      <c r="AV1940" s="12" t="str">
        <f>HYPERLINK("http://www.bing.com/maps/?lvl=14&amp;sty=h&amp;cp=32.2177~44.2989&amp;sp=point.32.2177_44.2989","Maplink3")</f>
        <v>Maplink3</v>
      </c>
    </row>
    <row r="1941" spans="1:48" ht="15" customHeight="1" x14ac:dyDescent="0.25">
      <c r="A1941" s="19">
        <v>19637</v>
      </c>
      <c r="B1941" s="20" t="s">
        <v>20</v>
      </c>
      <c r="C1941" s="20" t="s">
        <v>20</v>
      </c>
      <c r="D1941" s="20" t="s">
        <v>3546</v>
      </c>
      <c r="E1941" s="20" t="s">
        <v>3547</v>
      </c>
      <c r="F1941" s="20">
        <v>32.317819999999998</v>
      </c>
      <c r="G1941" s="20">
        <v>44.27073</v>
      </c>
      <c r="H1941" s="22">
        <v>78</v>
      </c>
      <c r="I1941" s="22">
        <v>468</v>
      </c>
      <c r="J1941" s="21"/>
      <c r="K1941" s="21"/>
      <c r="L1941" s="21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>
        <v>78</v>
      </c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21"/>
      <c r="AH1941" s="21">
        <v>78</v>
      </c>
      <c r="AI1941" s="21"/>
      <c r="AJ1941" s="21"/>
      <c r="AK1941" s="21"/>
      <c r="AL1941" s="21"/>
      <c r="AM1941" s="21">
        <v>78</v>
      </c>
      <c r="AN1941" s="21"/>
      <c r="AO1941" s="21"/>
      <c r="AP1941" s="21"/>
      <c r="AQ1941" s="21"/>
      <c r="AR1941" s="21"/>
      <c r="AS1941" s="21"/>
      <c r="AT1941" s="12" t="str">
        <f>HYPERLINK("http://www.openstreetmap.org/?mlat=32.3178&amp;mlon=44.2707&amp;zoom=12#map=12/32.3178/44.2707","Maplink1")</f>
        <v>Maplink1</v>
      </c>
      <c r="AU1941" s="12" t="str">
        <f>HYPERLINK("https://www.google.iq/maps/search/+32.3178,44.2707/@32.3178,44.2707,14z?hl=en","Maplink2")</f>
        <v>Maplink2</v>
      </c>
      <c r="AV1941" s="12" t="str">
        <f>HYPERLINK("http://www.bing.com/maps/?lvl=14&amp;sty=h&amp;cp=32.3178~44.2707&amp;sp=point.32.3178_44.2707","Maplink3")</f>
        <v>Maplink3</v>
      </c>
    </row>
    <row r="1942" spans="1:48" ht="15" customHeight="1" x14ac:dyDescent="0.25">
      <c r="A1942" s="19">
        <v>29621</v>
      </c>
      <c r="B1942" s="20" t="s">
        <v>20</v>
      </c>
      <c r="C1942" s="20" t="s">
        <v>20</v>
      </c>
      <c r="D1942" s="20" t="s">
        <v>3548</v>
      </c>
      <c r="E1942" s="20" t="s">
        <v>3549</v>
      </c>
      <c r="F1942" s="20">
        <v>32.106529999999999</v>
      </c>
      <c r="G1942" s="20">
        <v>44.331249999999997</v>
      </c>
      <c r="H1942" s="22">
        <v>160</v>
      </c>
      <c r="I1942" s="22">
        <v>960</v>
      </c>
      <c r="J1942" s="21"/>
      <c r="K1942" s="21"/>
      <c r="L1942" s="21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>
        <v>160</v>
      </c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21">
        <v>3</v>
      </c>
      <c r="AH1942" s="21">
        <v>157</v>
      </c>
      <c r="AI1942" s="21"/>
      <c r="AJ1942" s="21"/>
      <c r="AK1942" s="21"/>
      <c r="AL1942" s="21"/>
      <c r="AM1942" s="21">
        <v>160</v>
      </c>
      <c r="AN1942" s="21"/>
      <c r="AO1942" s="21"/>
      <c r="AP1942" s="21"/>
      <c r="AQ1942" s="21"/>
      <c r="AR1942" s="21"/>
      <c r="AS1942" s="21"/>
      <c r="AT1942" s="12" t="str">
        <f>HYPERLINK("http://www.openstreetmap.org/?mlat=32.1065&amp;mlon=44.3312&amp;zoom=12#map=12/32.1065/44.3312","Maplink1")</f>
        <v>Maplink1</v>
      </c>
      <c r="AU1942" s="12" t="str">
        <f>HYPERLINK("https://www.google.iq/maps/search/+32.1065,44.3312/@32.1065,44.3312,14z?hl=en","Maplink2")</f>
        <v>Maplink2</v>
      </c>
      <c r="AV1942" s="12" t="str">
        <f>HYPERLINK("http://www.bing.com/maps/?lvl=14&amp;sty=h&amp;cp=32.1065~44.3312&amp;sp=point.32.1065_44.3312","Maplink3")</f>
        <v>Maplink3</v>
      </c>
    </row>
    <row r="1943" spans="1:48" ht="15" customHeight="1" x14ac:dyDescent="0.25">
      <c r="A1943" s="19">
        <v>25643</v>
      </c>
      <c r="B1943" s="20" t="s">
        <v>20</v>
      </c>
      <c r="C1943" s="20" t="s">
        <v>20</v>
      </c>
      <c r="D1943" s="20" t="s">
        <v>3550</v>
      </c>
      <c r="E1943" s="20" t="s">
        <v>3551</v>
      </c>
      <c r="F1943" s="20">
        <v>31.978721</v>
      </c>
      <c r="G1943" s="20">
        <v>44.331994000000002</v>
      </c>
      <c r="H1943" s="22">
        <v>5</v>
      </c>
      <c r="I1943" s="22">
        <v>30</v>
      </c>
      <c r="J1943" s="21"/>
      <c r="K1943" s="21"/>
      <c r="L1943" s="21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>
        <v>5</v>
      </c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21"/>
      <c r="AH1943" s="21">
        <v>5</v>
      </c>
      <c r="AI1943" s="21"/>
      <c r="AJ1943" s="21"/>
      <c r="AK1943" s="21"/>
      <c r="AL1943" s="21"/>
      <c r="AM1943" s="21">
        <v>5</v>
      </c>
      <c r="AN1943" s="21"/>
      <c r="AO1943" s="21"/>
      <c r="AP1943" s="21"/>
      <c r="AQ1943" s="21"/>
      <c r="AR1943" s="21"/>
      <c r="AS1943" s="21"/>
      <c r="AT1943" s="12" t="str">
        <f>HYPERLINK("http://www.openstreetmap.org/?mlat=31.9787&amp;mlon=44.332&amp;zoom=12#map=12/31.9787/44.332","Maplink1")</f>
        <v>Maplink1</v>
      </c>
      <c r="AU1943" s="12" t="str">
        <f>HYPERLINK("https://www.google.iq/maps/search/+31.9787,44.332/@31.9787,44.332,14z?hl=en","Maplink2")</f>
        <v>Maplink2</v>
      </c>
      <c r="AV1943" s="12" t="str">
        <f>HYPERLINK("http://www.bing.com/maps/?lvl=14&amp;sty=h&amp;cp=31.9787~44.332&amp;sp=point.31.9787_44.332","Maplink3")</f>
        <v>Maplink3</v>
      </c>
    </row>
    <row r="1944" spans="1:48" ht="15" customHeight="1" x14ac:dyDescent="0.25">
      <c r="A1944" s="19">
        <v>20282</v>
      </c>
      <c r="B1944" s="20" t="s">
        <v>20</v>
      </c>
      <c r="C1944" s="20" t="s">
        <v>20</v>
      </c>
      <c r="D1944" s="20" t="s">
        <v>3552</v>
      </c>
      <c r="E1944" s="20" t="s">
        <v>3553</v>
      </c>
      <c r="F1944" s="20">
        <v>31.988849999999999</v>
      </c>
      <c r="G1944" s="20">
        <v>44.313389999999998</v>
      </c>
      <c r="H1944" s="22">
        <v>32</v>
      </c>
      <c r="I1944" s="22">
        <v>192</v>
      </c>
      <c r="J1944" s="21"/>
      <c r="K1944" s="21"/>
      <c r="L1944" s="21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>
        <v>32</v>
      </c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21"/>
      <c r="AH1944" s="21">
        <v>32</v>
      </c>
      <c r="AI1944" s="21"/>
      <c r="AJ1944" s="21"/>
      <c r="AK1944" s="21"/>
      <c r="AL1944" s="21"/>
      <c r="AM1944" s="21">
        <v>32</v>
      </c>
      <c r="AN1944" s="21"/>
      <c r="AO1944" s="21"/>
      <c r="AP1944" s="21"/>
      <c r="AQ1944" s="21"/>
      <c r="AR1944" s="21"/>
      <c r="AS1944" s="21"/>
      <c r="AT1944" s="12" t="str">
        <f>HYPERLINK("http://www.openstreetmap.org/?mlat=31.9888&amp;mlon=44.3134&amp;zoom=12#map=12/31.9888/44.3134","Maplink1")</f>
        <v>Maplink1</v>
      </c>
      <c r="AU1944" s="12" t="str">
        <f>HYPERLINK("https://www.google.iq/maps/search/+31.9888,44.3134/@31.9888,44.3134,14z?hl=en","Maplink2")</f>
        <v>Maplink2</v>
      </c>
      <c r="AV1944" s="12" t="str">
        <f>HYPERLINK("http://www.bing.com/maps/?lvl=14&amp;sty=h&amp;cp=31.9888~44.3134&amp;sp=point.31.9888_44.3134","Maplink3")</f>
        <v>Maplink3</v>
      </c>
    </row>
    <row r="1945" spans="1:48" ht="15" customHeight="1" x14ac:dyDescent="0.25">
      <c r="A1945" s="19">
        <v>17734</v>
      </c>
      <c r="B1945" s="20" t="s">
        <v>21</v>
      </c>
      <c r="C1945" s="20" t="s">
        <v>3554</v>
      </c>
      <c r="D1945" s="20" t="s">
        <v>3554</v>
      </c>
      <c r="E1945" s="20" t="s">
        <v>3555</v>
      </c>
      <c r="F1945" s="20">
        <v>36.734655740000001</v>
      </c>
      <c r="G1945" s="20">
        <v>43.879899539999997</v>
      </c>
      <c r="H1945" s="22">
        <v>1656</v>
      </c>
      <c r="I1945" s="22">
        <v>9936</v>
      </c>
      <c r="J1945" s="21"/>
      <c r="K1945" s="21"/>
      <c r="L1945" s="21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>
        <v>1656</v>
      </c>
      <c r="W1945" s="21"/>
      <c r="X1945" s="21"/>
      <c r="Y1945" s="21"/>
      <c r="Z1945" s="21"/>
      <c r="AA1945" s="21"/>
      <c r="AB1945" s="21"/>
      <c r="AC1945" s="21">
        <v>25</v>
      </c>
      <c r="AD1945" s="21"/>
      <c r="AE1945" s="21"/>
      <c r="AF1945" s="21"/>
      <c r="AG1945" s="21"/>
      <c r="AH1945" s="21">
        <v>1536</v>
      </c>
      <c r="AI1945" s="21"/>
      <c r="AJ1945" s="21">
        <v>95</v>
      </c>
      <c r="AK1945" s="21"/>
      <c r="AL1945" s="21"/>
      <c r="AM1945" s="21">
        <v>1099</v>
      </c>
      <c r="AN1945" s="21">
        <v>557</v>
      </c>
      <c r="AO1945" s="21"/>
      <c r="AP1945" s="21"/>
      <c r="AQ1945" s="21"/>
      <c r="AR1945" s="21"/>
      <c r="AS1945" s="21"/>
      <c r="AT1945" s="12" t="str">
        <f>HYPERLINK("http://www.openstreetmap.org/?mlat=36.7347&amp;mlon=43.8799&amp;zoom=12#map=12/36.7347/43.8799","Maplink1")</f>
        <v>Maplink1</v>
      </c>
      <c r="AU1945" s="12" t="str">
        <f>HYPERLINK("https://www.google.iq/maps/search/+36.7347,43.8799/@36.7347,43.8799,14z?hl=en","Maplink2")</f>
        <v>Maplink2</v>
      </c>
      <c r="AV1945" s="12" t="str">
        <f>HYPERLINK("http://www.bing.com/maps/?lvl=14&amp;sty=h&amp;cp=36.7347~43.8799&amp;sp=point.36.7347_43.8799","Maplink3")</f>
        <v>Maplink3</v>
      </c>
    </row>
    <row r="1946" spans="1:48" ht="15" customHeight="1" x14ac:dyDescent="0.25">
      <c r="A1946" s="19">
        <v>17295</v>
      </c>
      <c r="B1946" s="20" t="s">
        <v>21</v>
      </c>
      <c r="C1946" s="20" t="s">
        <v>3554</v>
      </c>
      <c r="D1946" s="20" t="s">
        <v>3556</v>
      </c>
      <c r="E1946" s="20" t="s">
        <v>3557</v>
      </c>
      <c r="F1946" s="20">
        <v>36.538249139999998</v>
      </c>
      <c r="G1946" s="20">
        <v>43.603939179999998</v>
      </c>
      <c r="H1946" s="22">
        <v>18</v>
      </c>
      <c r="I1946" s="22">
        <v>108</v>
      </c>
      <c r="J1946" s="21"/>
      <c r="K1946" s="21"/>
      <c r="L1946" s="21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>
        <v>18</v>
      </c>
      <c r="W1946" s="21"/>
      <c r="X1946" s="21"/>
      <c r="Y1946" s="21"/>
      <c r="Z1946" s="21"/>
      <c r="AA1946" s="21"/>
      <c r="AB1946" s="21"/>
      <c r="AC1946" s="21">
        <v>2</v>
      </c>
      <c r="AD1946" s="21"/>
      <c r="AE1946" s="21"/>
      <c r="AF1946" s="21"/>
      <c r="AG1946" s="21"/>
      <c r="AH1946" s="21">
        <v>14</v>
      </c>
      <c r="AI1946" s="21"/>
      <c r="AJ1946" s="21">
        <v>2</v>
      </c>
      <c r="AK1946" s="21"/>
      <c r="AL1946" s="21"/>
      <c r="AM1946" s="21"/>
      <c r="AN1946" s="21">
        <v>18</v>
      </c>
      <c r="AO1946" s="21"/>
      <c r="AP1946" s="21"/>
      <c r="AQ1946" s="21"/>
      <c r="AR1946" s="21"/>
      <c r="AS1946" s="21"/>
      <c r="AT1946" s="12" t="str">
        <f>HYPERLINK("http://www.openstreetmap.org/?mlat=36.5382&amp;mlon=43.6039&amp;zoom=12#map=12/36.5382/43.6039","Maplink1")</f>
        <v>Maplink1</v>
      </c>
      <c r="AU1946" s="12" t="str">
        <f>HYPERLINK("https://www.google.iq/maps/search/+36.5382,43.6039/@36.5382,43.6039,14z?hl=en","Maplink2")</f>
        <v>Maplink2</v>
      </c>
      <c r="AV1946" s="12" t="str">
        <f>HYPERLINK("http://www.bing.com/maps/?lvl=14&amp;sty=h&amp;cp=36.5382~43.6039&amp;sp=point.36.5382_43.6039","Maplink3")</f>
        <v>Maplink3</v>
      </c>
    </row>
    <row r="1947" spans="1:48" ht="15" customHeight="1" x14ac:dyDescent="0.25">
      <c r="A1947" s="19">
        <v>8789</v>
      </c>
      <c r="B1947" s="20" t="s">
        <v>21</v>
      </c>
      <c r="C1947" s="20" t="s">
        <v>3554</v>
      </c>
      <c r="D1947" s="20" t="s">
        <v>3558</v>
      </c>
      <c r="E1947" s="20" t="s">
        <v>3559</v>
      </c>
      <c r="F1947" s="20">
        <v>36.53508549</v>
      </c>
      <c r="G1947" s="20">
        <v>43.598406939999997</v>
      </c>
      <c r="H1947" s="22">
        <v>32</v>
      </c>
      <c r="I1947" s="22">
        <v>192</v>
      </c>
      <c r="J1947" s="21"/>
      <c r="K1947" s="21"/>
      <c r="L1947" s="21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>
        <v>32</v>
      </c>
      <c r="W1947" s="21"/>
      <c r="X1947" s="21"/>
      <c r="Y1947" s="21"/>
      <c r="Z1947" s="21"/>
      <c r="AA1947" s="21"/>
      <c r="AB1947" s="21"/>
      <c r="AC1947" s="21">
        <v>13</v>
      </c>
      <c r="AD1947" s="21"/>
      <c r="AE1947" s="21"/>
      <c r="AF1947" s="21"/>
      <c r="AG1947" s="21"/>
      <c r="AH1947" s="21">
        <v>19</v>
      </c>
      <c r="AI1947" s="21"/>
      <c r="AJ1947" s="21"/>
      <c r="AK1947" s="21"/>
      <c r="AL1947" s="21"/>
      <c r="AM1947" s="21">
        <v>12</v>
      </c>
      <c r="AN1947" s="21">
        <v>20</v>
      </c>
      <c r="AO1947" s="21"/>
      <c r="AP1947" s="21"/>
      <c r="AQ1947" s="21"/>
      <c r="AR1947" s="21"/>
      <c r="AS1947" s="21"/>
      <c r="AT1947" s="12" t="str">
        <f>HYPERLINK("http://www.openstreetmap.org/?mlat=36.5351&amp;mlon=43.5984&amp;zoom=12#map=12/36.5351/43.5984","Maplink1")</f>
        <v>Maplink1</v>
      </c>
      <c r="AU1947" s="12" t="str">
        <f>HYPERLINK("https://www.google.iq/maps/search/+36.5351,43.5984/@36.5351,43.5984,14z?hl=en","Maplink2")</f>
        <v>Maplink2</v>
      </c>
      <c r="AV1947" s="12" t="str">
        <f>HYPERLINK("http://www.bing.com/maps/?lvl=14&amp;sty=h&amp;cp=36.5351~43.5984&amp;sp=point.36.5351_43.5984","Maplink3")</f>
        <v>Maplink3</v>
      </c>
    </row>
    <row r="1948" spans="1:48" ht="15" customHeight="1" x14ac:dyDescent="0.25">
      <c r="A1948" s="19">
        <v>18256</v>
      </c>
      <c r="B1948" s="20" t="s">
        <v>21</v>
      </c>
      <c r="C1948" s="20" t="s">
        <v>3554</v>
      </c>
      <c r="D1948" s="20" t="s">
        <v>3560</v>
      </c>
      <c r="E1948" s="20" t="s">
        <v>3561</v>
      </c>
      <c r="F1948" s="20">
        <v>36.709183770000003</v>
      </c>
      <c r="G1948" s="20">
        <v>43.972362160000003</v>
      </c>
      <c r="H1948" s="22">
        <v>55</v>
      </c>
      <c r="I1948" s="22">
        <v>330</v>
      </c>
      <c r="J1948" s="21"/>
      <c r="K1948" s="21"/>
      <c r="L1948" s="21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>
        <v>55</v>
      </c>
      <c r="W1948" s="21"/>
      <c r="X1948" s="21"/>
      <c r="Y1948" s="21"/>
      <c r="Z1948" s="21"/>
      <c r="AA1948" s="21"/>
      <c r="AB1948" s="21"/>
      <c r="AC1948" s="21">
        <v>10</v>
      </c>
      <c r="AD1948" s="21"/>
      <c r="AE1948" s="21"/>
      <c r="AF1948" s="21"/>
      <c r="AG1948" s="21"/>
      <c r="AH1948" s="21">
        <v>45</v>
      </c>
      <c r="AI1948" s="21"/>
      <c r="AJ1948" s="21"/>
      <c r="AK1948" s="21"/>
      <c r="AL1948" s="21"/>
      <c r="AM1948" s="21">
        <v>24</v>
      </c>
      <c r="AN1948" s="21">
        <v>31</v>
      </c>
      <c r="AO1948" s="21"/>
      <c r="AP1948" s="21"/>
      <c r="AQ1948" s="21"/>
      <c r="AR1948" s="21"/>
      <c r="AS1948" s="21"/>
      <c r="AT1948" s="12" t="str">
        <f>HYPERLINK("http://www.openstreetmap.org/?mlat=36.7092&amp;mlon=43.9724&amp;zoom=12#map=12/36.7092/43.9724","Maplink1")</f>
        <v>Maplink1</v>
      </c>
      <c r="AU1948" s="12" t="str">
        <f>HYPERLINK("https://www.google.iq/maps/search/+36.7092,43.9724/@36.7092,43.9724,14z?hl=en","Maplink2")</f>
        <v>Maplink2</v>
      </c>
      <c r="AV1948" s="12" t="str">
        <f>HYPERLINK("http://www.bing.com/maps/?lvl=14&amp;sty=h&amp;cp=36.7092~43.9724&amp;sp=point.36.7092_43.9724","Maplink3")</f>
        <v>Maplink3</v>
      </c>
    </row>
    <row r="1949" spans="1:48" ht="15" customHeight="1" x14ac:dyDescent="0.25">
      <c r="A1949" s="19">
        <v>8783</v>
      </c>
      <c r="B1949" s="20" t="s">
        <v>21</v>
      </c>
      <c r="C1949" s="20" t="s">
        <v>3554</v>
      </c>
      <c r="D1949" s="20" t="s">
        <v>3562</v>
      </c>
      <c r="E1949" s="20" t="s">
        <v>3563</v>
      </c>
      <c r="F1949" s="20">
        <v>36.504791339999997</v>
      </c>
      <c r="G1949" s="20">
        <v>43.595163470000003</v>
      </c>
      <c r="H1949" s="22">
        <v>1532</v>
      </c>
      <c r="I1949" s="22">
        <v>9192</v>
      </c>
      <c r="J1949" s="21"/>
      <c r="K1949" s="21"/>
      <c r="L1949" s="21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>
        <v>1532</v>
      </c>
      <c r="W1949" s="21"/>
      <c r="X1949" s="21"/>
      <c r="Y1949" s="21"/>
      <c r="Z1949" s="21"/>
      <c r="AA1949" s="21"/>
      <c r="AB1949" s="21"/>
      <c r="AC1949" s="21">
        <v>60</v>
      </c>
      <c r="AD1949" s="21"/>
      <c r="AE1949" s="21"/>
      <c r="AF1949" s="21"/>
      <c r="AG1949" s="21"/>
      <c r="AH1949" s="21">
        <v>1472</v>
      </c>
      <c r="AI1949" s="21"/>
      <c r="AJ1949" s="21"/>
      <c r="AK1949" s="21"/>
      <c r="AL1949" s="21"/>
      <c r="AM1949" s="21">
        <v>688</v>
      </c>
      <c r="AN1949" s="21">
        <v>799</v>
      </c>
      <c r="AO1949" s="21"/>
      <c r="AP1949" s="21"/>
      <c r="AQ1949" s="21"/>
      <c r="AR1949" s="21"/>
      <c r="AS1949" s="21">
        <v>45</v>
      </c>
      <c r="AT1949" s="12" t="str">
        <f>HYPERLINK("http://www.openstreetmap.org/?mlat=36.5048&amp;mlon=43.5952&amp;zoom=12#map=12/36.5048/43.5952","Maplink1")</f>
        <v>Maplink1</v>
      </c>
      <c r="AU1949" s="12" t="str">
        <f>HYPERLINK("https://www.google.iq/maps/search/+36.5048,43.5952/@36.5048,43.5952,14z?hl=en","Maplink2")</f>
        <v>Maplink2</v>
      </c>
      <c r="AV1949" s="12" t="str">
        <f>HYPERLINK("http://www.bing.com/maps/?lvl=14&amp;sty=h&amp;cp=36.5048~43.5952&amp;sp=point.36.5048_43.5952","Maplink3")</f>
        <v>Maplink3</v>
      </c>
    </row>
    <row r="1950" spans="1:48" ht="15" customHeight="1" x14ac:dyDescent="0.25">
      <c r="A1950" s="19">
        <v>29571</v>
      </c>
      <c r="B1950" s="20" t="s">
        <v>21</v>
      </c>
      <c r="C1950" s="20" t="s">
        <v>3554</v>
      </c>
      <c r="D1950" s="20" t="s">
        <v>3564</v>
      </c>
      <c r="E1950" s="20" t="s">
        <v>3565</v>
      </c>
      <c r="F1950" s="20">
        <v>36.503762889999997</v>
      </c>
      <c r="G1950" s="20">
        <v>43.569793220000001</v>
      </c>
      <c r="H1950" s="22">
        <v>43</v>
      </c>
      <c r="I1950" s="22">
        <v>258</v>
      </c>
      <c r="J1950" s="21"/>
      <c r="K1950" s="21"/>
      <c r="L1950" s="21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>
        <v>43</v>
      </c>
      <c r="W1950" s="21"/>
      <c r="X1950" s="21"/>
      <c r="Y1950" s="21"/>
      <c r="Z1950" s="21"/>
      <c r="AA1950" s="21"/>
      <c r="AB1950" s="21"/>
      <c r="AC1950" s="21">
        <v>9</v>
      </c>
      <c r="AD1950" s="21"/>
      <c r="AE1950" s="21"/>
      <c r="AF1950" s="21"/>
      <c r="AG1950" s="21"/>
      <c r="AH1950" s="21">
        <v>34</v>
      </c>
      <c r="AI1950" s="21"/>
      <c r="AJ1950" s="21"/>
      <c r="AK1950" s="21"/>
      <c r="AL1950" s="21"/>
      <c r="AM1950" s="21">
        <v>24</v>
      </c>
      <c r="AN1950" s="21">
        <v>19</v>
      </c>
      <c r="AO1950" s="21"/>
      <c r="AP1950" s="21"/>
      <c r="AQ1950" s="21"/>
      <c r="AR1950" s="21"/>
      <c r="AS1950" s="21"/>
      <c r="AT1950" s="12" t="str">
        <f>HYPERLINK("http://www.openstreetmap.org/?mlat=36.5038&amp;mlon=43.5698&amp;zoom=12#map=12/36.5038/43.5698","Maplink1")</f>
        <v>Maplink1</v>
      </c>
      <c r="AU1950" s="12" t="str">
        <f>HYPERLINK("https://www.google.iq/maps/search/+36.5038,43.5698/@36.5038,43.5698,14z?hl=en","Maplink2")</f>
        <v>Maplink2</v>
      </c>
      <c r="AV1950" s="12" t="str">
        <f>HYPERLINK("http://www.bing.com/maps/?lvl=14&amp;sty=h&amp;cp=36.5038~43.5698&amp;sp=point.36.5038_43.5698","Maplink3")</f>
        <v>Maplink3</v>
      </c>
    </row>
    <row r="1951" spans="1:48" ht="15" customHeight="1" x14ac:dyDescent="0.25">
      <c r="A1951" s="19">
        <v>8777</v>
      </c>
      <c r="B1951" s="20" t="s">
        <v>21</v>
      </c>
      <c r="C1951" s="20" t="s">
        <v>3554</v>
      </c>
      <c r="D1951" s="20" t="s">
        <v>3566</v>
      </c>
      <c r="E1951" s="20" t="s">
        <v>3567</v>
      </c>
      <c r="F1951" s="20">
        <v>36.484439999999999</v>
      </c>
      <c r="G1951" s="20">
        <v>43.690455999999998</v>
      </c>
      <c r="H1951" s="22">
        <v>2</v>
      </c>
      <c r="I1951" s="22">
        <v>12</v>
      </c>
      <c r="J1951" s="21"/>
      <c r="K1951" s="21"/>
      <c r="L1951" s="21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>
        <v>2</v>
      </c>
      <c r="W1951" s="21"/>
      <c r="X1951" s="21"/>
      <c r="Y1951" s="21"/>
      <c r="Z1951" s="21"/>
      <c r="AA1951" s="21"/>
      <c r="AB1951" s="21"/>
      <c r="AC1951" s="21">
        <v>2</v>
      </c>
      <c r="AD1951" s="21"/>
      <c r="AE1951" s="21"/>
      <c r="AF1951" s="21"/>
      <c r="AG1951" s="21"/>
      <c r="AH1951" s="21"/>
      <c r="AI1951" s="21"/>
      <c r="AJ1951" s="21"/>
      <c r="AK1951" s="21"/>
      <c r="AL1951" s="21"/>
      <c r="AM1951" s="21">
        <v>2</v>
      </c>
      <c r="AN1951" s="21"/>
      <c r="AO1951" s="21"/>
      <c r="AP1951" s="21"/>
      <c r="AQ1951" s="21"/>
      <c r="AR1951" s="21"/>
      <c r="AS1951" s="21"/>
      <c r="AT1951" s="12" t="str">
        <f>HYPERLINK("http://www.openstreetmap.org/?mlat=36.4844&amp;mlon=43.6905&amp;zoom=12#map=12/36.4844/43.6905","Maplink1")</f>
        <v>Maplink1</v>
      </c>
      <c r="AU1951" s="12" t="str">
        <f>HYPERLINK("https://www.google.iq/maps/search/+36.4844,43.6905/@36.4844,43.6905,14z?hl=en","Maplink2")</f>
        <v>Maplink2</v>
      </c>
      <c r="AV1951" s="12" t="str">
        <f>HYPERLINK("http://www.bing.com/maps/?lvl=14&amp;sty=h&amp;cp=36.4844~43.6905&amp;sp=point.36.4844_43.6905","Maplink3")</f>
        <v>Maplink3</v>
      </c>
    </row>
    <row r="1952" spans="1:48" ht="15" customHeight="1" x14ac:dyDescent="0.25">
      <c r="A1952" s="19">
        <v>17323</v>
      </c>
      <c r="B1952" s="20" t="s">
        <v>21</v>
      </c>
      <c r="C1952" s="20" t="s">
        <v>3554</v>
      </c>
      <c r="D1952" s="20" t="s">
        <v>3568</v>
      </c>
      <c r="E1952" s="20" t="s">
        <v>3569</v>
      </c>
      <c r="F1952" s="20">
        <v>36.563502999999997</v>
      </c>
      <c r="G1952" s="20">
        <v>43.759306000000002</v>
      </c>
      <c r="H1952" s="22">
        <v>1</v>
      </c>
      <c r="I1952" s="22">
        <v>6</v>
      </c>
      <c r="J1952" s="21"/>
      <c r="K1952" s="21"/>
      <c r="L1952" s="21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>
        <v>1</v>
      </c>
      <c r="W1952" s="21"/>
      <c r="X1952" s="21"/>
      <c r="Y1952" s="21"/>
      <c r="Z1952" s="21"/>
      <c r="AA1952" s="21"/>
      <c r="AB1952" s="21"/>
      <c r="AC1952" s="21">
        <v>1</v>
      </c>
      <c r="AD1952" s="21"/>
      <c r="AE1952" s="21"/>
      <c r="AF1952" s="21"/>
      <c r="AG1952" s="21"/>
      <c r="AH1952" s="21"/>
      <c r="AI1952" s="21"/>
      <c r="AJ1952" s="21"/>
      <c r="AK1952" s="21"/>
      <c r="AL1952" s="21"/>
      <c r="AM1952" s="21"/>
      <c r="AN1952" s="21">
        <v>1</v>
      </c>
      <c r="AO1952" s="21"/>
      <c r="AP1952" s="21"/>
      <c r="AQ1952" s="21"/>
      <c r="AR1952" s="21"/>
      <c r="AS1952" s="21"/>
      <c r="AT1952" s="12" t="str">
        <f>HYPERLINK("http://www.openstreetmap.org/?mlat=36.5635&amp;mlon=43.7593&amp;zoom=12#map=12/36.5635/43.7593","Maplink1")</f>
        <v>Maplink1</v>
      </c>
      <c r="AU1952" s="12" t="str">
        <f>HYPERLINK("https://www.google.iq/maps/search/+36.5635,43.7593/@36.5635,43.7593,14z?hl=en","Maplink2")</f>
        <v>Maplink2</v>
      </c>
      <c r="AV1952" s="12" t="str">
        <f>HYPERLINK("http://www.bing.com/maps/?lvl=14&amp;sty=h&amp;cp=36.5635~43.7593&amp;sp=point.36.5635_43.7593","Maplink3")</f>
        <v>Maplink3</v>
      </c>
    </row>
    <row r="1953" spans="1:48" ht="15" customHeight="1" x14ac:dyDescent="0.25">
      <c r="A1953" s="19">
        <v>25816</v>
      </c>
      <c r="B1953" s="20" t="s">
        <v>21</v>
      </c>
      <c r="C1953" s="20" t="s">
        <v>3554</v>
      </c>
      <c r="D1953" s="20" t="s">
        <v>3570</v>
      </c>
      <c r="E1953" s="20" t="s">
        <v>3571</v>
      </c>
      <c r="F1953" s="20">
        <v>36.310074460000003</v>
      </c>
      <c r="G1953" s="20">
        <v>43.67410941</v>
      </c>
      <c r="H1953" s="22">
        <v>36</v>
      </c>
      <c r="I1953" s="22">
        <v>216</v>
      </c>
      <c r="J1953" s="21"/>
      <c r="K1953" s="21"/>
      <c r="L1953" s="21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>
        <v>36</v>
      </c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21"/>
      <c r="AH1953" s="21">
        <v>36</v>
      </c>
      <c r="AI1953" s="21"/>
      <c r="AJ1953" s="21"/>
      <c r="AK1953" s="21"/>
      <c r="AL1953" s="21"/>
      <c r="AM1953" s="21">
        <v>26</v>
      </c>
      <c r="AN1953" s="21">
        <v>10</v>
      </c>
      <c r="AO1953" s="21"/>
      <c r="AP1953" s="21"/>
      <c r="AQ1953" s="21"/>
      <c r="AR1953" s="21"/>
      <c r="AS1953" s="21"/>
      <c r="AT1953" s="12" t="str">
        <f>HYPERLINK("http://www.openstreetmap.org/?mlat=36.3101&amp;mlon=43.6741&amp;zoom=12#map=12/36.3101/43.6741","Maplink1")</f>
        <v>Maplink1</v>
      </c>
      <c r="AU1953" s="12" t="str">
        <f>HYPERLINK("https://www.google.iq/maps/search/+36.3101,43.6741/@36.3101,43.6741,14z?hl=en","Maplink2")</f>
        <v>Maplink2</v>
      </c>
      <c r="AV1953" s="12" t="str">
        <f>HYPERLINK("http://www.bing.com/maps/?lvl=14&amp;sty=h&amp;cp=36.3101~43.6741&amp;sp=point.36.3101_43.6741","Maplink3")</f>
        <v>Maplink3</v>
      </c>
    </row>
    <row r="1954" spans="1:48" ht="15" customHeight="1" x14ac:dyDescent="0.25">
      <c r="A1954" s="19">
        <v>17776</v>
      </c>
      <c r="B1954" s="20" t="s">
        <v>21</v>
      </c>
      <c r="C1954" s="20" t="s">
        <v>3554</v>
      </c>
      <c r="D1954" s="20" t="s">
        <v>3572</v>
      </c>
      <c r="E1954" s="20" t="s">
        <v>3573</v>
      </c>
      <c r="F1954" s="20">
        <v>36.727083952199997</v>
      </c>
      <c r="G1954" s="20">
        <v>44.015905549899998</v>
      </c>
      <c r="H1954" s="22">
        <v>27</v>
      </c>
      <c r="I1954" s="22">
        <v>162</v>
      </c>
      <c r="J1954" s="21"/>
      <c r="K1954" s="21"/>
      <c r="L1954" s="21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>
        <v>27</v>
      </c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21"/>
      <c r="AH1954" s="21">
        <v>15</v>
      </c>
      <c r="AI1954" s="21"/>
      <c r="AJ1954" s="21">
        <v>12</v>
      </c>
      <c r="AK1954" s="21"/>
      <c r="AL1954" s="21"/>
      <c r="AM1954" s="21">
        <v>19</v>
      </c>
      <c r="AN1954" s="21">
        <v>8</v>
      </c>
      <c r="AO1954" s="21"/>
      <c r="AP1954" s="21"/>
      <c r="AQ1954" s="21"/>
      <c r="AR1954" s="21"/>
      <c r="AS1954" s="21"/>
      <c r="AT1954" s="12" t="str">
        <f>HYPERLINK("http://www.openstreetmap.org/?mlat=36.7271&amp;mlon=44.0159&amp;zoom=12#map=12/36.7271/44.0159","Maplink1")</f>
        <v>Maplink1</v>
      </c>
      <c r="AU1954" s="12" t="str">
        <f>HYPERLINK("https://www.google.iq/maps/search/+36.7271,44.0159/@36.7271,44.0159,14z?hl=en","Maplink2")</f>
        <v>Maplink2</v>
      </c>
      <c r="AV1954" s="12" t="str">
        <f>HYPERLINK("http://www.bing.com/maps/?lvl=14&amp;sty=h&amp;cp=36.7271~44.0159&amp;sp=point.36.7271_44.0159","Maplink3")</f>
        <v>Maplink3</v>
      </c>
    </row>
    <row r="1955" spans="1:48" ht="15" customHeight="1" x14ac:dyDescent="0.25">
      <c r="A1955" s="19">
        <v>8776</v>
      </c>
      <c r="B1955" s="20" t="s">
        <v>21</v>
      </c>
      <c r="C1955" s="20" t="s">
        <v>3554</v>
      </c>
      <c r="D1955" s="20" t="s">
        <v>3574</v>
      </c>
      <c r="E1955" s="20" t="s">
        <v>3575</v>
      </c>
      <c r="F1955" s="20">
        <v>36.479212089999997</v>
      </c>
      <c r="G1955" s="20">
        <v>43.72744462</v>
      </c>
      <c r="H1955" s="22">
        <v>108</v>
      </c>
      <c r="I1955" s="22">
        <v>648</v>
      </c>
      <c r="J1955" s="21"/>
      <c r="K1955" s="21"/>
      <c r="L1955" s="21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>
        <v>108</v>
      </c>
      <c r="W1955" s="21"/>
      <c r="X1955" s="21"/>
      <c r="Y1955" s="21"/>
      <c r="Z1955" s="21"/>
      <c r="AA1955" s="21"/>
      <c r="AB1955" s="21"/>
      <c r="AC1955" s="21">
        <v>26</v>
      </c>
      <c r="AD1955" s="21"/>
      <c r="AE1955" s="21"/>
      <c r="AF1955" s="21"/>
      <c r="AG1955" s="21"/>
      <c r="AH1955" s="21">
        <v>2</v>
      </c>
      <c r="AI1955" s="21"/>
      <c r="AJ1955" s="21">
        <v>80</v>
      </c>
      <c r="AK1955" s="21"/>
      <c r="AL1955" s="21"/>
      <c r="AM1955" s="21">
        <v>78</v>
      </c>
      <c r="AN1955" s="21">
        <v>30</v>
      </c>
      <c r="AO1955" s="21"/>
      <c r="AP1955" s="21"/>
      <c r="AQ1955" s="21"/>
      <c r="AR1955" s="21"/>
      <c r="AS1955" s="21"/>
      <c r="AT1955" s="12" t="str">
        <f>HYPERLINK("http://www.openstreetmap.org/?mlat=36.4792&amp;mlon=43.7274&amp;zoom=12#map=12/36.4792/43.7274","Maplink1")</f>
        <v>Maplink1</v>
      </c>
      <c r="AU1955" s="12" t="str">
        <f>HYPERLINK("https://www.google.iq/maps/search/+36.4792,43.7274/@36.4792,43.7274,14z?hl=en","Maplink2")</f>
        <v>Maplink2</v>
      </c>
      <c r="AV1955" s="12" t="str">
        <f>HYPERLINK("http://www.bing.com/maps/?lvl=14&amp;sty=h&amp;cp=36.4792~43.7274&amp;sp=point.36.4792_43.7274","Maplink3")</f>
        <v>Maplink3</v>
      </c>
    </row>
    <row r="1956" spans="1:48" ht="15" customHeight="1" x14ac:dyDescent="0.25">
      <c r="A1956" s="19">
        <v>16953</v>
      </c>
      <c r="B1956" s="20" t="s">
        <v>21</v>
      </c>
      <c r="C1956" s="20" t="s">
        <v>3554</v>
      </c>
      <c r="D1956" s="20" t="s">
        <v>3576</v>
      </c>
      <c r="E1956" s="20" t="s">
        <v>3577</v>
      </c>
      <c r="F1956" s="20">
        <v>36.79346975</v>
      </c>
      <c r="G1956" s="20">
        <v>43.984210150000003</v>
      </c>
      <c r="H1956" s="22">
        <v>66</v>
      </c>
      <c r="I1956" s="22">
        <v>396</v>
      </c>
      <c r="J1956" s="21"/>
      <c r="K1956" s="21"/>
      <c r="L1956" s="21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>
        <v>66</v>
      </c>
      <c r="W1956" s="21"/>
      <c r="X1956" s="21"/>
      <c r="Y1956" s="21"/>
      <c r="Z1956" s="21"/>
      <c r="AA1956" s="21"/>
      <c r="AB1956" s="21"/>
      <c r="AC1956" s="21">
        <v>6</v>
      </c>
      <c r="AD1956" s="21"/>
      <c r="AE1956" s="21"/>
      <c r="AF1956" s="21"/>
      <c r="AG1956" s="21"/>
      <c r="AH1956" s="21">
        <v>52</v>
      </c>
      <c r="AI1956" s="21"/>
      <c r="AJ1956" s="21">
        <v>8</v>
      </c>
      <c r="AK1956" s="21"/>
      <c r="AL1956" s="21"/>
      <c r="AM1956" s="21">
        <v>41</v>
      </c>
      <c r="AN1956" s="21">
        <v>25</v>
      </c>
      <c r="AO1956" s="21"/>
      <c r="AP1956" s="21"/>
      <c r="AQ1956" s="21"/>
      <c r="AR1956" s="21"/>
      <c r="AS1956" s="21"/>
      <c r="AT1956" s="12" t="str">
        <f>HYPERLINK("http://www.openstreetmap.org/?mlat=36.7935&amp;mlon=43.9842&amp;zoom=12#map=12/36.7935/43.9842","Maplink1")</f>
        <v>Maplink1</v>
      </c>
      <c r="AU1956" s="12" t="str">
        <f>HYPERLINK("https://www.google.iq/maps/search/+36.7935,43.9842/@36.7935,43.9842,14z?hl=en","Maplink2")</f>
        <v>Maplink2</v>
      </c>
      <c r="AV1956" s="12" t="str">
        <f>HYPERLINK("http://www.bing.com/maps/?lvl=14&amp;sty=h&amp;cp=36.7935~43.9842&amp;sp=point.36.7935_43.9842","Maplink3")</f>
        <v>Maplink3</v>
      </c>
    </row>
    <row r="1957" spans="1:48" ht="15" customHeight="1" x14ac:dyDescent="0.25">
      <c r="A1957" s="19">
        <v>18223</v>
      </c>
      <c r="B1957" s="20" t="s">
        <v>21</v>
      </c>
      <c r="C1957" s="20" t="s">
        <v>3554</v>
      </c>
      <c r="D1957" s="20" t="s">
        <v>3578</v>
      </c>
      <c r="E1957" s="20" t="s">
        <v>3579</v>
      </c>
      <c r="F1957" s="20">
        <v>36.351689999999998</v>
      </c>
      <c r="G1957" s="20">
        <v>43.650590000000001</v>
      </c>
      <c r="H1957" s="22">
        <v>2</v>
      </c>
      <c r="I1957" s="22">
        <v>12</v>
      </c>
      <c r="J1957" s="21"/>
      <c r="K1957" s="21"/>
      <c r="L1957" s="21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>
        <v>2</v>
      </c>
      <c r="W1957" s="21"/>
      <c r="X1957" s="21"/>
      <c r="Y1957" s="21"/>
      <c r="Z1957" s="21"/>
      <c r="AA1957" s="21"/>
      <c r="AB1957" s="21"/>
      <c r="AC1957" s="21">
        <v>2</v>
      </c>
      <c r="AD1957" s="21"/>
      <c r="AE1957" s="21"/>
      <c r="AF1957" s="21"/>
      <c r="AG1957" s="21"/>
      <c r="AH1957" s="21"/>
      <c r="AI1957" s="21"/>
      <c r="AJ1957" s="21"/>
      <c r="AK1957" s="21"/>
      <c r="AL1957" s="21"/>
      <c r="AM1957" s="21">
        <v>2</v>
      </c>
      <c r="AN1957" s="21"/>
      <c r="AO1957" s="21"/>
      <c r="AP1957" s="21"/>
      <c r="AQ1957" s="21"/>
      <c r="AR1957" s="21"/>
      <c r="AS1957" s="21"/>
      <c r="AT1957" s="12" t="str">
        <f>HYPERLINK("http://www.openstreetmap.org/?mlat=36.3517&amp;mlon=43.6506&amp;zoom=12#map=12/36.3517/43.6506","Maplink1")</f>
        <v>Maplink1</v>
      </c>
      <c r="AU1957" s="12" t="str">
        <f>HYPERLINK("https://www.google.iq/maps/search/+36.3517,43.6506/@36.3517,43.6506,14z?hl=en","Maplink2")</f>
        <v>Maplink2</v>
      </c>
      <c r="AV1957" s="12" t="str">
        <f>HYPERLINK("http://www.bing.com/maps/?lvl=14&amp;sty=h&amp;cp=36.3517~43.6506&amp;sp=point.36.3517_43.6506","Maplink3")</f>
        <v>Maplink3</v>
      </c>
    </row>
    <row r="1958" spans="1:48" ht="15" customHeight="1" x14ac:dyDescent="0.25">
      <c r="A1958" s="19">
        <v>29625</v>
      </c>
      <c r="B1958" s="20" t="s">
        <v>21</v>
      </c>
      <c r="C1958" s="20" t="s">
        <v>3554</v>
      </c>
      <c r="D1958" s="20" t="s">
        <v>3580</v>
      </c>
      <c r="E1958" s="20" t="s">
        <v>3581</v>
      </c>
      <c r="F1958" s="20">
        <v>36.291882999999999</v>
      </c>
      <c r="G1958" s="20">
        <v>43.648128</v>
      </c>
      <c r="H1958" s="22">
        <v>15</v>
      </c>
      <c r="I1958" s="22">
        <v>90</v>
      </c>
      <c r="J1958" s="21"/>
      <c r="K1958" s="21"/>
      <c r="L1958" s="21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>
        <v>15</v>
      </c>
      <c r="W1958" s="21"/>
      <c r="X1958" s="21"/>
      <c r="Y1958" s="21"/>
      <c r="Z1958" s="21"/>
      <c r="AA1958" s="21"/>
      <c r="AB1958" s="21"/>
      <c r="AC1958" s="21">
        <v>12</v>
      </c>
      <c r="AD1958" s="21"/>
      <c r="AE1958" s="21"/>
      <c r="AF1958" s="21"/>
      <c r="AG1958" s="21"/>
      <c r="AH1958" s="21">
        <v>3</v>
      </c>
      <c r="AI1958" s="21"/>
      <c r="AJ1958" s="21"/>
      <c r="AK1958" s="21"/>
      <c r="AL1958" s="21"/>
      <c r="AM1958" s="21"/>
      <c r="AN1958" s="21">
        <v>15</v>
      </c>
      <c r="AO1958" s="21"/>
      <c r="AP1958" s="21"/>
      <c r="AQ1958" s="21"/>
      <c r="AR1958" s="21"/>
      <c r="AS1958" s="21"/>
      <c r="AT1958" s="12" t="str">
        <f>HYPERLINK("http://www.openstreetmap.org/?mlat=36.2919&amp;mlon=43.6481&amp;zoom=12#map=12/36.2919/43.6481","Maplink1")</f>
        <v>Maplink1</v>
      </c>
      <c r="AU1958" s="12" t="str">
        <f>HYPERLINK("https://www.google.iq/maps/search/+36.2919,43.6481/@36.2919,43.6481,14z?hl=en","Maplink2")</f>
        <v>Maplink2</v>
      </c>
      <c r="AV1958" s="12" t="str">
        <f>HYPERLINK("http://www.bing.com/maps/?lvl=14&amp;sty=h&amp;cp=36.2919~43.6481&amp;sp=point.36.2919_43.6481","Maplink3")</f>
        <v>Maplink3</v>
      </c>
    </row>
    <row r="1959" spans="1:48" ht="15" customHeight="1" x14ac:dyDescent="0.25">
      <c r="A1959" s="19">
        <v>17802</v>
      </c>
      <c r="B1959" s="20" t="s">
        <v>21</v>
      </c>
      <c r="C1959" s="20" t="s">
        <v>3554</v>
      </c>
      <c r="D1959" s="20" t="s">
        <v>3582</v>
      </c>
      <c r="E1959" s="20" t="s">
        <v>3583</v>
      </c>
      <c r="F1959" s="20">
        <v>36.65335082</v>
      </c>
      <c r="G1959" s="20">
        <v>43.806226469999999</v>
      </c>
      <c r="H1959" s="22">
        <v>294</v>
      </c>
      <c r="I1959" s="22">
        <v>1764</v>
      </c>
      <c r="J1959" s="21"/>
      <c r="K1959" s="21"/>
      <c r="L1959" s="21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>
        <v>294</v>
      </c>
      <c r="W1959" s="21"/>
      <c r="X1959" s="21"/>
      <c r="Y1959" s="21"/>
      <c r="Z1959" s="21"/>
      <c r="AA1959" s="21"/>
      <c r="AB1959" s="21"/>
      <c r="AC1959" s="21">
        <v>113</v>
      </c>
      <c r="AD1959" s="21"/>
      <c r="AE1959" s="21"/>
      <c r="AF1959" s="21"/>
      <c r="AG1959" s="21"/>
      <c r="AH1959" s="21">
        <v>151</v>
      </c>
      <c r="AI1959" s="21"/>
      <c r="AJ1959" s="21">
        <v>30</v>
      </c>
      <c r="AK1959" s="21"/>
      <c r="AL1959" s="21"/>
      <c r="AM1959" s="21">
        <v>194</v>
      </c>
      <c r="AN1959" s="21">
        <v>100</v>
      </c>
      <c r="AO1959" s="21"/>
      <c r="AP1959" s="21"/>
      <c r="AQ1959" s="21"/>
      <c r="AR1959" s="21"/>
      <c r="AS1959" s="21"/>
      <c r="AT1959" s="12" t="str">
        <f>HYPERLINK("http://www.openstreetmap.org/?mlat=36.6534&amp;mlon=43.8062&amp;zoom=12#map=12/36.6534/43.8062","Maplink1")</f>
        <v>Maplink1</v>
      </c>
      <c r="AU1959" s="12" t="str">
        <f>HYPERLINK("https://www.google.iq/maps/search/+36.6534,43.8062/@36.6534,43.8062,14z?hl=en","Maplink2")</f>
        <v>Maplink2</v>
      </c>
      <c r="AV1959" s="12" t="str">
        <f>HYPERLINK("http://www.bing.com/maps/?lvl=14&amp;sty=h&amp;cp=36.6534~43.8062&amp;sp=point.36.6534_43.8062","Maplink3")</f>
        <v>Maplink3</v>
      </c>
    </row>
    <row r="1960" spans="1:48" ht="15" customHeight="1" x14ac:dyDescent="0.25">
      <c r="A1960" s="19">
        <v>29626</v>
      </c>
      <c r="B1960" s="20" t="s">
        <v>21</v>
      </c>
      <c r="C1960" s="20" t="s">
        <v>3554</v>
      </c>
      <c r="D1960" s="20" t="s">
        <v>3584</v>
      </c>
      <c r="E1960" s="20" t="s">
        <v>3585</v>
      </c>
      <c r="F1960" s="20">
        <v>36.638933000000002</v>
      </c>
      <c r="G1960" s="20">
        <v>43.578271999999998</v>
      </c>
      <c r="H1960" s="22">
        <v>14</v>
      </c>
      <c r="I1960" s="22">
        <v>84</v>
      </c>
      <c r="J1960" s="21"/>
      <c r="K1960" s="21"/>
      <c r="L1960" s="21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>
        <v>14</v>
      </c>
      <c r="W1960" s="21"/>
      <c r="X1960" s="21"/>
      <c r="Y1960" s="21"/>
      <c r="Z1960" s="21"/>
      <c r="AA1960" s="21"/>
      <c r="AB1960" s="21"/>
      <c r="AC1960" s="21">
        <v>7</v>
      </c>
      <c r="AD1960" s="21"/>
      <c r="AE1960" s="21"/>
      <c r="AF1960" s="21"/>
      <c r="AG1960" s="21"/>
      <c r="AH1960" s="21">
        <v>7</v>
      </c>
      <c r="AI1960" s="21"/>
      <c r="AJ1960" s="21"/>
      <c r="AK1960" s="21"/>
      <c r="AL1960" s="21"/>
      <c r="AM1960" s="21">
        <v>4</v>
      </c>
      <c r="AN1960" s="21">
        <v>10</v>
      </c>
      <c r="AO1960" s="21"/>
      <c r="AP1960" s="21"/>
      <c r="AQ1960" s="21"/>
      <c r="AR1960" s="21"/>
      <c r="AS1960" s="21"/>
      <c r="AT1960" s="12" t="str">
        <f>HYPERLINK("http://www.openstreetmap.org/?mlat=36.6389&amp;mlon=43.5783&amp;zoom=12#map=12/36.6389/43.5783","Maplink1")</f>
        <v>Maplink1</v>
      </c>
      <c r="AU1960" s="12" t="str">
        <f>HYPERLINK("https://www.google.iq/maps/search/+36.6389,43.5783/@36.6389,43.5783,14z?hl=en","Maplink2")</f>
        <v>Maplink2</v>
      </c>
      <c r="AV1960" s="12" t="str">
        <f>HYPERLINK("http://www.bing.com/maps/?lvl=14&amp;sty=h&amp;cp=36.6389~43.5783&amp;sp=point.36.6389_43.5783","Maplink3")</f>
        <v>Maplink3</v>
      </c>
    </row>
    <row r="1961" spans="1:48" ht="15" customHeight="1" x14ac:dyDescent="0.25">
      <c r="A1961" s="19">
        <v>17096</v>
      </c>
      <c r="B1961" s="20" t="s">
        <v>21</v>
      </c>
      <c r="C1961" s="20" t="s">
        <v>3554</v>
      </c>
      <c r="D1961" s="20" t="s">
        <v>3586</v>
      </c>
      <c r="E1961" s="20" t="s">
        <v>3587</v>
      </c>
      <c r="F1961" s="20">
        <v>36.561731000000002</v>
      </c>
      <c r="G1961" s="20">
        <v>43.565050999999997</v>
      </c>
      <c r="H1961" s="22">
        <v>13</v>
      </c>
      <c r="I1961" s="22">
        <v>78</v>
      </c>
      <c r="J1961" s="21"/>
      <c r="K1961" s="21"/>
      <c r="L1961" s="21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>
        <v>13</v>
      </c>
      <c r="W1961" s="21"/>
      <c r="X1961" s="21"/>
      <c r="Y1961" s="21"/>
      <c r="Z1961" s="21"/>
      <c r="AA1961" s="21"/>
      <c r="AB1961" s="21"/>
      <c r="AC1961" s="21">
        <v>9</v>
      </c>
      <c r="AD1961" s="21"/>
      <c r="AE1961" s="21"/>
      <c r="AF1961" s="21"/>
      <c r="AG1961" s="21"/>
      <c r="AH1961" s="21">
        <v>4</v>
      </c>
      <c r="AI1961" s="21"/>
      <c r="AJ1961" s="21"/>
      <c r="AK1961" s="21"/>
      <c r="AL1961" s="21"/>
      <c r="AM1961" s="21">
        <v>3</v>
      </c>
      <c r="AN1961" s="21">
        <v>10</v>
      </c>
      <c r="AO1961" s="21"/>
      <c r="AP1961" s="21"/>
      <c r="AQ1961" s="21"/>
      <c r="AR1961" s="21"/>
      <c r="AS1961" s="21"/>
      <c r="AT1961" s="12" t="str">
        <f>HYPERLINK("http://www.openstreetmap.org/?mlat=36.5617&amp;mlon=43.5651&amp;zoom=12#map=12/36.5617/43.5651","Maplink1")</f>
        <v>Maplink1</v>
      </c>
      <c r="AU1961" s="12" t="str">
        <f>HYPERLINK("https://www.google.iq/maps/search/+36.5617,43.5651/@36.5617,43.5651,14z?hl=en","Maplink2")</f>
        <v>Maplink2</v>
      </c>
      <c r="AV1961" s="12" t="str">
        <f>HYPERLINK("http://www.bing.com/maps/?lvl=14&amp;sty=h&amp;cp=36.5617~43.5651&amp;sp=point.36.5617_43.5651","Maplink3")</f>
        <v>Maplink3</v>
      </c>
    </row>
    <row r="1962" spans="1:48" ht="15" customHeight="1" x14ac:dyDescent="0.25">
      <c r="A1962" s="19">
        <v>24581</v>
      </c>
      <c r="B1962" s="20" t="s">
        <v>21</v>
      </c>
      <c r="C1962" s="20" t="s">
        <v>3554</v>
      </c>
      <c r="D1962" s="20" t="s">
        <v>3588</v>
      </c>
      <c r="E1962" s="20" t="s">
        <v>3589</v>
      </c>
      <c r="F1962" s="20">
        <v>36.27098204</v>
      </c>
      <c r="G1962" s="20">
        <v>43.635870609999998</v>
      </c>
      <c r="H1962" s="22">
        <v>630</v>
      </c>
      <c r="I1962" s="22">
        <v>3780</v>
      </c>
      <c r="J1962" s="21"/>
      <c r="K1962" s="21"/>
      <c r="L1962" s="21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>
        <v>630</v>
      </c>
      <c r="W1962" s="21"/>
      <c r="X1962" s="21"/>
      <c r="Y1962" s="21"/>
      <c r="Z1962" s="21"/>
      <c r="AA1962" s="21"/>
      <c r="AB1962" s="21"/>
      <c r="AC1962" s="21">
        <v>69</v>
      </c>
      <c r="AD1962" s="21"/>
      <c r="AE1962" s="21"/>
      <c r="AF1962" s="21"/>
      <c r="AG1962" s="21"/>
      <c r="AH1962" s="21">
        <v>543</v>
      </c>
      <c r="AI1962" s="21"/>
      <c r="AJ1962" s="21">
        <v>18</v>
      </c>
      <c r="AK1962" s="21"/>
      <c r="AL1962" s="21"/>
      <c r="AM1962" s="21">
        <v>290</v>
      </c>
      <c r="AN1962" s="21">
        <v>338</v>
      </c>
      <c r="AO1962" s="21"/>
      <c r="AP1962" s="21"/>
      <c r="AQ1962" s="21"/>
      <c r="AR1962" s="21"/>
      <c r="AS1962" s="21">
        <v>2</v>
      </c>
      <c r="AT1962" s="12" t="str">
        <f>HYPERLINK("http://www.openstreetmap.org/?mlat=36.271&amp;mlon=43.6359&amp;zoom=12#map=12/36.271/43.6359","Maplink1")</f>
        <v>Maplink1</v>
      </c>
      <c r="AU1962" s="12" t="str">
        <f>HYPERLINK("https://www.google.iq/maps/search/+36.271,43.6359/@36.271,43.6359,14z?hl=en","Maplink2")</f>
        <v>Maplink2</v>
      </c>
      <c r="AV1962" s="12" t="str">
        <f>HYPERLINK("http://www.bing.com/maps/?lvl=14&amp;sty=h&amp;cp=36.271~43.6359&amp;sp=point.36.271_43.6359","Maplink3")</f>
        <v>Maplink3</v>
      </c>
    </row>
    <row r="1963" spans="1:48" ht="15" customHeight="1" x14ac:dyDescent="0.25">
      <c r="A1963" s="19">
        <v>17142</v>
      </c>
      <c r="B1963" s="20" t="s">
        <v>21</v>
      </c>
      <c r="C1963" s="20" t="s">
        <v>3554</v>
      </c>
      <c r="D1963" s="20" t="s">
        <v>3590</v>
      </c>
      <c r="E1963" s="20" t="s">
        <v>3591</v>
      </c>
      <c r="F1963" s="20">
        <v>36.492045609999998</v>
      </c>
      <c r="G1963" s="20">
        <v>43.526605969999999</v>
      </c>
      <c r="H1963" s="22">
        <v>25</v>
      </c>
      <c r="I1963" s="22">
        <v>150</v>
      </c>
      <c r="J1963" s="21"/>
      <c r="K1963" s="21"/>
      <c r="L1963" s="21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>
        <v>25</v>
      </c>
      <c r="W1963" s="21"/>
      <c r="X1963" s="21"/>
      <c r="Y1963" s="21"/>
      <c r="Z1963" s="21"/>
      <c r="AA1963" s="21"/>
      <c r="AB1963" s="21"/>
      <c r="AC1963" s="21">
        <v>5</v>
      </c>
      <c r="AD1963" s="21"/>
      <c r="AE1963" s="21"/>
      <c r="AF1963" s="21"/>
      <c r="AG1963" s="21"/>
      <c r="AH1963" s="21">
        <v>19</v>
      </c>
      <c r="AI1963" s="21"/>
      <c r="AJ1963" s="21">
        <v>1</v>
      </c>
      <c r="AK1963" s="21"/>
      <c r="AL1963" s="21"/>
      <c r="AM1963" s="21">
        <v>12</v>
      </c>
      <c r="AN1963" s="21">
        <v>13</v>
      </c>
      <c r="AO1963" s="21"/>
      <c r="AP1963" s="21"/>
      <c r="AQ1963" s="21"/>
      <c r="AR1963" s="21"/>
      <c r="AS1963" s="21"/>
      <c r="AT1963" s="12" t="str">
        <f>HYPERLINK("http://www.openstreetmap.org/?mlat=36.492&amp;mlon=43.5266&amp;zoom=12#map=12/36.492/43.5266","Maplink1")</f>
        <v>Maplink1</v>
      </c>
      <c r="AU1963" s="12" t="str">
        <f>HYPERLINK("https://www.google.iq/maps/search/+36.492,43.5266/@36.492,43.5266,14z?hl=en","Maplink2")</f>
        <v>Maplink2</v>
      </c>
      <c r="AV1963" s="12" t="str">
        <f>HYPERLINK("http://www.bing.com/maps/?lvl=14&amp;sty=h&amp;cp=36.492~43.5266&amp;sp=point.36.492_43.5266","Maplink3")</f>
        <v>Maplink3</v>
      </c>
    </row>
    <row r="1964" spans="1:48" ht="15" customHeight="1" x14ac:dyDescent="0.25">
      <c r="A1964" s="19">
        <v>29605</v>
      </c>
      <c r="B1964" s="20" t="s">
        <v>21</v>
      </c>
      <c r="C1964" s="20" t="s">
        <v>3554</v>
      </c>
      <c r="D1964" s="20" t="s">
        <v>3592</v>
      </c>
      <c r="E1964" s="20" t="s">
        <v>3593</v>
      </c>
      <c r="F1964" s="20">
        <v>36.493789999999997</v>
      </c>
      <c r="G1964" s="20">
        <v>43.643487999999998</v>
      </c>
      <c r="H1964" s="22">
        <v>1</v>
      </c>
      <c r="I1964" s="22">
        <v>6</v>
      </c>
      <c r="J1964" s="21"/>
      <c r="K1964" s="21"/>
      <c r="L1964" s="21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>
        <v>1</v>
      </c>
      <c r="W1964" s="21"/>
      <c r="X1964" s="21"/>
      <c r="Y1964" s="21"/>
      <c r="Z1964" s="21"/>
      <c r="AA1964" s="21"/>
      <c r="AB1964" s="21"/>
      <c r="AC1964" s="21">
        <v>1</v>
      </c>
      <c r="AD1964" s="21"/>
      <c r="AE1964" s="21"/>
      <c r="AF1964" s="21"/>
      <c r="AG1964" s="21"/>
      <c r="AH1964" s="21"/>
      <c r="AI1964" s="21"/>
      <c r="AJ1964" s="21"/>
      <c r="AK1964" s="21"/>
      <c r="AL1964" s="21"/>
      <c r="AM1964" s="21"/>
      <c r="AN1964" s="21">
        <v>1</v>
      </c>
      <c r="AO1964" s="21"/>
      <c r="AP1964" s="21"/>
      <c r="AQ1964" s="21"/>
      <c r="AR1964" s="21"/>
      <c r="AS1964" s="21"/>
      <c r="AT1964" s="12" t="str">
        <f>HYPERLINK("http://www.openstreetmap.org/?mlat=36.4938&amp;mlon=43.6435&amp;zoom=12#map=12/36.4938/43.6435","Maplink1")</f>
        <v>Maplink1</v>
      </c>
      <c r="AU1964" s="12" t="str">
        <f>HYPERLINK("https://www.google.iq/maps/search/+36.4938,43.6435/@36.4938,43.6435,14z?hl=en","Maplink2")</f>
        <v>Maplink2</v>
      </c>
      <c r="AV1964" s="12" t="str">
        <f>HYPERLINK("http://www.bing.com/maps/?lvl=14&amp;sty=h&amp;cp=36.4938~43.6435&amp;sp=point.36.4938_43.6435","Maplink3")</f>
        <v>Maplink3</v>
      </c>
    </row>
    <row r="1965" spans="1:48" ht="15" customHeight="1" x14ac:dyDescent="0.25">
      <c r="A1965" s="19">
        <v>17012</v>
      </c>
      <c r="B1965" s="20" t="s">
        <v>21</v>
      </c>
      <c r="C1965" s="20" t="s">
        <v>3554</v>
      </c>
      <c r="D1965" s="20" t="s">
        <v>3594</v>
      </c>
      <c r="E1965" s="20" t="s">
        <v>3595</v>
      </c>
      <c r="F1965" s="20">
        <v>36.684936559999997</v>
      </c>
      <c r="G1965" s="20">
        <v>43.622663959999997</v>
      </c>
      <c r="H1965" s="22">
        <v>68</v>
      </c>
      <c r="I1965" s="22">
        <v>408</v>
      </c>
      <c r="J1965" s="21"/>
      <c r="K1965" s="21"/>
      <c r="L1965" s="21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>
        <v>68</v>
      </c>
      <c r="W1965" s="21"/>
      <c r="X1965" s="21"/>
      <c r="Y1965" s="21"/>
      <c r="Z1965" s="21"/>
      <c r="AA1965" s="21"/>
      <c r="AB1965" s="21"/>
      <c r="AC1965" s="21">
        <v>68</v>
      </c>
      <c r="AD1965" s="21"/>
      <c r="AE1965" s="21"/>
      <c r="AF1965" s="21"/>
      <c r="AG1965" s="21"/>
      <c r="AH1965" s="21"/>
      <c r="AI1965" s="21"/>
      <c r="AJ1965" s="21"/>
      <c r="AK1965" s="21"/>
      <c r="AL1965" s="21"/>
      <c r="AM1965" s="21"/>
      <c r="AN1965" s="21">
        <v>20</v>
      </c>
      <c r="AO1965" s="21"/>
      <c r="AP1965" s="21"/>
      <c r="AQ1965" s="21"/>
      <c r="AR1965" s="21"/>
      <c r="AS1965" s="21">
        <v>48</v>
      </c>
      <c r="AT1965" s="12" t="str">
        <f>HYPERLINK("http://www.openstreetmap.org/?mlat=36.6849&amp;mlon=43.6227&amp;zoom=12#map=12/36.6849/43.6227","Maplink1")</f>
        <v>Maplink1</v>
      </c>
      <c r="AU1965" s="12" t="str">
        <f>HYPERLINK("https://www.google.iq/maps/search/+36.6849,43.6227/@36.6849,43.6227,14z?hl=en","Maplink2")</f>
        <v>Maplink2</v>
      </c>
      <c r="AV1965" s="12" t="str">
        <f>HYPERLINK("http://www.bing.com/maps/?lvl=14&amp;sty=h&amp;cp=36.6849~43.6227&amp;sp=point.36.6849_43.6227","Maplink3")</f>
        <v>Maplink3</v>
      </c>
    </row>
    <row r="1966" spans="1:48" ht="15" customHeight="1" x14ac:dyDescent="0.25">
      <c r="A1966" s="19">
        <v>17293</v>
      </c>
      <c r="B1966" s="20" t="s">
        <v>21</v>
      </c>
      <c r="C1966" s="20" t="s">
        <v>3554</v>
      </c>
      <c r="D1966" s="20" t="s">
        <v>3596</v>
      </c>
      <c r="E1966" s="20" t="s">
        <v>3597</v>
      </c>
      <c r="F1966" s="20">
        <v>36.544049059999999</v>
      </c>
      <c r="G1966" s="20">
        <v>43.618680789999999</v>
      </c>
      <c r="H1966" s="22">
        <v>5</v>
      </c>
      <c r="I1966" s="22">
        <v>30</v>
      </c>
      <c r="J1966" s="21"/>
      <c r="K1966" s="21"/>
      <c r="L1966" s="21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>
        <v>5</v>
      </c>
      <c r="W1966" s="21"/>
      <c r="X1966" s="21"/>
      <c r="Y1966" s="21"/>
      <c r="Z1966" s="21"/>
      <c r="AA1966" s="21"/>
      <c r="AB1966" s="21"/>
      <c r="AC1966" s="21">
        <v>5</v>
      </c>
      <c r="AD1966" s="21"/>
      <c r="AE1966" s="21"/>
      <c r="AF1966" s="21"/>
      <c r="AG1966" s="21"/>
      <c r="AH1966" s="21"/>
      <c r="AI1966" s="21"/>
      <c r="AJ1966" s="21"/>
      <c r="AK1966" s="21"/>
      <c r="AL1966" s="21"/>
      <c r="AM1966" s="21">
        <v>4</v>
      </c>
      <c r="AN1966" s="21">
        <v>1</v>
      </c>
      <c r="AO1966" s="21"/>
      <c r="AP1966" s="21"/>
      <c r="AQ1966" s="21"/>
      <c r="AR1966" s="21"/>
      <c r="AS1966" s="21"/>
      <c r="AT1966" s="12" t="str">
        <f>HYPERLINK("http://www.openstreetmap.org/?mlat=36.544&amp;mlon=43.6187&amp;zoom=12#map=12/36.544/43.6187","Maplink1")</f>
        <v>Maplink1</v>
      </c>
      <c r="AU1966" s="12" t="str">
        <f>HYPERLINK("https://www.google.iq/maps/search/+36.544,43.6187/@36.544,43.6187,14z?hl=en","Maplink2")</f>
        <v>Maplink2</v>
      </c>
      <c r="AV1966" s="12" t="str">
        <f>HYPERLINK("http://www.bing.com/maps/?lvl=14&amp;sty=h&amp;cp=36.544~43.6187&amp;sp=point.36.544_43.6187","Maplink3")</f>
        <v>Maplink3</v>
      </c>
    </row>
    <row r="1967" spans="1:48" ht="15" customHeight="1" x14ac:dyDescent="0.25">
      <c r="A1967" s="19">
        <v>17272</v>
      </c>
      <c r="B1967" s="20" t="s">
        <v>21</v>
      </c>
      <c r="C1967" s="20" t="s">
        <v>3554</v>
      </c>
      <c r="D1967" s="20" t="s">
        <v>3598</v>
      </c>
      <c r="E1967" s="20" t="s">
        <v>3599</v>
      </c>
      <c r="F1967" s="20">
        <v>36.689183</v>
      </c>
      <c r="G1967" s="20">
        <v>43.799536000000003</v>
      </c>
      <c r="H1967" s="22">
        <v>324</v>
      </c>
      <c r="I1967" s="22">
        <v>1944</v>
      </c>
      <c r="J1967" s="21"/>
      <c r="K1967" s="21"/>
      <c r="L1967" s="21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>
        <v>324</v>
      </c>
      <c r="W1967" s="21"/>
      <c r="X1967" s="21"/>
      <c r="Y1967" s="21"/>
      <c r="Z1967" s="21"/>
      <c r="AA1967" s="21"/>
      <c r="AB1967" s="21">
        <v>324</v>
      </c>
      <c r="AC1967" s="21"/>
      <c r="AD1967" s="21"/>
      <c r="AE1967" s="21"/>
      <c r="AF1967" s="21"/>
      <c r="AG1967" s="21"/>
      <c r="AH1967" s="21"/>
      <c r="AI1967" s="21"/>
      <c r="AJ1967" s="21"/>
      <c r="AK1967" s="21"/>
      <c r="AL1967" s="21"/>
      <c r="AM1967" s="21">
        <v>15</v>
      </c>
      <c r="AN1967" s="21">
        <v>309</v>
      </c>
      <c r="AO1967" s="21"/>
      <c r="AP1967" s="21"/>
      <c r="AQ1967" s="21"/>
      <c r="AR1967" s="21"/>
      <c r="AS1967" s="21"/>
      <c r="AT1967" s="12" t="str">
        <f>HYPERLINK("http://www.openstreetmap.org/?mlat=36.6892&amp;mlon=43.7995&amp;zoom=12#map=12/36.6892/43.7995","Maplink1")</f>
        <v>Maplink1</v>
      </c>
      <c r="AU1967" s="12" t="str">
        <f>HYPERLINK("https://www.google.iq/maps/search/+36.6892,43.7995/@36.6892,43.7995,14z?hl=en","Maplink2")</f>
        <v>Maplink2</v>
      </c>
      <c r="AV1967" s="12" t="str">
        <f>HYPERLINK("http://www.bing.com/maps/?lvl=14&amp;sty=h&amp;cp=36.6892~43.7995&amp;sp=point.36.6892_43.7995","Maplink3")</f>
        <v>Maplink3</v>
      </c>
    </row>
    <row r="1968" spans="1:48" ht="15" customHeight="1" x14ac:dyDescent="0.25">
      <c r="A1968" s="19">
        <v>24580</v>
      </c>
      <c r="B1968" s="20" t="s">
        <v>21</v>
      </c>
      <c r="C1968" s="20" t="s">
        <v>3554</v>
      </c>
      <c r="D1968" s="20" t="s">
        <v>3600</v>
      </c>
      <c r="E1968" s="20" t="s">
        <v>3601</v>
      </c>
      <c r="F1968" s="20">
        <v>36.618581509999999</v>
      </c>
      <c r="G1968" s="20">
        <v>43.7022063</v>
      </c>
      <c r="H1968" s="22">
        <v>677</v>
      </c>
      <c r="I1968" s="22">
        <v>4062</v>
      </c>
      <c r="J1968" s="21"/>
      <c r="K1968" s="21"/>
      <c r="L1968" s="21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>
        <v>677</v>
      </c>
      <c r="W1968" s="21"/>
      <c r="X1968" s="21"/>
      <c r="Y1968" s="21"/>
      <c r="Z1968" s="21"/>
      <c r="AA1968" s="21"/>
      <c r="AB1968" s="21"/>
      <c r="AC1968" s="21">
        <v>349</v>
      </c>
      <c r="AD1968" s="21"/>
      <c r="AE1968" s="21"/>
      <c r="AF1968" s="21"/>
      <c r="AG1968" s="21"/>
      <c r="AH1968" s="21">
        <v>323</v>
      </c>
      <c r="AI1968" s="21"/>
      <c r="AJ1968" s="21">
        <v>5</v>
      </c>
      <c r="AK1968" s="21"/>
      <c r="AL1968" s="21"/>
      <c r="AM1968" s="21">
        <v>449</v>
      </c>
      <c r="AN1968" s="21">
        <v>208</v>
      </c>
      <c r="AO1968" s="21"/>
      <c r="AP1968" s="21"/>
      <c r="AQ1968" s="21"/>
      <c r="AR1968" s="21"/>
      <c r="AS1968" s="21">
        <v>20</v>
      </c>
      <c r="AT1968" s="12" t="str">
        <f>HYPERLINK("http://www.openstreetmap.org/?mlat=36.6186&amp;mlon=43.7022&amp;zoom=12#map=12/36.6186/43.7022","Maplink1")</f>
        <v>Maplink1</v>
      </c>
      <c r="AU1968" s="12" t="str">
        <f>HYPERLINK("https://www.google.iq/maps/search/+36.6186,43.7022/@36.6186,43.7022,14z?hl=en","Maplink2")</f>
        <v>Maplink2</v>
      </c>
      <c r="AV1968" s="12" t="str">
        <f>HYPERLINK("http://www.bing.com/maps/?lvl=14&amp;sty=h&amp;cp=36.6186~43.7022&amp;sp=point.36.6186_43.7022","Maplink3")</f>
        <v>Maplink3</v>
      </c>
    </row>
    <row r="1969" spans="1:48" ht="15" customHeight="1" x14ac:dyDescent="0.25">
      <c r="A1969" s="19">
        <v>29627</v>
      </c>
      <c r="B1969" s="20" t="s">
        <v>21</v>
      </c>
      <c r="C1969" s="20" t="s">
        <v>3554</v>
      </c>
      <c r="D1969" s="20" t="s">
        <v>3602</v>
      </c>
      <c r="E1969" s="20" t="s">
        <v>3603</v>
      </c>
      <c r="F1969" s="20">
        <v>36.640096999999997</v>
      </c>
      <c r="G1969" s="20">
        <v>43.710126000000002</v>
      </c>
      <c r="H1969" s="22">
        <v>45</v>
      </c>
      <c r="I1969" s="22">
        <v>270</v>
      </c>
      <c r="J1969" s="21"/>
      <c r="K1969" s="21"/>
      <c r="L1969" s="21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>
        <v>45</v>
      </c>
      <c r="W1969" s="21"/>
      <c r="X1969" s="21"/>
      <c r="Y1969" s="21"/>
      <c r="Z1969" s="21"/>
      <c r="AA1969" s="21"/>
      <c r="AB1969" s="21"/>
      <c r="AC1969" s="21">
        <v>17</v>
      </c>
      <c r="AD1969" s="21"/>
      <c r="AE1969" s="21"/>
      <c r="AF1969" s="21"/>
      <c r="AG1969" s="21"/>
      <c r="AH1969" s="21">
        <v>27</v>
      </c>
      <c r="AI1969" s="21"/>
      <c r="AJ1969" s="21">
        <v>1</v>
      </c>
      <c r="AK1969" s="21"/>
      <c r="AL1969" s="21"/>
      <c r="AM1969" s="21">
        <v>18</v>
      </c>
      <c r="AN1969" s="21">
        <v>27</v>
      </c>
      <c r="AO1969" s="21"/>
      <c r="AP1969" s="21"/>
      <c r="AQ1969" s="21"/>
      <c r="AR1969" s="21"/>
      <c r="AS1969" s="21"/>
      <c r="AT1969" s="12" t="str">
        <f>HYPERLINK("http://www.openstreetmap.org/?mlat=36.6401&amp;mlon=43.7101&amp;zoom=12#map=12/36.6401/43.7101","Maplink1")</f>
        <v>Maplink1</v>
      </c>
      <c r="AU1969" s="12" t="str">
        <f>HYPERLINK("https://www.google.iq/maps/search/+36.6401,43.7101/@36.6401,43.7101,14z?hl=en","Maplink2")</f>
        <v>Maplink2</v>
      </c>
      <c r="AV1969" s="12" t="str">
        <f>HYPERLINK("http://www.bing.com/maps/?lvl=14&amp;sty=h&amp;cp=36.6401~43.7101&amp;sp=point.36.6401_43.7101","Maplink3")</f>
        <v>Maplink3</v>
      </c>
    </row>
    <row r="1970" spans="1:48" ht="15" customHeight="1" x14ac:dyDescent="0.25">
      <c r="A1970" s="19">
        <v>33475</v>
      </c>
      <c r="B1970" s="20" t="s">
        <v>21</v>
      </c>
      <c r="C1970" s="20" t="s">
        <v>3554</v>
      </c>
      <c r="D1970" s="20" t="s">
        <v>6031</v>
      </c>
      <c r="E1970" s="20" t="s">
        <v>6032</v>
      </c>
      <c r="F1970" s="20">
        <v>36.231881000000001</v>
      </c>
      <c r="G1970" s="20">
        <v>43.607928999999999</v>
      </c>
      <c r="H1970" s="22">
        <v>48</v>
      </c>
      <c r="I1970" s="22">
        <v>288</v>
      </c>
      <c r="J1970" s="21"/>
      <c r="K1970" s="21"/>
      <c r="L1970" s="21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>
        <v>48</v>
      </c>
      <c r="W1970" s="21"/>
      <c r="X1970" s="21"/>
      <c r="Y1970" s="21"/>
      <c r="Z1970" s="21"/>
      <c r="AA1970" s="21"/>
      <c r="AB1970" s="21"/>
      <c r="AC1970" s="21">
        <v>41</v>
      </c>
      <c r="AD1970" s="21"/>
      <c r="AE1970" s="21"/>
      <c r="AF1970" s="21"/>
      <c r="AG1970" s="21"/>
      <c r="AH1970" s="21">
        <v>5</v>
      </c>
      <c r="AI1970" s="21"/>
      <c r="AJ1970" s="21">
        <v>2</v>
      </c>
      <c r="AK1970" s="21"/>
      <c r="AL1970" s="21"/>
      <c r="AM1970" s="21"/>
      <c r="AN1970" s="21">
        <v>47</v>
      </c>
      <c r="AO1970" s="21"/>
      <c r="AP1970" s="21"/>
      <c r="AQ1970" s="21"/>
      <c r="AR1970" s="21"/>
      <c r="AS1970" s="21">
        <v>1</v>
      </c>
      <c r="AT1970" s="12" t="str">
        <f>HYPERLINK("http://www.openstreetmap.org/?mlat=36.2319&amp;mlon=43.6079&amp;zoom=12#map=12/36.2319/43.6079","Maplink1")</f>
        <v>Maplink1</v>
      </c>
      <c r="AU1970" s="12" t="str">
        <f>HYPERLINK("https://www.google.iq/maps/search/+36.2319,43.6079/@36.2319,43.6079,14z?hl=en","Maplink2")</f>
        <v>Maplink2</v>
      </c>
      <c r="AV1970" s="12" t="str">
        <f>HYPERLINK("http://www.bing.com/maps/?lvl=14&amp;sty=h&amp;cp=36.2319~43.6079&amp;sp=point.36.2319_43.6079","Maplink3")</f>
        <v>Maplink3</v>
      </c>
    </row>
    <row r="1971" spans="1:48" ht="15" customHeight="1" x14ac:dyDescent="0.25">
      <c r="A1971" s="19">
        <v>8780</v>
      </c>
      <c r="B1971" s="20" t="s">
        <v>21</v>
      </c>
      <c r="C1971" s="20" t="s">
        <v>3554</v>
      </c>
      <c r="D1971" s="20" t="s">
        <v>3604</v>
      </c>
      <c r="E1971" s="20" t="s">
        <v>3605</v>
      </c>
      <c r="F1971" s="20">
        <v>36.490502999999997</v>
      </c>
      <c r="G1971" s="20">
        <v>43.663181000000002</v>
      </c>
      <c r="H1971" s="22">
        <v>21</v>
      </c>
      <c r="I1971" s="22">
        <v>126</v>
      </c>
      <c r="J1971" s="21"/>
      <c r="K1971" s="21"/>
      <c r="L1971" s="21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>
        <v>21</v>
      </c>
      <c r="W1971" s="21"/>
      <c r="X1971" s="21"/>
      <c r="Y1971" s="21"/>
      <c r="Z1971" s="21"/>
      <c r="AA1971" s="21"/>
      <c r="AB1971" s="21"/>
      <c r="AC1971" s="21">
        <v>11</v>
      </c>
      <c r="AD1971" s="21"/>
      <c r="AE1971" s="21"/>
      <c r="AF1971" s="21"/>
      <c r="AG1971" s="21"/>
      <c r="AH1971" s="21"/>
      <c r="AI1971" s="21"/>
      <c r="AJ1971" s="21">
        <v>10</v>
      </c>
      <c r="AK1971" s="21"/>
      <c r="AL1971" s="21"/>
      <c r="AM1971" s="21">
        <v>21</v>
      </c>
      <c r="AN1971" s="21"/>
      <c r="AO1971" s="21"/>
      <c r="AP1971" s="21"/>
      <c r="AQ1971" s="21"/>
      <c r="AR1971" s="21"/>
      <c r="AS1971" s="21"/>
      <c r="AT1971" s="12" t="str">
        <f>HYPERLINK("http://www.openstreetmap.org/?mlat=36.4905&amp;mlon=43.6632&amp;zoom=12#map=12/36.4905/43.6632","Maplink1")</f>
        <v>Maplink1</v>
      </c>
      <c r="AU1971" s="12" t="str">
        <f>HYPERLINK("https://www.google.iq/maps/search/+36.4905,43.6632/@36.4905,43.6632,14z?hl=en","Maplink2")</f>
        <v>Maplink2</v>
      </c>
      <c r="AV1971" s="12" t="str">
        <f>HYPERLINK("http://www.bing.com/maps/?lvl=14&amp;sty=h&amp;cp=36.4905~43.6632&amp;sp=point.36.4905_43.6632","Maplink3")</f>
        <v>Maplink3</v>
      </c>
    </row>
    <row r="1972" spans="1:48" ht="15" customHeight="1" x14ac:dyDescent="0.25">
      <c r="A1972" s="19">
        <v>18162</v>
      </c>
      <c r="B1972" s="20" t="s">
        <v>21</v>
      </c>
      <c r="C1972" s="20" t="s">
        <v>3554</v>
      </c>
      <c r="D1972" s="20" t="s">
        <v>3606</v>
      </c>
      <c r="E1972" s="20" t="s">
        <v>3607</v>
      </c>
      <c r="F1972" s="20">
        <v>36.513114520000002</v>
      </c>
      <c r="G1972" s="20">
        <v>43.57172826</v>
      </c>
      <c r="H1972" s="22">
        <v>11</v>
      </c>
      <c r="I1972" s="22">
        <v>66</v>
      </c>
      <c r="J1972" s="21"/>
      <c r="K1972" s="21"/>
      <c r="L1972" s="21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>
        <v>11</v>
      </c>
      <c r="W1972" s="21"/>
      <c r="X1972" s="21"/>
      <c r="Y1972" s="21"/>
      <c r="Z1972" s="21"/>
      <c r="AA1972" s="21"/>
      <c r="AB1972" s="21"/>
      <c r="AC1972" s="21">
        <v>2</v>
      </c>
      <c r="AD1972" s="21"/>
      <c r="AE1972" s="21"/>
      <c r="AF1972" s="21"/>
      <c r="AG1972" s="21"/>
      <c r="AH1972" s="21">
        <v>8</v>
      </c>
      <c r="AI1972" s="21"/>
      <c r="AJ1972" s="21">
        <v>1</v>
      </c>
      <c r="AK1972" s="21"/>
      <c r="AL1972" s="21"/>
      <c r="AM1972" s="21">
        <v>3</v>
      </c>
      <c r="AN1972" s="21">
        <v>8</v>
      </c>
      <c r="AO1972" s="21"/>
      <c r="AP1972" s="21"/>
      <c r="AQ1972" s="21"/>
      <c r="AR1972" s="21"/>
      <c r="AS1972" s="21"/>
      <c r="AT1972" s="12" t="str">
        <f>HYPERLINK("http://www.openstreetmap.org/?mlat=36.5131&amp;mlon=43.5717&amp;zoom=12#map=12/36.5131/43.5717","Maplink1")</f>
        <v>Maplink1</v>
      </c>
      <c r="AU1972" s="12" t="str">
        <f>HYPERLINK("https://www.google.iq/maps/search/+36.5131,43.5717/@36.5131,43.5717,14z?hl=en","Maplink2")</f>
        <v>Maplink2</v>
      </c>
      <c r="AV1972" s="12" t="str">
        <f>HYPERLINK("http://www.bing.com/maps/?lvl=14&amp;sty=h&amp;cp=36.5131~43.5717&amp;sp=point.36.5131_43.5717","Maplink3")</f>
        <v>Maplink3</v>
      </c>
    </row>
    <row r="1973" spans="1:48" ht="15" customHeight="1" x14ac:dyDescent="0.25">
      <c r="A1973" s="19">
        <v>17147</v>
      </c>
      <c r="B1973" s="20" t="s">
        <v>21</v>
      </c>
      <c r="C1973" s="20" t="s">
        <v>3554</v>
      </c>
      <c r="D1973" s="20" t="s">
        <v>3608</v>
      </c>
      <c r="E1973" s="20" t="s">
        <v>3609</v>
      </c>
      <c r="F1973" s="20">
        <v>36.495607409999998</v>
      </c>
      <c r="G1973" s="20">
        <v>43.622633870000001</v>
      </c>
      <c r="H1973" s="22">
        <v>22</v>
      </c>
      <c r="I1973" s="22">
        <v>132</v>
      </c>
      <c r="J1973" s="21"/>
      <c r="K1973" s="21"/>
      <c r="L1973" s="21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>
        <v>22</v>
      </c>
      <c r="W1973" s="21"/>
      <c r="X1973" s="21"/>
      <c r="Y1973" s="21"/>
      <c r="Z1973" s="21"/>
      <c r="AA1973" s="21"/>
      <c r="AB1973" s="21"/>
      <c r="AC1973" s="21">
        <v>5</v>
      </c>
      <c r="AD1973" s="21"/>
      <c r="AE1973" s="21"/>
      <c r="AF1973" s="21"/>
      <c r="AG1973" s="21"/>
      <c r="AH1973" s="21">
        <v>15</v>
      </c>
      <c r="AI1973" s="21"/>
      <c r="AJ1973" s="21">
        <v>2</v>
      </c>
      <c r="AK1973" s="21"/>
      <c r="AL1973" s="21"/>
      <c r="AM1973" s="21">
        <v>9</v>
      </c>
      <c r="AN1973" s="21">
        <v>13</v>
      </c>
      <c r="AO1973" s="21"/>
      <c r="AP1973" s="21"/>
      <c r="AQ1973" s="21"/>
      <c r="AR1973" s="21"/>
      <c r="AS1973" s="21"/>
      <c r="AT1973" s="12" t="str">
        <f>HYPERLINK("http://www.openstreetmap.org/?mlat=36.4956&amp;mlon=43.6226&amp;zoom=12#map=12/36.4956/43.6226","Maplink1")</f>
        <v>Maplink1</v>
      </c>
      <c r="AU1973" s="12" t="str">
        <f>HYPERLINK("https://www.google.iq/maps/search/+36.4956,43.6226/@36.4956,43.6226,14z?hl=en","Maplink2")</f>
        <v>Maplink2</v>
      </c>
      <c r="AV1973" s="12" t="str">
        <f>HYPERLINK("http://www.bing.com/maps/?lvl=14&amp;sty=h&amp;cp=36.4956~43.6226&amp;sp=point.36.4956_43.6226","Maplink3")</f>
        <v>Maplink3</v>
      </c>
    </row>
    <row r="1974" spans="1:48" ht="15" customHeight="1" x14ac:dyDescent="0.25">
      <c r="A1974" s="19">
        <v>17995</v>
      </c>
      <c r="B1974" s="20" t="s">
        <v>21</v>
      </c>
      <c r="C1974" s="20" t="s">
        <v>3610</v>
      </c>
      <c r="D1974" s="20" t="s">
        <v>3611</v>
      </c>
      <c r="E1974" s="20" t="s">
        <v>3612</v>
      </c>
      <c r="F1974" s="20">
        <v>36.025100000000002</v>
      </c>
      <c r="G1974" s="20">
        <v>43.404400000000003</v>
      </c>
      <c r="H1974" s="22">
        <v>5</v>
      </c>
      <c r="I1974" s="22">
        <v>30</v>
      </c>
      <c r="J1974" s="21"/>
      <c r="K1974" s="21"/>
      <c r="L1974" s="21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>
        <v>5</v>
      </c>
      <c r="W1974" s="21"/>
      <c r="X1974" s="21"/>
      <c r="Y1974" s="21"/>
      <c r="Z1974" s="21"/>
      <c r="AA1974" s="21"/>
      <c r="AB1974" s="21"/>
      <c r="AC1974" s="21">
        <v>5</v>
      </c>
      <c r="AD1974" s="21"/>
      <c r="AE1974" s="21"/>
      <c r="AF1974" s="21"/>
      <c r="AG1974" s="21"/>
      <c r="AH1974" s="21"/>
      <c r="AI1974" s="21"/>
      <c r="AJ1974" s="21"/>
      <c r="AK1974" s="21"/>
      <c r="AL1974" s="21"/>
      <c r="AM1974" s="21"/>
      <c r="AN1974" s="21"/>
      <c r="AO1974" s="21"/>
      <c r="AP1974" s="21"/>
      <c r="AQ1974" s="21"/>
      <c r="AR1974" s="21">
        <v>5</v>
      </c>
      <c r="AS1974" s="21"/>
      <c r="AT1974" s="12" t="str">
        <f>HYPERLINK("http://www.openstreetmap.org/?mlat=36.0251&amp;mlon=43.4044&amp;zoom=12#map=12/36.0251/43.4044","Maplink1")</f>
        <v>Maplink1</v>
      </c>
      <c r="AU1974" s="12" t="str">
        <f>HYPERLINK("https://www.google.iq/maps/search/+36.0251,43.4044/@36.0251,43.4044,14z?hl=en","Maplink2")</f>
        <v>Maplink2</v>
      </c>
      <c r="AV1974" s="12" t="str">
        <f>HYPERLINK("http://www.bing.com/maps/?lvl=14&amp;sty=h&amp;cp=36.0251~43.4044&amp;sp=point.36.0251_43.4044","Maplink3")</f>
        <v>Maplink3</v>
      </c>
    </row>
    <row r="1975" spans="1:48" ht="15" customHeight="1" x14ac:dyDescent="0.25">
      <c r="A1975" s="19">
        <v>17903</v>
      </c>
      <c r="B1975" s="20" t="s">
        <v>21</v>
      </c>
      <c r="C1975" s="20" t="s">
        <v>3610</v>
      </c>
      <c r="D1975" s="20" t="s">
        <v>3613</v>
      </c>
      <c r="E1975" s="20" t="s">
        <v>3614</v>
      </c>
      <c r="F1975" s="20">
        <v>36.143467999999999</v>
      </c>
      <c r="G1975" s="20">
        <v>43.313338999999999</v>
      </c>
      <c r="H1975" s="22">
        <v>25</v>
      </c>
      <c r="I1975" s="22">
        <v>150</v>
      </c>
      <c r="J1975" s="21"/>
      <c r="K1975" s="21"/>
      <c r="L1975" s="21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>
        <v>25</v>
      </c>
      <c r="W1975" s="21"/>
      <c r="X1975" s="21"/>
      <c r="Y1975" s="21"/>
      <c r="Z1975" s="21"/>
      <c r="AA1975" s="21"/>
      <c r="AB1975" s="21"/>
      <c r="AC1975" s="21">
        <v>25</v>
      </c>
      <c r="AD1975" s="21"/>
      <c r="AE1975" s="21"/>
      <c r="AF1975" s="21"/>
      <c r="AG1975" s="21"/>
      <c r="AH1975" s="21"/>
      <c r="AI1975" s="21"/>
      <c r="AJ1975" s="21"/>
      <c r="AK1975" s="21"/>
      <c r="AL1975" s="21"/>
      <c r="AM1975" s="21"/>
      <c r="AN1975" s="21"/>
      <c r="AO1975" s="21"/>
      <c r="AP1975" s="21"/>
      <c r="AQ1975" s="21"/>
      <c r="AR1975" s="21">
        <v>25</v>
      </c>
      <c r="AS1975" s="21"/>
      <c r="AT1975" s="12" t="str">
        <f>HYPERLINK("http://www.openstreetmap.org/?mlat=36.1435&amp;mlon=43.3133&amp;zoom=12#map=12/36.1435/43.3133","Maplink1")</f>
        <v>Maplink1</v>
      </c>
      <c r="AU1975" s="12" t="str">
        <f>HYPERLINK("https://www.google.iq/maps/search/+36.1435,43.3133/@36.1435,43.3133,14z?hl=en","Maplink2")</f>
        <v>Maplink2</v>
      </c>
      <c r="AV1975" s="12" t="str">
        <f>HYPERLINK("http://www.bing.com/maps/?lvl=14&amp;sty=h&amp;cp=36.1435~43.3133&amp;sp=point.36.1435_43.3133","Maplink3")</f>
        <v>Maplink3</v>
      </c>
    </row>
    <row r="1976" spans="1:48" ht="15" customHeight="1" x14ac:dyDescent="0.25">
      <c r="A1976" s="19">
        <v>31774</v>
      </c>
      <c r="B1976" s="20" t="s">
        <v>21</v>
      </c>
      <c r="C1976" s="20" t="s">
        <v>3610</v>
      </c>
      <c r="D1976" s="20" t="s">
        <v>6157</v>
      </c>
      <c r="E1976" s="20" t="s">
        <v>3615</v>
      </c>
      <c r="F1976" s="20">
        <v>36.158603999999997</v>
      </c>
      <c r="G1976" s="20">
        <v>43.328099999999999</v>
      </c>
      <c r="H1976" s="22">
        <v>1400</v>
      </c>
      <c r="I1976" s="22">
        <v>8400</v>
      </c>
      <c r="J1976" s="21"/>
      <c r="K1976" s="21"/>
      <c r="L1976" s="21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>
        <v>1400</v>
      </c>
      <c r="W1976" s="21"/>
      <c r="X1976" s="21"/>
      <c r="Y1976" s="21"/>
      <c r="Z1976" s="21"/>
      <c r="AA1976" s="21"/>
      <c r="AB1976" s="21">
        <v>1400</v>
      </c>
      <c r="AC1976" s="21"/>
      <c r="AD1976" s="21"/>
      <c r="AE1976" s="21"/>
      <c r="AF1976" s="21"/>
      <c r="AG1976" s="21"/>
      <c r="AH1976" s="21"/>
      <c r="AI1976" s="21"/>
      <c r="AJ1976" s="21"/>
      <c r="AK1976" s="21"/>
      <c r="AL1976" s="21"/>
      <c r="AM1976" s="21"/>
      <c r="AN1976" s="21"/>
      <c r="AO1976" s="21"/>
      <c r="AP1976" s="21"/>
      <c r="AQ1976" s="21"/>
      <c r="AR1976" s="21">
        <v>1200</v>
      </c>
      <c r="AS1976" s="21">
        <v>200</v>
      </c>
      <c r="AT1976" s="12" t="str">
        <f>HYPERLINK("http://www.openstreetmap.org/?mlat=36.1586&amp;mlon=43.3281&amp;zoom=12#map=12/36.1586/43.3281","Maplink1")</f>
        <v>Maplink1</v>
      </c>
      <c r="AU1976" s="12" t="str">
        <f>HYPERLINK("https://www.google.iq/maps/search/+36.1586,43.3281/@36.1586,43.3281,14z?hl=en","Maplink2")</f>
        <v>Maplink2</v>
      </c>
      <c r="AV1976" s="12" t="str">
        <f>HYPERLINK("http://www.bing.com/maps/?lvl=14&amp;sty=h&amp;cp=36.1586~43.3281&amp;sp=point.36.1586_43.3281","Maplink3")</f>
        <v>Maplink3</v>
      </c>
    </row>
    <row r="1977" spans="1:48" ht="15" customHeight="1" x14ac:dyDescent="0.25">
      <c r="A1977" s="19">
        <v>31781</v>
      </c>
      <c r="B1977" s="20" t="s">
        <v>21</v>
      </c>
      <c r="C1977" s="20" t="s">
        <v>3610</v>
      </c>
      <c r="D1977" s="20" t="s">
        <v>6158</v>
      </c>
      <c r="E1977" s="20" t="s">
        <v>3616</v>
      </c>
      <c r="F1977" s="20">
        <v>36.151409000000001</v>
      </c>
      <c r="G1977" s="20">
        <v>43.333078999999998</v>
      </c>
      <c r="H1977" s="22">
        <v>3847</v>
      </c>
      <c r="I1977" s="22">
        <v>23082</v>
      </c>
      <c r="J1977" s="21"/>
      <c r="K1977" s="21"/>
      <c r="L1977" s="21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>
        <v>3847</v>
      </c>
      <c r="W1977" s="21"/>
      <c r="X1977" s="21"/>
      <c r="Y1977" s="21"/>
      <c r="Z1977" s="21"/>
      <c r="AA1977" s="21"/>
      <c r="AB1977" s="21">
        <v>3847</v>
      </c>
      <c r="AC1977" s="21"/>
      <c r="AD1977" s="21"/>
      <c r="AE1977" s="21"/>
      <c r="AF1977" s="21"/>
      <c r="AG1977" s="21"/>
      <c r="AH1977" s="21"/>
      <c r="AI1977" s="21"/>
      <c r="AJ1977" s="21"/>
      <c r="AK1977" s="21"/>
      <c r="AL1977" s="21"/>
      <c r="AM1977" s="21"/>
      <c r="AN1977" s="21"/>
      <c r="AO1977" s="21"/>
      <c r="AP1977" s="21"/>
      <c r="AQ1977" s="21"/>
      <c r="AR1977" s="21">
        <v>3597</v>
      </c>
      <c r="AS1977" s="21">
        <v>250</v>
      </c>
      <c r="AT1977" s="12" t="str">
        <f>HYPERLINK("http://www.openstreetmap.org/?mlat=36.1514&amp;mlon=43.3331&amp;zoom=12#map=12/36.1514/43.3331","Maplink1")</f>
        <v>Maplink1</v>
      </c>
      <c r="AU1977" s="12" t="str">
        <f>HYPERLINK("https://www.google.iq/maps/search/+36.1514,43.3331/@36.1514,43.3331,14z?hl=en","Maplink2")</f>
        <v>Maplink2</v>
      </c>
      <c r="AV1977" s="12" t="str">
        <f>HYPERLINK("http://www.bing.com/maps/?lvl=14&amp;sty=h&amp;cp=36.1514~43.3331&amp;sp=point.36.1514_43.3331","Maplink3")</f>
        <v>Maplink3</v>
      </c>
    </row>
    <row r="1978" spans="1:48" ht="15" customHeight="1" x14ac:dyDescent="0.25">
      <c r="A1978" s="19">
        <v>32054</v>
      </c>
      <c r="B1978" s="20" t="s">
        <v>21</v>
      </c>
      <c r="C1978" s="20" t="s">
        <v>3610</v>
      </c>
      <c r="D1978" s="20" t="s">
        <v>6159</v>
      </c>
      <c r="E1978" s="20" t="s">
        <v>3622</v>
      </c>
      <c r="F1978" s="20">
        <v>36.112904999999998</v>
      </c>
      <c r="G1978" s="20">
        <v>43.320450000000001</v>
      </c>
      <c r="H1978" s="22">
        <v>693</v>
      </c>
      <c r="I1978" s="22">
        <v>4158</v>
      </c>
      <c r="J1978" s="21"/>
      <c r="K1978" s="21"/>
      <c r="L1978" s="21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>
        <v>693</v>
      </c>
      <c r="W1978" s="21"/>
      <c r="X1978" s="21"/>
      <c r="Y1978" s="21"/>
      <c r="Z1978" s="21"/>
      <c r="AA1978" s="21"/>
      <c r="AB1978" s="21">
        <v>693</v>
      </c>
      <c r="AC1978" s="21"/>
      <c r="AD1978" s="21"/>
      <c r="AE1978" s="21"/>
      <c r="AF1978" s="21"/>
      <c r="AG1978" s="21"/>
      <c r="AH1978" s="21"/>
      <c r="AI1978" s="21"/>
      <c r="AJ1978" s="21"/>
      <c r="AK1978" s="21"/>
      <c r="AL1978" s="21"/>
      <c r="AM1978" s="21"/>
      <c r="AN1978" s="21"/>
      <c r="AO1978" s="21"/>
      <c r="AP1978" s="21"/>
      <c r="AQ1978" s="21"/>
      <c r="AR1978" s="21">
        <v>693</v>
      </c>
      <c r="AS1978" s="21"/>
      <c r="AT1978" s="12" t="str">
        <f>HYPERLINK("http://www.openstreetmap.org/?mlat=36.1129&amp;mlon=43.3205&amp;zoom=12#map=12/36.1129/43.3205","Maplink1")</f>
        <v>Maplink1</v>
      </c>
      <c r="AU1978" s="12" t="str">
        <f>HYPERLINK("https://www.google.iq/maps/search/+36.1129,43.3205/@36.1129,43.3205,14z?hl=en","Maplink2")</f>
        <v>Maplink2</v>
      </c>
      <c r="AV1978" s="12" t="str">
        <f>HYPERLINK("http://www.bing.com/maps/?lvl=14&amp;sty=h&amp;cp=36.1129~43.3205&amp;sp=point.36.1129_43.3205","Maplink3")</f>
        <v>Maplink3</v>
      </c>
    </row>
    <row r="1979" spans="1:48" ht="15" customHeight="1" x14ac:dyDescent="0.25">
      <c r="A1979" s="19">
        <v>31744</v>
      </c>
      <c r="B1979" s="20" t="s">
        <v>21</v>
      </c>
      <c r="C1979" s="20" t="s">
        <v>3610</v>
      </c>
      <c r="D1979" s="20" t="s">
        <v>6160</v>
      </c>
      <c r="E1979" s="20" t="s">
        <v>3617</v>
      </c>
      <c r="F1979" s="20">
        <v>36.309564000000002</v>
      </c>
      <c r="G1979" s="20">
        <v>43.526166000000003</v>
      </c>
      <c r="H1979" s="22">
        <v>935</v>
      </c>
      <c r="I1979" s="22">
        <v>5610</v>
      </c>
      <c r="J1979" s="21"/>
      <c r="K1979" s="21"/>
      <c r="L1979" s="21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>
        <v>935</v>
      </c>
      <c r="W1979" s="21"/>
      <c r="X1979" s="21"/>
      <c r="Y1979" s="21"/>
      <c r="Z1979" s="21"/>
      <c r="AA1979" s="21"/>
      <c r="AB1979" s="21">
        <v>935</v>
      </c>
      <c r="AC1979" s="21"/>
      <c r="AD1979" s="21"/>
      <c r="AE1979" s="21"/>
      <c r="AF1979" s="21"/>
      <c r="AG1979" s="21"/>
      <c r="AH1979" s="21"/>
      <c r="AI1979" s="21"/>
      <c r="AJ1979" s="21"/>
      <c r="AK1979" s="21"/>
      <c r="AL1979" s="21"/>
      <c r="AM1979" s="21"/>
      <c r="AN1979" s="21"/>
      <c r="AO1979" s="21"/>
      <c r="AP1979" s="21"/>
      <c r="AQ1979" s="21"/>
      <c r="AR1979" s="21">
        <v>735</v>
      </c>
      <c r="AS1979" s="21">
        <v>200</v>
      </c>
      <c r="AT1979" s="12" t="str">
        <f>HYPERLINK("http://www.openstreetmap.org/?mlat=36.3096&amp;mlon=43.5262&amp;zoom=12#map=12/36.3096/43.5262","Maplink1")</f>
        <v>Maplink1</v>
      </c>
      <c r="AU1979" s="12" t="str">
        <f>HYPERLINK("https://www.google.iq/maps/search/+36.3096,43.5262/@36.3096,43.5262,14z?hl=en","Maplink2")</f>
        <v>Maplink2</v>
      </c>
      <c r="AV1979" s="12" t="str">
        <f>HYPERLINK("http://www.bing.com/maps/?lvl=14&amp;sty=h&amp;cp=36.3096~43.5262&amp;sp=point.36.3096_43.5262","Maplink3")</f>
        <v>Maplink3</v>
      </c>
    </row>
    <row r="1980" spans="1:48" ht="15" customHeight="1" x14ac:dyDescent="0.25">
      <c r="A1980" s="19">
        <v>29647</v>
      </c>
      <c r="B1980" s="20" t="s">
        <v>21</v>
      </c>
      <c r="C1980" s="20" t="s">
        <v>3610</v>
      </c>
      <c r="D1980" s="20" t="s">
        <v>6161</v>
      </c>
      <c r="E1980" s="20" t="s">
        <v>3618</v>
      </c>
      <c r="F1980" s="20">
        <v>36.323039999999999</v>
      </c>
      <c r="G1980" s="20">
        <v>43.539499999999997</v>
      </c>
      <c r="H1980" s="22">
        <v>1100</v>
      </c>
      <c r="I1980" s="22">
        <v>6600</v>
      </c>
      <c r="J1980" s="21"/>
      <c r="K1980" s="21"/>
      <c r="L1980" s="21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>
        <v>1100</v>
      </c>
      <c r="W1980" s="21"/>
      <c r="X1980" s="21"/>
      <c r="Y1980" s="21"/>
      <c r="Z1980" s="21"/>
      <c r="AA1980" s="21"/>
      <c r="AB1980" s="21">
        <v>1100</v>
      </c>
      <c r="AC1980" s="21"/>
      <c r="AD1980" s="21"/>
      <c r="AE1980" s="21"/>
      <c r="AF1980" s="21"/>
      <c r="AG1980" s="21"/>
      <c r="AH1980" s="21"/>
      <c r="AI1980" s="21"/>
      <c r="AJ1980" s="21"/>
      <c r="AK1980" s="21"/>
      <c r="AL1980" s="21"/>
      <c r="AM1980" s="21"/>
      <c r="AN1980" s="21"/>
      <c r="AO1980" s="21"/>
      <c r="AP1980" s="21"/>
      <c r="AQ1980" s="21"/>
      <c r="AR1980" s="21">
        <v>900</v>
      </c>
      <c r="AS1980" s="21">
        <v>200</v>
      </c>
      <c r="AT1980" s="12" t="str">
        <f>HYPERLINK("http://www.openstreetmap.org/?mlat=36.323&amp;mlon=43.5395&amp;zoom=12#map=12/36.323/43.5395","Maplink1")</f>
        <v>Maplink1</v>
      </c>
      <c r="AU1980" s="12" t="str">
        <f>HYPERLINK("https://www.google.iq/maps/search/+36.323,43.5395/@36.323,43.5395,14z?hl=en","Maplink2")</f>
        <v>Maplink2</v>
      </c>
      <c r="AV1980" s="12" t="str">
        <f>HYPERLINK("http://www.bing.com/maps/?lvl=14&amp;sty=h&amp;cp=36.323~43.5395&amp;sp=point.36.323_43.5395","Maplink3")</f>
        <v>Maplink3</v>
      </c>
    </row>
    <row r="1981" spans="1:48" ht="15" customHeight="1" x14ac:dyDescent="0.25">
      <c r="A1981" s="19">
        <v>29643</v>
      </c>
      <c r="B1981" s="20" t="s">
        <v>21</v>
      </c>
      <c r="C1981" s="20" t="s">
        <v>3610</v>
      </c>
      <c r="D1981" s="20" t="s">
        <v>3619</v>
      </c>
      <c r="E1981" s="20" t="s">
        <v>3620</v>
      </c>
      <c r="F1981" s="20">
        <v>36.033499999999997</v>
      </c>
      <c r="G1981" s="20">
        <v>43.435499999999998</v>
      </c>
      <c r="H1981" s="22">
        <v>5</v>
      </c>
      <c r="I1981" s="22">
        <v>30</v>
      </c>
      <c r="J1981" s="21"/>
      <c r="K1981" s="21"/>
      <c r="L1981" s="21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>
        <v>5</v>
      </c>
      <c r="W1981" s="21"/>
      <c r="X1981" s="21"/>
      <c r="Y1981" s="21"/>
      <c r="Z1981" s="21"/>
      <c r="AA1981" s="21"/>
      <c r="AB1981" s="21"/>
      <c r="AC1981" s="21">
        <v>5</v>
      </c>
      <c r="AD1981" s="21"/>
      <c r="AE1981" s="21"/>
      <c r="AF1981" s="21"/>
      <c r="AG1981" s="21"/>
      <c r="AH1981" s="21"/>
      <c r="AI1981" s="21"/>
      <c r="AJ1981" s="21"/>
      <c r="AK1981" s="21"/>
      <c r="AL1981" s="21"/>
      <c r="AM1981" s="21"/>
      <c r="AN1981" s="21"/>
      <c r="AO1981" s="21"/>
      <c r="AP1981" s="21"/>
      <c r="AQ1981" s="21"/>
      <c r="AR1981" s="21">
        <v>5</v>
      </c>
      <c r="AS1981" s="21"/>
      <c r="AT1981" s="12" t="str">
        <f>HYPERLINK("http://www.openstreetmap.org/?mlat=36.0335&amp;mlon=43.4355&amp;zoom=12#map=12/36.0335/43.4355","Maplink1")</f>
        <v>Maplink1</v>
      </c>
      <c r="AU1981" s="12" t="str">
        <f>HYPERLINK("https://www.google.iq/maps/search/+36.0335,43.4355/@36.0335,43.4355,14z?hl=en","Maplink2")</f>
        <v>Maplink2</v>
      </c>
      <c r="AV1981" s="12" t="str">
        <f>HYPERLINK("http://www.bing.com/maps/?lvl=14&amp;sty=h&amp;cp=36.0335~43.4355&amp;sp=point.36.0335_43.4355","Maplink3")</f>
        <v>Maplink3</v>
      </c>
    </row>
    <row r="1982" spans="1:48" ht="15" customHeight="1" x14ac:dyDescent="0.25">
      <c r="A1982" s="19">
        <v>29645</v>
      </c>
      <c r="B1982" s="20" t="s">
        <v>21</v>
      </c>
      <c r="C1982" s="20" t="s">
        <v>3610</v>
      </c>
      <c r="D1982" s="20" t="s">
        <v>6162</v>
      </c>
      <c r="E1982" s="20" t="s">
        <v>3621</v>
      </c>
      <c r="F1982" s="20">
        <v>36.308070000000001</v>
      </c>
      <c r="G1982" s="20">
        <v>43.543709999999997</v>
      </c>
      <c r="H1982" s="22">
        <v>1382</v>
      </c>
      <c r="I1982" s="22">
        <v>8292</v>
      </c>
      <c r="J1982" s="21"/>
      <c r="K1982" s="21"/>
      <c r="L1982" s="21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>
        <v>1382</v>
      </c>
      <c r="W1982" s="21"/>
      <c r="X1982" s="21"/>
      <c r="Y1982" s="21"/>
      <c r="Z1982" s="21"/>
      <c r="AA1982" s="21"/>
      <c r="AB1982" s="21">
        <v>1382</v>
      </c>
      <c r="AC1982" s="21"/>
      <c r="AD1982" s="21"/>
      <c r="AE1982" s="21"/>
      <c r="AF1982" s="21"/>
      <c r="AG1982" s="21"/>
      <c r="AH1982" s="21"/>
      <c r="AI1982" s="21"/>
      <c r="AJ1982" s="21"/>
      <c r="AK1982" s="21"/>
      <c r="AL1982" s="21"/>
      <c r="AM1982" s="21"/>
      <c r="AN1982" s="21"/>
      <c r="AO1982" s="21"/>
      <c r="AP1982" s="21"/>
      <c r="AQ1982" s="21"/>
      <c r="AR1982" s="21">
        <v>1132</v>
      </c>
      <c r="AS1982" s="21">
        <v>250</v>
      </c>
      <c r="AT1982" s="12" t="str">
        <f>HYPERLINK("http://www.openstreetmap.org/?mlat=36.3081&amp;mlon=43.5437&amp;zoom=12#map=12/36.3081/43.5437","Maplink1")</f>
        <v>Maplink1</v>
      </c>
      <c r="AU1982" s="12" t="str">
        <f>HYPERLINK("https://www.google.iq/maps/search/+36.3081,43.5437/@36.3081,43.5437,14z?hl=en","Maplink2")</f>
        <v>Maplink2</v>
      </c>
      <c r="AV1982" s="12" t="str">
        <f>HYPERLINK("http://www.bing.com/maps/?lvl=14&amp;sty=h&amp;cp=36.3081~43.5437&amp;sp=point.36.3081_43.5437","Maplink3")</f>
        <v>Maplink3</v>
      </c>
    </row>
    <row r="1983" spans="1:48" ht="15" customHeight="1" x14ac:dyDescent="0.25">
      <c r="A1983" s="19">
        <v>18251</v>
      </c>
      <c r="B1983" s="20" t="s">
        <v>21</v>
      </c>
      <c r="C1983" s="20" t="s">
        <v>3623</v>
      </c>
      <c r="D1983" s="20" t="s">
        <v>3624</v>
      </c>
      <c r="E1983" s="20" t="s">
        <v>3625</v>
      </c>
      <c r="F1983" s="20">
        <v>36.663983000000002</v>
      </c>
      <c r="G1983" s="20">
        <v>43.26858</v>
      </c>
      <c r="H1983" s="22">
        <v>15</v>
      </c>
      <c r="I1983" s="22">
        <v>90</v>
      </c>
      <c r="J1983" s="21"/>
      <c r="K1983" s="21"/>
      <c r="L1983" s="21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>
        <v>15</v>
      </c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21"/>
      <c r="AH1983" s="21"/>
      <c r="AI1983" s="21"/>
      <c r="AJ1983" s="21">
        <v>15</v>
      </c>
      <c r="AK1983" s="21"/>
      <c r="AL1983" s="21"/>
      <c r="AM1983" s="21"/>
      <c r="AN1983" s="21">
        <v>15</v>
      </c>
      <c r="AO1983" s="21"/>
      <c r="AP1983" s="21"/>
      <c r="AQ1983" s="21"/>
      <c r="AR1983" s="21"/>
      <c r="AS1983" s="21"/>
      <c r="AT1983" s="12" t="str">
        <f>HYPERLINK("http://www.openstreetmap.org/?mlat=36.664&amp;mlon=43.2686&amp;zoom=12#map=12/36.664/43.2686","Maplink1")</f>
        <v>Maplink1</v>
      </c>
      <c r="AU1983" s="12" t="str">
        <f>HYPERLINK("https://www.google.iq/maps/search/+36.664,43.2686/@36.664,43.2686,14z?hl=en","Maplink2")</f>
        <v>Maplink2</v>
      </c>
      <c r="AV1983" s="12" t="str">
        <f>HYPERLINK("http://www.bing.com/maps/?lvl=14&amp;sty=h&amp;cp=36.664~43.2686&amp;sp=point.36.664_43.2686","Maplink3")</f>
        <v>Maplink3</v>
      </c>
    </row>
    <row r="1984" spans="1:48" ht="15" customHeight="1" x14ac:dyDescent="0.25">
      <c r="A1984" s="19">
        <v>17338</v>
      </c>
      <c r="B1984" s="20" t="s">
        <v>21</v>
      </c>
      <c r="C1984" s="20" t="s">
        <v>3623</v>
      </c>
      <c r="D1984" s="20" t="s">
        <v>3626</v>
      </c>
      <c r="E1984" s="20" t="s">
        <v>3627</v>
      </c>
      <c r="F1984" s="20">
        <v>36.837606299999997</v>
      </c>
      <c r="G1984" s="20">
        <v>43.336348379999997</v>
      </c>
      <c r="H1984" s="22">
        <v>110</v>
      </c>
      <c r="I1984" s="22">
        <v>660</v>
      </c>
      <c r="J1984" s="21"/>
      <c r="K1984" s="21"/>
      <c r="L1984" s="21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>
        <v>110</v>
      </c>
      <c r="W1984" s="21"/>
      <c r="X1984" s="21"/>
      <c r="Y1984" s="21"/>
      <c r="Z1984" s="21"/>
      <c r="AA1984" s="21"/>
      <c r="AB1984" s="21"/>
      <c r="AC1984" s="21">
        <v>88</v>
      </c>
      <c r="AD1984" s="21"/>
      <c r="AE1984" s="21"/>
      <c r="AF1984" s="21"/>
      <c r="AG1984" s="21"/>
      <c r="AH1984" s="21">
        <v>19</v>
      </c>
      <c r="AI1984" s="21"/>
      <c r="AJ1984" s="21">
        <v>3</v>
      </c>
      <c r="AK1984" s="21"/>
      <c r="AL1984" s="21"/>
      <c r="AM1984" s="21">
        <v>46</v>
      </c>
      <c r="AN1984" s="21">
        <v>64</v>
      </c>
      <c r="AO1984" s="21"/>
      <c r="AP1984" s="21"/>
      <c r="AQ1984" s="21"/>
      <c r="AR1984" s="21"/>
      <c r="AS1984" s="21"/>
      <c r="AT1984" s="12" t="str">
        <f>HYPERLINK("http://www.openstreetmap.org/?mlat=36.8376&amp;mlon=43.3363&amp;zoom=12#map=12/36.8376/43.3363","Maplink1")</f>
        <v>Maplink1</v>
      </c>
      <c r="AU1984" s="12" t="str">
        <f>HYPERLINK("https://www.google.iq/maps/search/+36.8376,43.3363/@36.8376,43.3363,14z?hl=en","Maplink2")</f>
        <v>Maplink2</v>
      </c>
      <c r="AV1984" s="12" t="str">
        <f>HYPERLINK("http://www.bing.com/maps/?lvl=14&amp;sty=h&amp;cp=36.8376~43.3363&amp;sp=point.36.8376_43.3363","Maplink3")</f>
        <v>Maplink3</v>
      </c>
    </row>
    <row r="1985" spans="1:48" ht="15" customHeight="1" x14ac:dyDescent="0.25">
      <c r="A1985" s="19">
        <v>17752</v>
      </c>
      <c r="B1985" s="20" t="s">
        <v>21</v>
      </c>
      <c r="C1985" s="20" t="s">
        <v>3623</v>
      </c>
      <c r="D1985" s="20" t="s">
        <v>3628</v>
      </c>
      <c r="E1985" s="20" t="s">
        <v>3629</v>
      </c>
      <c r="F1985" s="20">
        <v>36.72348539</v>
      </c>
      <c r="G1985" s="20">
        <v>43.251575340000002</v>
      </c>
      <c r="H1985" s="22">
        <v>685</v>
      </c>
      <c r="I1985" s="22">
        <v>4110</v>
      </c>
      <c r="J1985" s="21"/>
      <c r="K1985" s="21"/>
      <c r="L1985" s="21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>
        <v>685</v>
      </c>
      <c r="W1985" s="21"/>
      <c r="X1985" s="21"/>
      <c r="Y1985" s="21"/>
      <c r="Z1985" s="21"/>
      <c r="AA1985" s="21"/>
      <c r="AB1985" s="21"/>
      <c r="AC1985" s="21">
        <v>292</v>
      </c>
      <c r="AD1985" s="21"/>
      <c r="AE1985" s="21"/>
      <c r="AF1985" s="21"/>
      <c r="AG1985" s="21"/>
      <c r="AH1985" s="21">
        <v>183</v>
      </c>
      <c r="AI1985" s="21"/>
      <c r="AJ1985" s="21">
        <v>210</v>
      </c>
      <c r="AK1985" s="21"/>
      <c r="AL1985" s="21"/>
      <c r="AM1985" s="21">
        <v>11</v>
      </c>
      <c r="AN1985" s="21">
        <v>667</v>
      </c>
      <c r="AO1985" s="21"/>
      <c r="AP1985" s="21"/>
      <c r="AQ1985" s="21"/>
      <c r="AR1985" s="21"/>
      <c r="AS1985" s="21">
        <v>7</v>
      </c>
      <c r="AT1985" s="12" t="str">
        <f>HYPERLINK("http://www.openstreetmap.org/?mlat=36.7235&amp;mlon=43.2516&amp;zoom=12#map=12/36.7235/43.2516","Maplink1")</f>
        <v>Maplink1</v>
      </c>
      <c r="AU1985" s="12" t="str">
        <f>HYPERLINK("https://www.google.iq/maps/search/+36.7235,43.2516/@36.7235,43.2516,14z?hl=en","Maplink2")</f>
        <v>Maplink2</v>
      </c>
      <c r="AV1985" s="12" t="str">
        <f>HYPERLINK("http://www.bing.com/maps/?lvl=14&amp;sty=h&amp;cp=36.7235~43.2516&amp;sp=point.36.7235_43.2516","Maplink3")</f>
        <v>Maplink3</v>
      </c>
    </row>
    <row r="1986" spans="1:48" ht="15" customHeight="1" x14ac:dyDescent="0.25">
      <c r="A1986" s="19">
        <v>18294</v>
      </c>
      <c r="B1986" s="20" t="s">
        <v>21</v>
      </c>
      <c r="C1986" s="20" t="s">
        <v>3623</v>
      </c>
      <c r="D1986" s="20" t="s">
        <v>3630</v>
      </c>
      <c r="E1986" s="20" t="s">
        <v>3631</v>
      </c>
      <c r="F1986" s="20">
        <v>36.703454319999999</v>
      </c>
      <c r="G1986" s="20">
        <v>43.323777620000001</v>
      </c>
      <c r="H1986" s="22">
        <v>69</v>
      </c>
      <c r="I1986" s="22">
        <v>414</v>
      </c>
      <c r="J1986" s="21"/>
      <c r="K1986" s="21"/>
      <c r="L1986" s="21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>
        <v>69</v>
      </c>
      <c r="W1986" s="21"/>
      <c r="X1986" s="21"/>
      <c r="Y1986" s="21"/>
      <c r="Z1986" s="21"/>
      <c r="AA1986" s="21"/>
      <c r="AB1986" s="21"/>
      <c r="AC1986" s="21">
        <v>16</v>
      </c>
      <c r="AD1986" s="21"/>
      <c r="AE1986" s="21"/>
      <c r="AF1986" s="21"/>
      <c r="AG1986" s="21"/>
      <c r="AH1986" s="21">
        <v>1</v>
      </c>
      <c r="AI1986" s="21"/>
      <c r="AJ1986" s="21">
        <v>52</v>
      </c>
      <c r="AK1986" s="21"/>
      <c r="AL1986" s="21"/>
      <c r="AM1986" s="21"/>
      <c r="AN1986" s="21">
        <v>69</v>
      </c>
      <c r="AO1986" s="21"/>
      <c r="AP1986" s="21"/>
      <c r="AQ1986" s="21"/>
      <c r="AR1986" s="21"/>
      <c r="AS1986" s="21"/>
      <c r="AT1986" s="12" t="str">
        <f>HYPERLINK("http://www.openstreetmap.org/?mlat=36.7035&amp;mlon=43.3238&amp;zoom=12#map=12/36.7035/43.3238","Maplink1")</f>
        <v>Maplink1</v>
      </c>
      <c r="AU1986" s="12" t="str">
        <f>HYPERLINK("https://www.google.iq/maps/search/+36.7035,43.3238/@36.7035,43.3238,14z?hl=en","Maplink2")</f>
        <v>Maplink2</v>
      </c>
      <c r="AV1986" s="12" t="str">
        <f>HYPERLINK("http://www.bing.com/maps/?lvl=14&amp;sty=h&amp;cp=36.7035~43.3238&amp;sp=point.36.7035_43.3238","Maplink3")</f>
        <v>Maplink3</v>
      </c>
    </row>
    <row r="1987" spans="1:48" ht="15" customHeight="1" x14ac:dyDescent="0.25">
      <c r="A1987" s="19">
        <v>18265</v>
      </c>
      <c r="B1987" s="20" t="s">
        <v>21</v>
      </c>
      <c r="C1987" s="20" t="s">
        <v>3623</v>
      </c>
      <c r="D1987" s="20" t="s">
        <v>3632</v>
      </c>
      <c r="E1987" s="20" t="s">
        <v>3633</v>
      </c>
      <c r="F1987" s="20">
        <v>36.650637740000001</v>
      </c>
      <c r="G1987" s="20">
        <v>43.381057460000001</v>
      </c>
      <c r="H1987" s="22">
        <v>16</v>
      </c>
      <c r="I1987" s="22">
        <v>96</v>
      </c>
      <c r="J1987" s="21"/>
      <c r="K1987" s="21"/>
      <c r="L1987" s="21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>
        <v>16</v>
      </c>
      <c r="W1987" s="21"/>
      <c r="X1987" s="21"/>
      <c r="Y1987" s="21"/>
      <c r="Z1987" s="21"/>
      <c r="AA1987" s="21"/>
      <c r="AB1987" s="21"/>
      <c r="AC1987" s="21">
        <v>1</v>
      </c>
      <c r="AD1987" s="21"/>
      <c r="AE1987" s="21"/>
      <c r="AF1987" s="21"/>
      <c r="AG1987" s="21"/>
      <c r="AH1987" s="21"/>
      <c r="AI1987" s="21"/>
      <c r="AJ1987" s="21">
        <v>15</v>
      </c>
      <c r="AK1987" s="21"/>
      <c r="AL1987" s="21"/>
      <c r="AM1987" s="21"/>
      <c r="AN1987" s="21">
        <v>16</v>
      </c>
      <c r="AO1987" s="21"/>
      <c r="AP1987" s="21"/>
      <c r="AQ1987" s="21"/>
      <c r="AR1987" s="21"/>
      <c r="AS1987" s="21"/>
      <c r="AT1987" s="12" t="str">
        <f>HYPERLINK("http://www.openstreetmap.org/?mlat=36.6506&amp;mlon=43.3811&amp;zoom=12#map=12/36.6506/43.3811","Maplink1")</f>
        <v>Maplink1</v>
      </c>
      <c r="AU1987" s="12" t="str">
        <f>HYPERLINK("https://www.google.iq/maps/search/+36.6506,43.3811/@36.6506,43.3811,14z?hl=en","Maplink2")</f>
        <v>Maplink2</v>
      </c>
      <c r="AV1987" s="12" t="str">
        <f>HYPERLINK("http://www.bing.com/maps/?lvl=14&amp;sty=h&amp;cp=36.6506~43.3811&amp;sp=point.36.6506_43.3811","Maplink3")</f>
        <v>Maplink3</v>
      </c>
    </row>
    <row r="1988" spans="1:48" ht="15" customHeight="1" x14ac:dyDescent="0.25">
      <c r="A1988" s="19">
        <v>29608</v>
      </c>
      <c r="B1988" s="20" t="s">
        <v>21</v>
      </c>
      <c r="C1988" s="20" t="s">
        <v>3623</v>
      </c>
      <c r="D1988" s="20" t="s">
        <v>3634</v>
      </c>
      <c r="E1988" s="20" t="s">
        <v>3635</v>
      </c>
      <c r="F1988" s="20">
        <v>36.823599999999999</v>
      </c>
      <c r="G1988" s="20">
        <v>43.334152000000003</v>
      </c>
      <c r="H1988" s="22">
        <v>3</v>
      </c>
      <c r="I1988" s="22">
        <v>18</v>
      </c>
      <c r="J1988" s="21"/>
      <c r="K1988" s="21"/>
      <c r="L1988" s="21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>
        <v>3</v>
      </c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21"/>
      <c r="AH1988" s="21"/>
      <c r="AI1988" s="21"/>
      <c r="AJ1988" s="21">
        <v>3</v>
      </c>
      <c r="AK1988" s="21"/>
      <c r="AL1988" s="21"/>
      <c r="AM1988" s="21"/>
      <c r="AN1988" s="21">
        <v>3</v>
      </c>
      <c r="AO1988" s="21"/>
      <c r="AP1988" s="21"/>
      <c r="AQ1988" s="21"/>
      <c r="AR1988" s="21"/>
      <c r="AS1988" s="21"/>
      <c r="AT1988" s="12" t="str">
        <f>HYPERLINK("http://www.openstreetmap.org/?mlat=36.8236&amp;mlon=43.3342&amp;zoom=12#map=12/36.8236/43.3342","Maplink1")</f>
        <v>Maplink1</v>
      </c>
      <c r="AU1988" s="12" t="str">
        <f>HYPERLINK("https://www.google.iq/maps/search/+36.8236,43.3342/@36.8236,43.3342,14z?hl=en","Maplink2")</f>
        <v>Maplink2</v>
      </c>
      <c r="AV1988" s="12" t="str">
        <f>HYPERLINK("http://www.bing.com/maps/?lvl=14&amp;sty=h&amp;cp=36.8236~43.3342&amp;sp=point.36.8236_43.3342","Maplink3")</f>
        <v>Maplink3</v>
      </c>
    </row>
    <row r="1989" spans="1:48" ht="15" customHeight="1" x14ac:dyDescent="0.25">
      <c r="A1989" s="19">
        <v>21008</v>
      </c>
      <c r="B1989" s="20" t="s">
        <v>21</v>
      </c>
      <c r="C1989" s="20" t="s">
        <v>3623</v>
      </c>
      <c r="D1989" s="20" t="s">
        <v>3636</v>
      </c>
      <c r="E1989" s="20" t="s">
        <v>3637</v>
      </c>
      <c r="F1989" s="20">
        <v>36.637501270000001</v>
      </c>
      <c r="G1989" s="20">
        <v>43.526104269999998</v>
      </c>
      <c r="H1989" s="22">
        <v>190</v>
      </c>
      <c r="I1989" s="22">
        <v>1140</v>
      </c>
      <c r="J1989" s="21">
        <v>1</v>
      </c>
      <c r="K1989" s="21"/>
      <c r="L1989" s="21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>
        <v>189</v>
      </c>
      <c r="W1989" s="21"/>
      <c r="X1989" s="21"/>
      <c r="Y1989" s="21"/>
      <c r="Z1989" s="21"/>
      <c r="AA1989" s="21"/>
      <c r="AB1989" s="21"/>
      <c r="AC1989" s="21">
        <v>61</v>
      </c>
      <c r="AD1989" s="21"/>
      <c r="AE1989" s="21"/>
      <c r="AF1989" s="21"/>
      <c r="AG1989" s="21"/>
      <c r="AH1989" s="21">
        <v>115</v>
      </c>
      <c r="AI1989" s="21"/>
      <c r="AJ1989" s="21">
        <v>14</v>
      </c>
      <c r="AK1989" s="21"/>
      <c r="AL1989" s="21">
        <v>1</v>
      </c>
      <c r="AM1989" s="21">
        <v>130</v>
      </c>
      <c r="AN1989" s="21">
        <v>59</v>
      </c>
      <c r="AO1989" s="21"/>
      <c r="AP1989" s="21"/>
      <c r="AQ1989" s="21"/>
      <c r="AR1989" s="21"/>
      <c r="AS1989" s="21"/>
      <c r="AT1989" s="12" t="str">
        <f>HYPERLINK("http://www.openstreetmap.org/?mlat=36.6375&amp;mlon=43.5261&amp;zoom=12#map=12/36.6375/43.5261","Maplink1")</f>
        <v>Maplink1</v>
      </c>
      <c r="AU1989" s="12" t="str">
        <f>HYPERLINK("https://www.google.iq/maps/search/+36.6375,43.5261/@36.6375,43.5261,14z?hl=en","Maplink2")</f>
        <v>Maplink2</v>
      </c>
      <c r="AV1989" s="12" t="str">
        <f>HYPERLINK("http://www.bing.com/maps/?lvl=14&amp;sty=h&amp;cp=36.6375~43.5261&amp;sp=point.36.6375_43.5261","Maplink3")</f>
        <v>Maplink3</v>
      </c>
    </row>
    <row r="1990" spans="1:48" ht="15" customHeight="1" x14ac:dyDescent="0.25">
      <c r="A1990" s="19">
        <v>18246</v>
      </c>
      <c r="B1990" s="20" t="s">
        <v>21</v>
      </c>
      <c r="C1990" s="20" t="s">
        <v>3623</v>
      </c>
      <c r="D1990" s="20" t="s">
        <v>3638</v>
      </c>
      <c r="E1990" s="20" t="s">
        <v>3639</v>
      </c>
      <c r="F1990" s="20">
        <v>36.660516000000001</v>
      </c>
      <c r="G1990" s="20">
        <v>43.302072000000003</v>
      </c>
      <c r="H1990" s="22">
        <v>2</v>
      </c>
      <c r="I1990" s="22">
        <v>12</v>
      </c>
      <c r="J1990" s="21"/>
      <c r="K1990" s="21"/>
      <c r="L1990" s="21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>
        <v>2</v>
      </c>
      <c r="W1990" s="21"/>
      <c r="X1990" s="21"/>
      <c r="Y1990" s="21"/>
      <c r="Z1990" s="21"/>
      <c r="AA1990" s="21"/>
      <c r="AB1990" s="21"/>
      <c r="AC1990" s="21">
        <v>2</v>
      </c>
      <c r="AD1990" s="21"/>
      <c r="AE1990" s="21"/>
      <c r="AF1990" s="21"/>
      <c r="AG1990" s="21"/>
      <c r="AH1990" s="21"/>
      <c r="AI1990" s="21"/>
      <c r="AJ1990" s="21"/>
      <c r="AK1990" s="21"/>
      <c r="AL1990" s="21"/>
      <c r="AM1990" s="21"/>
      <c r="AN1990" s="21">
        <v>2</v>
      </c>
      <c r="AO1990" s="21"/>
      <c r="AP1990" s="21"/>
      <c r="AQ1990" s="21"/>
      <c r="AR1990" s="21"/>
      <c r="AS1990" s="21"/>
      <c r="AT1990" s="12" t="str">
        <f>HYPERLINK("http://www.openstreetmap.org/?mlat=36.6605&amp;mlon=43.3021&amp;zoom=12#map=12/36.6605/43.3021","Maplink1")</f>
        <v>Maplink1</v>
      </c>
      <c r="AU1990" s="12" t="str">
        <f>HYPERLINK("https://www.google.iq/maps/search/+36.6605,43.3021/@36.6605,43.3021,14z?hl=en","Maplink2")</f>
        <v>Maplink2</v>
      </c>
      <c r="AV1990" s="12" t="str">
        <f>HYPERLINK("http://www.bing.com/maps/?lvl=14&amp;sty=h&amp;cp=36.6605~43.3021&amp;sp=point.36.6605_43.3021","Maplink3")</f>
        <v>Maplink3</v>
      </c>
    </row>
    <row r="1991" spans="1:48" ht="15" customHeight="1" x14ac:dyDescent="0.25">
      <c r="A1991" s="19">
        <v>25945</v>
      </c>
      <c r="B1991" s="20" t="s">
        <v>21</v>
      </c>
      <c r="C1991" s="20" t="s">
        <v>3623</v>
      </c>
      <c r="D1991" s="20" t="s">
        <v>3641</v>
      </c>
      <c r="E1991" s="20" t="s">
        <v>3642</v>
      </c>
      <c r="F1991" s="20">
        <v>36.716461449999997</v>
      </c>
      <c r="G1991" s="20">
        <v>43.289361020000001</v>
      </c>
      <c r="H1991" s="22">
        <v>145</v>
      </c>
      <c r="I1991" s="22">
        <v>870</v>
      </c>
      <c r="J1991" s="21"/>
      <c r="K1991" s="21"/>
      <c r="L1991" s="21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>
        <v>145</v>
      </c>
      <c r="W1991" s="21"/>
      <c r="X1991" s="21"/>
      <c r="Y1991" s="21"/>
      <c r="Z1991" s="21"/>
      <c r="AA1991" s="21"/>
      <c r="AB1991" s="21"/>
      <c r="AC1991" s="21">
        <v>12</v>
      </c>
      <c r="AD1991" s="21"/>
      <c r="AE1991" s="21"/>
      <c r="AF1991" s="21"/>
      <c r="AG1991" s="21"/>
      <c r="AH1991" s="21">
        <v>11</v>
      </c>
      <c r="AI1991" s="21"/>
      <c r="AJ1991" s="21">
        <v>122</v>
      </c>
      <c r="AK1991" s="21"/>
      <c r="AL1991" s="21"/>
      <c r="AM1991" s="21"/>
      <c r="AN1991" s="21">
        <v>145</v>
      </c>
      <c r="AO1991" s="21"/>
      <c r="AP1991" s="21"/>
      <c r="AQ1991" s="21"/>
      <c r="AR1991" s="21"/>
      <c r="AS1991" s="21"/>
      <c r="AT1991" s="12" t="str">
        <f>HYPERLINK("http://www.openstreetmap.org/?mlat=36.7165&amp;mlon=43.2894&amp;zoom=12#map=12/36.7165/43.2894","Maplink1")</f>
        <v>Maplink1</v>
      </c>
      <c r="AU1991" s="12" t="str">
        <f>HYPERLINK("https://www.google.iq/maps/search/+36.7165,43.2894/@36.7165,43.2894,14z?hl=en","Maplink2")</f>
        <v>Maplink2</v>
      </c>
      <c r="AV1991" s="12" t="str">
        <f>HYPERLINK("http://www.bing.com/maps/?lvl=14&amp;sty=h&amp;cp=36.7165~43.2894&amp;sp=point.36.7165_43.2894","Maplink3")</f>
        <v>Maplink3</v>
      </c>
    </row>
    <row r="1992" spans="1:48" ht="15" customHeight="1" x14ac:dyDescent="0.25">
      <c r="A1992" s="19">
        <v>24796</v>
      </c>
      <c r="B1992" s="20" t="s">
        <v>21</v>
      </c>
      <c r="C1992" s="20" t="s">
        <v>3623</v>
      </c>
      <c r="D1992" s="20" t="s">
        <v>6163</v>
      </c>
      <c r="E1992" s="20" t="s">
        <v>3640</v>
      </c>
      <c r="F1992" s="20">
        <v>36.722152999999999</v>
      </c>
      <c r="G1992" s="20">
        <v>43.266188999999997</v>
      </c>
      <c r="H1992" s="22">
        <v>2721</v>
      </c>
      <c r="I1992" s="22">
        <v>16326</v>
      </c>
      <c r="J1992" s="21"/>
      <c r="K1992" s="21"/>
      <c r="L1992" s="21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>
        <v>2721</v>
      </c>
      <c r="W1992" s="21"/>
      <c r="X1992" s="21"/>
      <c r="Y1992" s="21"/>
      <c r="Z1992" s="21"/>
      <c r="AA1992" s="21"/>
      <c r="AB1992" s="21">
        <v>2721</v>
      </c>
      <c r="AC1992" s="21"/>
      <c r="AD1992" s="21"/>
      <c r="AE1992" s="21"/>
      <c r="AF1992" s="21"/>
      <c r="AG1992" s="21"/>
      <c r="AH1992" s="21"/>
      <c r="AI1992" s="21"/>
      <c r="AJ1992" s="21"/>
      <c r="AK1992" s="21"/>
      <c r="AL1992" s="21"/>
      <c r="AM1992" s="21"/>
      <c r="AN1992" s="21">
        <v>2694</v>
      </c>
      <c r="AO1992" s="21"/>
      <c r="AP1992" s="21"/>
      <c r="AQ1992" s="21"/>
      <c r="AR1992" s="21"/>
      <c r="AS1992" s="21">
        <v>27</v>
      </c>
      <c r="AT1992" s="12" t="str">
        <f>HYPERLINK("http://www.openstreetmap.org/?mlat=36.7222&amp;mlon=43.2662&amp;zoom=12#map=12/36.7222/43.2662","Maplink1")</f>
        <v>Maplink1</v>
      </c>
      <c r="AU1992" s="12" t="str">
        <f>HYPERLINK("https://www.google.iq/maps/search/+36.7222,43.2662/@36.7222,43.2662,14z?hl=en","Maplink2")</f>
        <v>Maplink2</v>
      </c>
      <c r="AV1992" s="12" t="str">
        <f>HYPERLINK("http://www.bing.com/maps/?lvl=14&amp;sty=h&amp;cp=36.7222~43.2662&amp;sp=point.36.7222_43.2662","Maplink3")</f>
        <v>Maplink3</v>
      </c>
    </row>
    <row r="1993" spans="1:48" ht="15" customHeight="1" x14ac:dyDescent="0.25">
      <c r="A1993" s="19">
        <v>18058</v>
      </c>
      <c r="B1993" s="20" t="s">
        <v>21</v>
      </c>
      <c r="C1993" s="20" t="s">
        <v>3623</v>
      </c>
      <c r="D1993" s="20" t="s">
        <v>3643</v>
      </c>
      <c r="E1993" s="20" t="s">
        <v>3644</v>
      </c>
      <c r="F1993" s="20">
        <v>36.581164909999998</v>
      </c>
      <c r="G1993" s="20">
        <v>43.520316979999997</v>
      </c>
      <c r="H1993" s="22">
        <v>309</v>
      </c>
      <c r="I1993" s="22">
        <v>1854</v>
      </c>
      <c r="J1993" s="21"/>
      <c r="K1993" s="21"/>
      <c r="L1993" s="21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>
        <v>309</v>
      </c>
      <c r="W1993" s="21"/>
      <c r="X1993" s="21"/>
      <c r="Y1993" s="21"/>
      <c r="Z1993" s="21"/>
      <c r="AA1993" s="21"/>
      <c r="AB1993" s="21"/>
      <c r="AC1993" s="21">
        <v>46</v>
      </c>
      <c r="AD1993" s="21"/>
      <c r="AE1993" s="21"/>
      <c r="AF1993" s="21"/>
      <c r="AG1993" s="21"/>
      <c r="AH1993" s="21">
        <v>261</v>
      </c>
      <c r="AI1993" s="21"/>
      <c r="AJ1993" s="21">
        <v>2</v>
      </c>
      <c r="AK1993" s="21"/>
      <c r="AL1993" s="21"/>
      <c r="AM1993" s="21">
        <v>253</v>
      </c>
      <c r="AN1993" s="21">
        <v>55</v>
      </c>
      <c r="AO1993" s="21"/>
      <c r="AP1993" s="21"/>
      <c r="AQ1993" s="21"/>
      <c r="AR1993" s="21"/>
      <c r="AS1993" s="21">
        <v>1</v>
      </c>
      <c r="AT1993" s="12" t="str">
        <f>HYPERLINK("http://www.openstreetmap.org/?mlat=36.5812&amp;mlon=43.5203&amp;zoom=12#map=12/36.5812/43.5203","Maplink1")</f>
        <v>Maplink1</v>
      </c>
      <c r="AU1993" s="12" t="str">
        <f>HYPERLINK("https://www.google.iq/maps/search/+36.5812,43.5203/@36.5812,43.5203,14z?hl=en","Maplink2")</f>
        <v>Maplink2</v>
      </c>
      <c r="AV1993" s="12" t="str">
        <f>HYPERLINK("http://www.bing.com/maps/?lvl=14&amp;sty=h&amp;cp=36.5812~43.5203&amp;sp=point.36.5812_43.5203","Maplink3")</f>
        <v>Maplink3</v>
      </c>
    </row>
    <row r="1994" spans="1:48" ht="15" customHeight="1" x14ac:dyDescent="0.25">
      <c r="A1994" s="19">
        <v>18213</v>
      </c>
      <c r="B1994" s="20" t="s">
        <v>21</v>
      </c>
      <c r="C1994" s="20" t="s">
        <v>3623</v>
      </c>
      <c r="D1994" s="20" t="s">
        <v>3645</v>
      </c>
      <c r="E1994" s="20" t="s">
        <v>3646</v>
      </c>
      <c r="F1994" s="20">
        <v>36.772344760000003</v>
      </c>
      <c r="G1994" s="20">
        <v>43.309013059999998</v>
      </c>
      <c r="H1994" s="22">
        <v>5</v>
      </c>
      <c r="I1994" s="22">
        <v>30</v>
      </c>
      <c r="J1994" s="21"/>
      <c r="K1994" s="21"/>
      <c r="L1994" s="21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>
        <v>5</v>
      </c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21">
        <v>5</v>
      </c>
      <c r="AH1994" s="21"/>
      <c r="AI1994" s="21"/>
      <c r="AJ1994" s="21"/>
      <c r="AK1994" s="21"/>
      <c r="AL1994" s="21"/>
      <c r="AM1994" s="21"/>
      <c r="AN1994" s="21">
        <v>5</v>
      </c>
      <c r="AO1994" s="21"/>
      <c r="AP1994" s="21"/>
      <c r="AQ1994" s="21"/>
      <c r="AR1994" s="21"/>
      <c r="AS1994" s="21"/>
      <c r="AT1994" s="12" t="str">
        <f>HYPERLINK("http://www.openstreetmap.org/?mlat=36.7723&amp;mlon=43.309&amp;zoom=12#map=12/36.7723/43.309","Maplink1")</f>
        <v>Maplink1</v>
      </c>
      <c r="AU1994" s="12" t="str">
        <f>HYPERLINK("https://www.google.iq/maps/search/+36.7723,43.309/@36.7723,43.309,14z?hl=en","Maplink2")</f>
        <v>Maplink2</v>
      </c>
      <c r="AV1994" s="12" t="str">
        <f>HYPERLINK("http://www.bing.com/maps/?lvl=14&amp;sty=h&amp;cp=36.7723~43.309&amp;sp=point.36.7723_43.309","Maplink3")</f>
        <v>Maplink3</v>
      </c>
    </row>
    <row r="1995" spans="1:48" ht="15" customHeight="1" x14ac:dyDescent="0.25">
      <c r="A1995" s="19">
        <v>17535</v>
      </c>
      <c r="B1995" s="20" t="s">
        <v>21</v>
      </c>
      <c r="C1995" s="20" t="s">
        <v>3623</v>
      </c>
      <c r="D1995" s="20" t="s">
        <v>3647</v>
      </c>
      <c r="E1995" s="20" t="s">
        <v>3648</v>
      </c>
      <c r="F1995" s="20">
        <v>36.64930622</v>
      </c>
      <c r="G1995" s="20">
        <v>43.406973200000003</v>
      </c>
      <c r="H1995" s="22">
        <v>245</v>
      </c>
      <c r="I1995" s="22">
        <v>1470</v>
      </c>
      <c r="J1995" s="21"/>
      <c r="K1995" s="21"/>
      <c r="L1995" s="21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>
        <v>245</v>
      </c>
      <c r="W1995" s="21"/>
      <c r="X1995" s="21"/>
      <c r="Y1995" s="21"/>
      <c r="Z1995" s="21"/>
      <c r="AA1995" s="21"/>
      <c r="AB1995" s="21"/>
      <c r="AC1995" s="21">
        <v>140</v>
      </c>
      <c r="AD1995" s="21"/>
      <c r="AE1995" s="21"/>
      <c r="AF1995" s="21"/>
      <c r="AG1995" s="21"/>
      <c r="AH1995" s="21">
        <v>17</v>
      </c>
      <c r="AI1995" s="21"/>
      <c r="AJ1995" s="21">
        <v>88</v>
      </c>
      <c r="AK1995" s="21"/>
      <c r="AL1995" s="21"/>
      <c r="AM1995" s="21"/>
      <c r="AN1995" s="21">
        <v>245</v>
      </c>
      <c r="AO1995" s="21"/>
      <c r="AP1995" s="21"/>
      <c r="AQ1995" s="21"/>
      <c r="AR1995" s="21"/>
      <c r="AS1995" s="21"/>
      <c r="AT1995" s="12" t="str">
        <f>HYPERLINK("http://www.openstreetmap.org/?mlat=36.6493&amp;mlon=43.407&amp;zoom=12#map=12/36.6493/43.407","Maplink1")</f>
        <v>Maplink1</v>
      </c>
      <c r="AU1995" s="12" t="str">
        <f>HYPERLINK("https://www.google.iq/maps/search/+36.6493,43.407/@36.6493,43.407,14z?hl=en","Maplink2")</f>
        <v>Maplink2</v>
      </c>
      <c r="AV1995" s="12" t="str">
        <f>HYPERLINK("http://www.bing.com/maps/?lvl=14&amp;sty=h&amp;cp=36.6493~43.407&amp;sp=point.36.6493_43.407","Maplink3")</f>
        <v>Maplink3</v>
      </c>
    </row>
    <row r="1996" spans="1:48" ht="15" customHeight="1" x14ac:dyDescent="0.25">
      <c r="A1996" s="19">
        <v>17532</v>
      </c>
      <c r="B1996" s="20" t="s">
        <v>21</v>
      </c>
      <c r="C1996" s="20" t="s">
        <v>3623</v>
      </c>
      <c r="D1996" s="20" t="s">
        <v>3650</v>
      </c>
      <c r="E1996" s="20" t="s">
        <v>3651</v>
      </c>
      <c r="F1996" s="20">
        <v>36.666712189999998</v>
      </c>
      <c r="G1996" s="20">
        <v>43.42688596</v>
      </c>
      <c r="H1996" s="22">
        <v>24</v>
      </c>
      <c r="I1996" s="22">
        <v>144</v>
      </c>
      <c r="J1996" s="21"/>
      <c r="K1996" s="21"/>
      <c r="L1996" s="21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>
        <v>24</v>
      </c>
      <c r="W1996" s="21"/>
      <c r="X1996" s="21"/>
      <c r="Y1996" s="21"/>
      <c r="Z1996" s="21"/>
      <c r="AA1996" s="21"/>
      <c r="AB1996" s="21"/>
      <c r="AC1996" s="21">
        <v>13</v>
      </c>
      <c r="AD1996" s="21"/>
      <c r="AE1996" s="21"/>
      <c r="AF1996" s="21"/>
      <c r="AG1996" s="21"/>
      <c r="AH1996" s="21"/>
      <c r="AI1996" s="21"/>
      <c r="AJ1996" s="21">
        <v>11</v>
      </c>
      <c r="AK1996" s="21"/>
      <c r="AL1996" s="21"/>
      <c r="AM1996" s="21"/>
      <c r="AN1996" s="21">
        <v>24</v>
      </c>
      <c r="AO1996" s="21"/>
      <c r="AP1996" s="21"/>
      <c r="AQ1996" s="21"/>
      <c r="AR1996" s="21"/>
      <c r="AS1996" s="21"/>
      <c r="AT1996" s="12" t="str">
        <f>HYPERLINK("http://www.openstreetmap.org/?mlat=36.6667&amp;mlon=43.4269&amp;zoom=12#map=12/36.6667/43.4269","Maplink1")</f>
        <v>Maplink1</v>
      </c>
      <c r="AU1996" s="12" t="str">
        <f>HYPERLINK("https://www.google.iq/maps/search/+36.6667,43.4269/@36.6667,43.4269,14z?hl=en","Maplink2")</f>
        <v>Maplink2</v>
      </c>
      <c r="AV1996" s="12" t="str">
        <f>HYPERLINK("http://www.bing.com/maps/?lvl=14&amp;sty=h&amp;cp=36.6667~43.4269&amp;sp=point.36.6667_43.4269","Maplink3")</f>
        <v>Maplink3</v>
      </c>
    </row>
    <row r="1997" spans="1:48" ht="15" customHeight="1" x14ac:dyDescent="0.25">
      <c r="A1997" s="19">
        <v>27230</v>
      </c>
      <c r="B1997" s="20" t="s">
        <v>21</v>
      </c>
      <c r="C1997" s="20" t="s">
        <v>3623</v>
      </c>
      <c r="D1997" s="20" t="s">
        <v>6164</v>
      </c>
      <c r="E1997" s="20" t="s">
        <v>3649</v>
      </c>
      <c r="F1997" s="20">
        <v>36.672381999999999</v>
      </c>
      <c r="G1997" s="20">
        <v>43.434327000000003</v>
      </c>
      <c r="H1997" s="22">
        <v>1696</v>
      </c>
      <c r="I1997" s="22">
        <v>10176</v>
      </c>
      <c r="J1997" s="21"/>
      <c r="K1997" s="21"/>
      <c r="L1997" s="21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>
        <v>1696</v>
      </c>
      <c r="W1997" s="21"/>
      <c r="X1997" s="21"/>
      <c r="Y1997" s="21"/>
      <c r="Z1997" s="21"/>
      <c r="AA1997" s="21"/>
      <c r="AB1997" s="21">
        <v>1696</v>
      </c>
      <c r="AC1997" s="21"/>
      <c r="AD1997" s="21"/>
      <c r="AE1997" s="21"/>
      <c r="AF1997" s="21"/>
      <c r="AG1997" s="21"/>
      <c r="AH1997" s="21"/>
      <c r="AI1997" s="21"/>
      <c r="AJ1997" s="21"/>
      <c r="AK1997" s="21"/>
      <c r="AL1997" s="21"/>
      <c r="AM1997" s="21"/>
      <c r="AN1997" s="21">
        <v>1696</v>
      </c>
      <c r="AO1997" s="21"/>
      <c r="AP1997" s="21"/>
      <c r="AQ1997" s="21"/>
      <c r="AR1997" s="21"/>
      <c r="AS1997" s="21"/>
      <c r="AT1997" s="12" t="str">
        <f>HYPERLINK("http://www.openstreetmap.org/?mlat=36.6724&amp;mlon=43.4343&amp;zoom=12#map=12/36.6724/43.4343","Maplink1")</f>
        <v>Maplink1</v>
      </c>
      <c r="AU1997" s="12" t="str">
        <f>HYPERLINK("https://www.google.iq/maps/search/+36.6724,43.4343/@36.6724,43.4343,14z?hl=en","Maplink2")</f>
        <v>Maplink2</v>
      </c>
      <c r="AV1997" s="12" t="str">
        <f>HYPERLINK("http://www.bing.com/maps/?lvl=14&amp;sty=h&amp;cp=36.6724~43.4343&amp;sp=point.36.6724_43.4343","Maplink3")</f>
        <v>Maplink3</v>
      </c>
    </row>
    <row r="1998" spans="1:48" ht="15" customHeight="1" x14ac:dyDescent="0.25">
      <c r="A1998" s="19">
        <v>16949</v>
      </c>
      <c r="B1998" s="20" t="s">
        <v>21</v>
      </c>
      <c r="C1998" s="20" t="s">
        <v>3623</v>
      </c>
      <c r="D1998" s="20" t="s">
        <v>3652</v>
      </c>
      <c r="E1998" s="20" t="s">
        <v>3653</v>
      </c>
      <c r="F1998" s="20">
        <v>36.804839999999999</v>
      </c>
      <c r="G1998" s="20">
        <v>43.511971000000003</v>
      </c>
      <c r="H1998" s="22">
        <v>6</v>
      </c>
      <c r="I1998" s="22">
        <v>36</v>
      </c>
      <c r="J1998" s="21"/>
      <c r="K1998" s="21"/>
      <c r="L1998" s="21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>
        <v>6</v>
      </c>
      <c r="W1998" s="21"/>
      <c r="X1998" s="21"/>
      <c r="Y1998" s="21"/>
      <c r="Z1998" s="21"/>
      <c r="AA1998" s="21"/>
      <c r="AB1998" s="21"/>
      <c r="AC1998" s="21">
        <v>6</v>
      </c>
      <c r="AD1998" s="21"/>
      <c r="AE1998" s="21"/>
      <c r="AF1998" s="21"/>
      <c r="AG1998" s="21"/>
      <c r="AH1998" s="21"/>
      <c r="AI1998" s="21"/>
      <c r="AJ1998" s="21"/>
      <c r="AK1998" s="21"/>
      <c r="AL1998" s="21"/>
      <c r="AM1998" s="21"/>
      <c r="AN1998" s="21">
        <v>6</v>
      </c>
      <c r="AO1998" s="21"/>
      <c r="AP1998" s="21"/>
      <c r="AQ1998" s="21"/>
      <c r="AR1998" s="21"/>
      <c r="AS1998" s="21"/>
      <c r="AT1998" s="12" t="str">
        <f>HYPERLINK("http://www.openstreetmap.org/?mlat=36.8048&amp;mlon=43.512&amp;zoom=12#map=12/36.8048/43.512","Maplink1")</f>
        <v>Maplink1</v>
      </c>
      <c r="AU1998" s="12" t="str">
        <f>HYPERLINK("https://www.google.iq/maps/search/+36.8048,43.512/@36.8048,43.512,14z?hl=en","Maplink2")</f>
        <v>Maplink2</v>
      </c>
      <c r="AV1998" s="12" t="str">
        <f>HYPERLINK("http://www.bing.com/maps/?lvl=14&amp;sty=h&amp;cp=36.8048~43.512&amp;sp=point.36.8048_43.512","Maplink3")</f>
        <v>Maplink3</v>
      </c>
    </row>
    <row r="1999" spans="1:48" ht="15" customHeight="1" x14ac:dyDescent="0.25">
      <c r="A1999" s="19">
        <v>18205</v>
      </c>
      <c r="B1999" s="20" t="s">
        <v>21</v>
      </c>
      <c r="C1999" s="20" t="s">
        <v>3623</v>
      </c>
      <c r="D1999" s="20" t="s">
        <v>3654</v>
      </c>
      <c r="E1999" s="20" t="s">
        <v>3655</v>
      </c>
      <c r="F1999" s="20">
        <v>36.602629</v>
      </c>
      <c r="G1999" s="20">
        <v>43.502090000000003</v>
      </c>
      <c r="H1999" s="22">
        <v>6</v>
      </c>
      <c r="I1999" s="22">
        <v>36</v>
      </c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>
        <v>6</v>
      </c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21"/>
      <c r="AH1999" s="21"/>
      <c r="AI1999" s="21"/>
      <c r="AJ1999" s="21">
        <v>6</v>
      </c>
      <c r="AK1999" s="21"/>
      <c r="AL1999" s="21"/>
      <c r="AM1999" s="21">
        <v>1</v>
      </c>
      <c r="AN1999" s="21">
        <v>5</v>
      </c>
      <c r="AO1999" s="21"/>
      <c r="AP1999" s="21"/>
      <c r="AQ1999" s="21"/>
      <c r="AR1999" s="21"/>
      <c r="AS1999" s="21"/>
      <c r="AT1999" s="12" t="str">
        <f>HYPERLINK("http://www.openstreetmap.org/?mlat=36.6026&amp;mlon=43.5021&amp;zoom=12#map=12/36.6026/43.5021","Maplink1")</f>
        <v>Maplink1</v>
      </c>
      <c r="AU1999" s="12" t="str">
        <f>HYPERLINK("https://www.google.iq/maps/search/+36.6026,43.5021/@36.6026,43.5021,14z?hl=en","Maplink2")</f>
        <v>Maplink2</v>
      </c>
      <c r="AV1999" s="12" t="str">
        <f>HYPERLINK("http://www.bing.com/maps/?lvl=14&amp;sty=h&amp;cp=36.6026~43.5021&amp;sp=point.36.6026_43.5021","Maplink3")</f>
        <v>Maplink3</v>
      </c>
    </row>
    <row r="2000" spans="1:48" ht="15" customHeight="1" x14ac:dyDescent="0.25">
      <c r="A2000" s="19">
        <v>29672</v>
      </c>
      <c r="B2000" s="20" t="s">
        <v>21</v>
      </c>
      <c r="C2000" s="20" t="s">
        <v>3623</v>
      </c>
      <c r="D2000" s="20" t="s">
        <v>3656</v>
      </c>
      <c r="E2000" s="20" t="s">
        <v>3657</v>
      </c>
      <c r="F2000" s="20">
        <v>36.644145999999999</v>
      </c>
      <c r="G2000" s="20">
        <v>43.469262000000001</v>
      </c>
      <c r="H2000" s="22">
        <v>17</v>
      </c>
      <c r="I2000" s="22">
        <v>102</v>
      </c>
      <c r="J2000" s="21"/>
      <c r="K2000" s="21"/>
      <c r="L2000" s="21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>
        <v>17</v>
      </c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21"/>
      <c r="AH2000" s="21">
        <v>7</v>
      </c>
      <c r="AI2000" s="21"/>
      <c r="AJ2000" s="21">
        <v>10</v>
      </c>
      <c r="AK2000" s="21"/>
      <c r="AL2000" s="21"/>
      <c r="AM2000" s="21"/>
      <c r="AN2000" s="21">
        <v>17</v>
      </c>
      <c r="AO2000" s="21"/>
      <c r="AP2000" s="21"/>
      <c r="AQ2000" s="21"/>
      <c r="AR2000" s="21"/>
      <c r="AS2000" s="21"/>
      <c r="AT2000" s="12" t="str">
        <f>HYPERLINK("http://www.openstreetmap.org/?mlat=36.6441&amp;mlon=43.4693&amp;zoom=12#map=12/36.6441/43.4693","Maplink1")</f>
        <v>Maplink1</v>
      </c>
      <c r="AU2000" s="12" t="str">
        <f>HYPERLINK("https://www.google.iq/maps/search/+36.6441,43.4693/@36.6441,43.4693,14z?hl=en","Maplink2")</f>
        <v>Maplink2</v>
      </c>
      <c r="AV2000" s="12" t="str">
        <f>HYPERLINK("http://www.bing.com/maps/?lvl=14&amp;sty=h&amp;cp=36.6441~43.4693&amp;sp=point.36.6441_43.4693","Maplink3")</f>
        <v>Maplink3</v>
      </c>
    </row>
    <row r="2001" spans="1:48" ht="15" customHeight="1" x14ac:dyDescent="0.25">
      <c r="A2001" s="19">
        <v>18199</v>
      </c>
      <c r="B2001" s="20" t="s">
        <v>21</v>
      </c>
      <c r="C2001" s="20" t="s">
        <v>3623</v>
      </c>
      <c r="D2001" s="20" t="s">
        <v>3658</v>
      </c>
      <c r="E2001" s="20" t="s">
        <v>3659</v>
      </c>
      <c r="F2001" s="20">
        <v>36.699862420000002</v>
      </c>
      <c r="G2001" s="20">
        <v>43.59582528</v>
      </c>
      <c r="H2001" s="22">
        <v>296</v>
      </c>
      <c r="I2001" s="22">
        <v>1776</v>
      </c>
      <c r="J2001" s="21"/>
      <c r="K2001" s="21"/>
      <c r="L2001" s="21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>
        <v>296</v>
      </c>
      <c r="W2001" s="21"/>
      <c r="X2001" s="21"/>
      <c r="Y2001" s="21"/>
      <c r="Z2001" s="21"/>
      <c r="AA2001" s="21"/>
      <c r="AB2001" s="21"/>
      <c r="AC2001" s="21">
        <v>112</v>
      </c>
      <c r="AD2001" s="21"/>
      <c r="AE2001" s="21"/>
      <c r="AF2001" s="21"/>
      <c r="AG2001" s="21"/>
      <c r="AH2001" s="21">
        <v>178</v>
      </c>
      <c r="AI2001" s="21"/>
      <c r="AJ2001" s="21">
        <v>6</v>
      </c>
      <c r="AK2001" s="21"/>
      <c r="AL2001" s="21"/>
      <c r="AM2001" s="21">
        <v>184</v>
      </c>
      <c r="AN2001" s="21">
        <v>112</v>
      </c>
      <c r="AO2001" s="21"/>
      <c r="AP2001" s="21"/>
      <c r="AQ2001" s="21"/>
      <c r="AR2001" s="21"/>
      <c r="AS2001" s="21"/>
      <c r="AT2001" s="12" t="str">
        <f>HYPERLINK("http://www.openstreetmap.org/?mlat=36.6999&amp;mlon=43.5958&amp;zoom=12#map=12/36.6999/43.5958","Maplink1")</f>
        <v>Maplink1</v>
      </c>
      <c r="AU2001" s="12" t="str">
        <f>HYPERLINK("https://www.google.iq/maps/search/+36.6999,43.5958/@36.6999,43.5958,14z?hl=en","Maplink2")</f>
        <v>Maplink2</v>
      </c>
      <c r="AV2001" s="12" t="str">
        <f>HYPERLINK("http://www.bing.com/maps/?lvl=14&amp;sty=h&amp;cp=36.6999~43.5958&amp;sp=point.36.6999_43.5958","Maplink3")</f>
        <v>Maplink3</v>
      </c>
    </row>
    <row r="2002" spans="1:48" ht="15" customHeight="1" x14ac:dyDescent="0.25">
      <c r="A2002" s="19">
        <v>25817</v>
      </c>
      <c r="B2002" s="20" t="s">
        <v>21</v>
      </c>
      <c r="C2002" s="20" t="s">
        <v>3623</v>
      </c>
      <c r="D2002" s="20" t="s">
        <v>3660</v>
      </c>
      <c r="E2002" s="20" t="s">
        <v>3661</v>
      </c>
      <c r="F2002" s="20">
        <v>36.670104000000002</v>
      </c>
      <c r="G2002" s="20">
        <v>43.342841</v>
      </c>
      <c r="H2002" s="22">
        <v>856</v>
      </c>
      <c r="I2002" s="22">
        <v>5136</v>
      </c>
      <c r="J2002" s="21"/>
      <c r="K2002" s="21"/>
      <c r="L2002" s="21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>
        <v>856</v>
      </c>
      <c r="W2002" s="21"/>
      <c r="X2002" s="21"/>
      <c r="Y2002" s="21"/>
      <c r="Z2002" s="21"/>
      <c r="AA2002" s="21"/>
      <c r="AB2002" s="21">
        <v>856</v>
      </c>
      <c r="AC2002" s="21"/>
      <c r="AD2002" s="21"/>
      <c r="AE2002" s="21"/>
      <c r="AF2002" s="21"/>
      <c r="AG2002" s="21"/>
      <c r="AH2002" s="21"/>
      <c r="AI2002" s="21"/>
      <c r="AJ2002" s="21"/>
      <c r="AK2002" s="21"/>
      <c r="AL2002" s="21"/>
      <c r="AM2002" s="21"/>
      <c r="AN2002" s="21">
        <v>856</v>
      </c>
      <c r="AO2002" s="21"/>
      <c r="AP2002" s="21"/>
      <c r="AQ2002" s="21"/>
      <c r="AR2002" s="21"/>
      <c r="AS2002" s="21"/>
      <c r="AT2002" s="12" t="str">
        <f>HYPERLINK("http://www.openstreetmap.org/?mlat=36.6701&amp;mlon=43.3428&amp;zoom=12#map=12/36.6701/43.3428","Maplink1")</f>
        <v>Maplink1</v>
      </c>
      <c r="AU2002" s="12" t="str">
        <f>HYPERLINK("https://www.google.iq/maps/search/+36.6701,43.3428/@36.6701,43.3428,14z?hl=en","Maplink2")</f>
        <v>Maplink2</v>
      </c>
      <c r="AV2002" s="12" t="str">
        <f>HYPERLINK("http://www.bing.com/maps/?lvl=14&amp;sty=h&amp;cp=36.6701~43.3428&amp;sp=point.36.6701_43.3428","Maplink3")</f>
        <v>Maplink3</v>
      </c>
    </row>
    <row r="2003" spans="1:48" ht="15" customHeight="1" x14ac:dyDescent="0.25">
      <c r="A2003" s="19">
        <v>17333</v>
      </c>
      <c r="B2003" s="20" t="s">
        <v>21</v>
      </c>
      <c r="C2003" s="20" t="s">
        <v>3623</v>
      </c>
      <c r="D2003" s="20" t="s">
        <v>3662</v>
      </c>
      <c r="E2003" s="20" t="s">
        <v>3663</v>
      </c>
      <c r="F2003" s="20">
        <v>36.684882369999997</v>
      </c>
      <c r="G2003" s="20">
        <v>43.341059170000001</v>
      </c>
      <c r="H2003" s="22">
        <v>1606</v>
      </c>
      <c r="I2003" s="22">
        <v>9636</v>
      </c>
      <c r="J2003" s="21"/>
      <c r="K2003" s="21"/>
      <c r="L2003" s="21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>
        <v>1606</v>
      </c>
      <c r="W2003" s="21"/>
      <c r="X2003" s="21"/>
      <c r="Y2003" s="21"/>
      <c r="Z2003" s="21"/>
      <c r="AA2003" s="21"/>
      <c r="AB2003" s="21"/>
      <c r="AC2003" s="21">
        <v>470</v>
      </c>
      <c r="AD2003" s="21"/>
      <c r="AE2003" s="21"/>
      <c r="AF2003" s="21"/>
      <c r="AG2003" s="21"/>
      <c r="AH2003" s="21">
        <v>794</v>
      </c>
      <c r="AI2003" s="21"/>
      <c r="AJ2003" s="21">
        <v>342</v>
      </c>
      <c r="AK2003" s="21"/>
      <c r="AL2003" s="21"/>
      <c r="AM2003" s="21">
        <v>698</v>
      </c>
      <c r="AN2003" s="21">
        <v>826</v>
      </c>
      <c r="AO2003" s="21"/>
      <c r="AP2003" s="21"/>
      <c r="AQ2003" s="21"/>
      <c r="AR2003" s="21">
        <v>15</v>
      </c>
      <c r="AS2003" s="21">
        <v>67</v>
      </c>
      <c r="AT2003" s="12" t="str">
        <f>HYPERLINK("http://www.openstreetmap.org/?mlat=36.6849&amp;mlon=43.3411&amp;zoom=12#map=12/36.6849/43.3411","Maplink1")</f>
        <v>Maplink1</v>
      </c>
      <c r="AU2003" s="12" t="str">
        <f>HYPERLINK("https://www.google.iq/maps/search/+36.6849,43.3411/@36.6849,43.3411,14z?hl=en","Maplink2")</f>
        <v>Maplink2</v>
      </c>
      <c r="AV2003" s="12" t="str">
        <f>HYPERLINK("http://www.bing.com/maps/?lvl=14&amp;sty=h&amp;cp=36.6849~43.3411&amp;sp=point.36.6849_43.3411","Maplink3")</f>
        <v>Maplink3</v>
      </c>
    </row>
    <row r="2004" spans="1:48" ht="15" customHeight="1" x14ac:dyDescent="0.25">
      <c r="A2004" s="19">
        <v>18220</v>
      </c>
      <c r="B2004" s="20" t="s">
        <v>21</v>
      </c>
      <c r="C2004" s="20" t="s">
        <v>3623</v>
      </c>
      <c r="D2004" s="20" t="s">
        <v>3664</v>
      </c>
      <c r="E2004" s="20" t="s">
        <v>3665</v>
      </c>
      <c r="F2004" s="20">
        <v>36.594529000000001</v>
      </c>
      <c r="G2004" s="20">
        <v>43.480080000000001</v>
      </c>
      <c r="H2004" s="22">
        <v>13</v>
      </c>
      <c r="I2004" s="22">
        <v>78</v>
      </c>
      <c r="J2004" s="21"/>
      <c r="K2004" s="21"/>
      <c r="L2004" s="21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>
        <v>13</v>
      </c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21"/>
      <c r="AH2004" s="21"/>
      <c r="AI2004" s="21"/>
      <c r="AJ2004" s="21">
        <v>13</v>
      </c>
      <c r="AK2004" s="21"/>
      <c r="AL2004" s="21"/>
      <c r="AM2004" s="21">
        <v>3</v>
      </c>
      <c r="AN2004" s="21">
        <v>10</v>
      </c>
      <c r="AO2004" s="21"/>
      <c r="AP2004" s="21"/>
      <c r="AQ2004" s="21"/>
      <c r="AR2004" s="21"/>
      <c r="AS2004" s="21"/>
      <c r="AT2004" s="12" t="str">
        <f>HYPERLINK("http://www.openstreetmap.org/?mlat=36.5945&amp;mlon=43.4801&amp;zoom=12#map=12/36.5945/43.4801","Maplink1")</f>
        <v>Maplink1</v>
      </c>
      <c r="AU2004" s="12" t="str">
        <f>HYPERLINK("https://www.google.iq/maps/search/+36.5945,43.4801/@36.5945,43.4801,14z?hl=en","Maplink2")</f>
        <v>Maplink2</v>
      </c>
      <c r="AV2004" s="12" t="str">
        <f>HYPERLINK("http://www.bing.com/maps/?lvl=14&amp;sty=h&amp;cp=36.5945~43.4801&amp;sp=point.36.5945_43.4801","Maplink3")</f>
        <v>Maplink3</v>
      </c>
    </row>
    <row r="2005" spans="1:48" ht="15" customHeight="1" x14ac:dyDescent="0.25">
      <c r="A2005" s="19">
        <v>17981</v>
      </c>
      <c r="B2005" s="20" t="s">
        <v>21</v>
      </c>
      <c r="C2005" s="20" t="s">
        <v>3623</v>
      </c>
      <c r="D2005" s="20" t="s">
        <v>3666</v>
      </c>
      <c r="E2005" s="20" t="s">
        <v>3667</v>
      </c>
      <c r="F2005" s="20">
        <v>36.57282155</v>
      </c>
      <c r="G2005" s="20">
        <v>43.370541070000002</v>
      </c>
      <c r="H2005" s="22">
        <v>60</v>
      </c>
      <c r="I2005" s="22">
        <v>360</v>
      </c>
      <c r="J2005" s="21"/>
      <c r="K2005" s="21"/>
      <c r="L2005" s="21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>
        <v>60</v>
      </c>
      <c r="W2005" s="21"/>
      <c r="X2005" s="21"/>
      <c r="Y2005" s="21"/>
      <c r="Z2005" s="21"/>
      <c r="AA2005" s="21"/>
      <c r="AB2005" s="21"/>
      <c r="AC2005" s="21">
        <v>32</v>
      </c>
      <c r="AD2005" s="21"/>
      <c r="AE2005" s="21"/>
      <c r="AF2005" s="21"/>
      <c r="AG2005" s="21"/>
      <c r="AH2005" s="21"/>
      <c r="AI2005" s="21"/>
      <c r="AJ2005" s="21">
        <v>28</v>
      </c>
      <c r="AK2005" s="21"/>
      <c r="AL2005" s="21"/>
      <c r="AM2005" s="21">
        <v>50</v>
      </c>
      <c r="AN2005" s="21">
        <v>8</v>
      </c>
      <c r="AO2005" s="21"/>
      <c r="AP2005" s="21">
        <v>2</v>
      </c>
      <c r="AQ2005" s="21"/>
      <c r="AR2005" s="21"/>
      <c r="AS2005" s="21"/>
      <c r="AT2005" s="12" t="str">
        <f>HYPERLINK("http://www.openstreetmap.org/?mlat=36.5728&amp;mlon=43.3705&amp;zoom=12#map=12/36.5728/43.3705","Maplink1")</f>
        <v>Maplink1</v>
      </c>
      <c r="AU2005" s="12" t="str">
        <f>HYPERLINK("https://www.google.iq/maps/search/+36.5728,43.3705/@36.5728,43.3705,14z?hl=en","Maplink2")</f>
        <v>Maplink2</v>
      </c>
      <c r="AV2005" s="12" t="str">
        <f>HYPERLINK("http://www.bing.com/maps/?lvl=14&amp;sty=h&amp;cp=36.5728~43.3705&amp;sp=point.36.5728_43.3705","Maplink3")</f>
        <v>Maplink3</v>
      </c>
    </row>
    <row r="2006" spans="1:48" ht="15" customHeight="1" x14ac:dyDescent="0.25">
      <c r="A2006" s="19">
        <v>33114</v>
      </c>
      <c r="B2006" s="20" t="s">
        <v>21</v>
      </c>
      <c r="C2006" s="20" t="s">
        <v>3668</v>
      </c>
      <c r="D2006" s="20" t="s">
        <v>5562</v>
      </c>
      <c r="E2006" s="20" t="s">
        <v>5563</v>
      </c>
      <c r="F2006" s="20">
        <v>35.781782999999997</v>
      </c>
      <c r="G2006" s="20">
        <v>43.003546</v>
      </c>
      <c r="H2006" s="22">
        <v>10</v>
      </c>
      <c r="I2006" s="22">
        <v>60</v>
      </c>
      <c r="J2006" s="21"/>
      <c r="K2006" s="21"/>
      <c r="L2006" s="21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>
        <v>10</v>
      </c>
      <c r="W2006" s="21"/>
      <c r="X2006" s="21"/>
      <c r="Y2006" s="21"/>
      <c r="Z2006" s="21"/>
      <c r="AA2006" s="21"/>
      <c r="AB2006" s="21"/>
      <c r="AC2006" s="21">
        <v>10</v>
      </c>
      <c r="AD2006" s="21"/>
      <c r="AE2006" s="21"/>
      <c r="AF2006" s="21"/>
      <c r="AG2006" s="21"/>
      <c r="AH2006" s="21"/>
      <c r="AI2006" s="21"/>
      <c r="AJ2006" s="21"/>
      <c r="AK2006" s="21"/>
      <c r="AL2006" s="21"/>
      <c r="AM2006" s="21"/>
      <c r="AN2006" s="21"/>
      <c r="AO2006" s="21"/>
      <c r="AP2006" s="21"/>
      <c r="AQ2006" s="21">
        <v>10</v>
      </c>
      <c r="AR2006" s="21"/>
      <c r="AS2006" s="21"/>
      <c r="AT2006" s="12" t="str">
        <f>HYPERLINK("http://www.openstreetmap.org/?mlat=35.7818&amp;mlon=43.0035&amp;zoom=12#map=12/35.7818/43.0035","Maplink1")</f>
        <v>Maplink1</v>
      </c>
      <c r="AU2006" s="12" t="str">
        <f>HYPERLINK("https://www.google.iq/maps/search/+35.7818,43.0035/@35.7818,43.0035,14z?hl=en","Maplink2")</f>
        <v>Maplink2</v>
      </c>
      <c r="AV2006" s="12" t="str">
        <f>HYPERLINK("http://www.bing.com/maps/?lvl=14&amp;sty=h&amp;cp=35.7818~43.0035&amp;sp=point.35.7818_43.0035","Maplink3")</f>
        <v>Maplink3</v>
      </c>
    </row>
    <row r="2007" spans="1:48" ht="15" customHeight="1" x14ac:dyDescent="0.25">
      <c r="A2007" s="19">
        <v>33163</v>
      </c>
      <c r="B2007" s="20" t="s">
        <v>21</v>
      </c>
      <c r="C2007" s="20" t="s">
        <v>3668</v>
      </c>
      <c r="D2007" s="20" t="s">
        <v>6165</v>
      </c>
      <c r="E2007" s="20" t="s">
        <v>6166</v>
      </c>
      <c r="F2007" s="20">
        <v>35.717607999999998</v>
      </c>
      <c r="G2007" s="20">
        <v>42.975786999999997</v>
      </c>
      <c r="H2007" s="22">
        <v>4</v>
      </c>
      <c r="I2007" s="22">
        <v>24</v>
      </c>
      <c r="J2007" s="21"/>
      <c r="K2007" s="21"/>
      <c r="L2007" s="21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>
        <v>4</v>
      </c>
      <c r="W2007" s="21"/>
      <c r="X2007" s="21"/>
      <c r="Y2007" s="21"/>
      <c r="Z2007" s="21"/>
      <c r="AA2007" s="21"/>
      <c r="AB2007" s="21"/>
      <c r="AC2007" s="21">
        <v>4</v>
      </c>
      <c r="AD2007" s="21"/>
      <c r="AE2007" s="21"/>
      <c r="AF2007" s="21"/>
      <c r="AG2007" s="21"/>
      <c r="AH2007" s="21"/>
      <c r="AI2007" s="21"/>
      <c r="AJ2007" s="21"/>
      <c r="AK2007" s="21"/>
      <c r="AL2007" s="21"/>
      <c r="AM2007" s="21"/>
      <c r="AN2007" s="21"/>
      <c r="AO2007" s="21"/>
      <c r="AP2007" s="21"/>
      <c r="AQ2007" s="21"/>
      <c r="AR2007" s="21">
        <v>4</v>
      </c>
      <c r="AS2007" s="21"/>
      <c r="AT2007" s="12" t="str">
        <f>HYPERLINK("http://www.openstreetmap.org/?mlat=35.7176&amp;mlon=42.9758&amp;zoom=12#map=12/35.7176/42.9758","Maplink1")</f>
        <v>Maplink1</v>
      </c>
      <c r="AU2007" s="12" t="str">
        <f>HYPERLINK("https://www.google.iq/maps/search/+35.7176,42.9758/@35.7176,42.9758,14z?hl=en","Maplink2")</f>
        <v>Maplink2</v>
      </c>
      <c r="AV2007" s="12" t="str">
        <f>HYPERLINK("http://www.bing.com/maps/?lvl=14&amp;sty=h&amp;cp=35.7176~42.9758&amp;sp=point.35.7176_42.9758","Maplink3")</f>
        <v>Maplink3</v>
      </c>
    </row>
    <row r="2008" spans="1:48" ht="15" customHeight="1" x14ac:dyDescent="0.25">
      <c r="A2008" s="19">
        <v>23416</v>
      </c>
      <c r="B2008" s="20" t="s">
        <v>21</v>
      </c>
      <c r="C2008" s="20" t="s">
        <v>3668</v>
      </c>
      <c r="D2008" s="20" t="s">
        <v>6050</v>
      </c>
      <c r="E2008" s="20" t="s">
        <v>6051</v>
      </c>
      <c r="F2008" s="20">
        <v>36.007244999999998</v>
      </c>
      <c r="G2008" s="20">
        <v>42.604756999999999</v>
      </c>
      <c r="H2008" s="22">
        <v>3</v>
      </c>
      <c r="I2008" s="22">
        <v>18</v>
      </c>
      <c r="J2008" s="21"/>
      <c r="K2008" s="21"/>
      <c r="L2008" s="21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>
        <v>3</v>
      </c>
      <c r="W2008" s="21"/>
      <c r="X2008" s="21"/>
      <c r="Y2008" s="21"/>
      <c r="Z2008" s="21"/>
      <c r="AA2008" s="21"/>
      <c r="AB2008" s="21"/>
      <c r="AC2008" s="21">
        <v>3</v>
      </c>
      <c r="AD2008" s="21"/>
      <c r="AE2008" s="21"/>
      <c r="AF2008" s="21"/>
      <c r="AG2008" s="21"/>
      <c r="AH2008" s="21"/>
      <c r="AI2008" s="21"/>
      <c r="AJ2008" s="21"/>
      <c r="AK2008" s="21"/>
      <c r="AL2008" s="21"/>
      <c r="AM2008" s="21"/>
      <c r="AN2008" s="21"/>
      <c r="AO2008" s="21"/>
      <c r="AP2008" s="21"/>
      <c r="AQ2008" s="21"/>
      <c r="AR2008" s="21"/>
      <c r="AS2008" s="21">
        <v>3</v>
      </c>
      <c r="AT2008" s="12" t="str">
        <f>HYPERLINK("http://www.openstreetmap.org/?mlat=36.0072&amp;mlon=42.6048&amp;zoom=12#map=12/36.0072/42.6048","Maplink1")</f>
        <v>Maplink1</v>
      </c>
      <c r="AU2008" s="12" t="str">
        <f>HYPERLINK("https://www.google.iq/maps/search/+36.0072,42.6048/@36.0072,42.6048,14z?hl=en","Maplink2")</f>
        <v>Maplink2</v>
      </c>
      <c r="AV2008" s="12" t="str">
        <f>HYPERLINK("http://www.bing.com/maps/?lvl=14&amp;sty=h&amp;cp=36.0072~42.6048&amp;sp=point.36.0072_42.6048","Maplink3")</f>
        <v>Maplink3</v>
      </c>
    </row>
    <row r="2009" spans="1:48" ht="15" customHeight="1" x14ac:dyDescent="0.25">
      <c r="A2009" s="19">
        <v>17126</v>
      </c>
      <c r="B2009" s="20" t="s">
        <v>21</v>
      </c>
      <c r="C2009" s="20" t="s">
        <v>3668</v>
      </c>
      <c r="D2009" s="20" t="s">
        <v>6052</v>
      </c>
      <c r="E2009" s="20" t="s">
        <v>6053</v>
      </c>
      <c r="F2009" s="20">
        <v>35.574545999999998</v>
      </c>
      <c r="G2009" s="20">
        <v>42.728164</v>
      </c>
      <c r="H2009" s="22">
        <v>3</v>
      </c>
      <c r="I2009" s="22">
        <v>18</v>
      </c>
      <c r="J2009" s="21"/>
      <c r="K2009" s="21"/>
      <c r="L2009" s="21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>
        <v>3</v>
      </c>
      <c r="W2009" s="21"/>
      <c r="X2009" s="21"/>
      <c r="Y2009" s="21"/>
      <c r="Z2009" s="21"/>
      <c r="AA2009" s="21"/>
      <c r="AB2009" s="21"/>
      <c r="AC2009" s="21">
        <v>3</v>
      </c>
      <c r="AD2009" s="21"/>
      <c r="AE2009" s="21"/>
      <c r="AF2009" s="21"/>
      <c r="AG2009" s="21"/>
      <c r="AH2009" s="21"/>
      <c r="AI2009" s="21"/>
      <c r="AJ2009" s="21"/>
      <c r="AK2009" s="21"/>
      <c r="AL2009" s="21"/>
      <c r="AM2009" s="21"/>
      <c r="AN2009" s="21"/>
      <c r="AO2009" s="21"/>
      <c r="AP2009" s="21"/>
      <c r="AQ2009" s="21"/>
      <c r="AR2009" s="21">
        <v>3</v>
      </c>
      <c r="AS2009" s="21"/>
      <c r="AT2009" s="12" t="str">
        <f>HYPERLINK("http://www.openstreetmap.org/?mlat=35.5745&amp;mlon=42.7282&amp;zoom=12#map=12/35.5745/42.7282","Maplink1")</f>
        <v>Maplink1</v>
      </c>
      <c r="AU2009" s="12" t="str">
        <f>HYPERLINK("https://www.google.iq/maps/search/+35.5745,42.7282/@35.5745,42.7282,14z?hl=en","Maplink2")</f>
        <v>Maplink2</v>
      </c>
      <c r="AV2009" s="12" t="str">
        <f>HYPERLINK("http://www.bing.com/maps/?lvl=14&amp;sty=h&amp;cp=35.5745~42.7282&amp;sp=point.35.5745_42.7282","Maplink3")</f>
        <v>Maplink3</v>
      </c>
    </row>
    <row r="2010" spans="1:48" ht="15" customHeight="1" x14ac:dyDescent="0.25">
      <c r="A2010" s="19">
        <v>33116</v>
      </c>
      <c r="B2010" s="20" t="s">
        <v>21</v>
      </c>
      <c r="C2010" s="20" t="s">
        <v>3668</v>
      </c>
      <c r="D2010" s="20" t="s">
        <v>6167</v>
      </c>
      <c r="E2010" s="20" t="s">
        <v>6168</v>
      </c>
      <c r="F2010" s="20">
        <v>35.772022999999997</v>
      </c>
      <c r="G2010" s="20">
        <v>42.971243000000001</v>
      </c>
      <c r="H2010" s="22">
        <v>5</v>
      </c>
      <c r="I2010" s="22">
        <v>30</v>
      </c>
      <c r="J2010" s="21"/>
      <c r="K2010" s="21"/>
      <c r="L2010" s="21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>
        <v>5</v>
      </c>
      <c r="W2010" s="21"/>
      <c r="X2010" s="21"/>
      <c r="Y2010" s="21"/>
      <c r="Z2010" s="21"/>
      <c r="AA2010" s="21"/>
      <c r="AB2010" s="21"/>
      <c r="AC2010" s="21">
        <v>5</v>
      </c>
      <c r="AD2010" s="21"/>
      <c r="AE2010" s="21"/>
      <c r="AF2010" s="21"/>
      <c r="AG2010" s="21"/>
      <c r="AH2010" s="21"/>
      <c r="AI2010" s="21"/>
      <c r="AJ2010" s="21"/>
      <c r="AK2010" s="21"/>
      <c r="AL2010" s="21"/>
      <c r="AM2010" s="21"/>
      <c r="AN2010" s="21"/>
      <c r="AO2010" s="21"/>
      <c r="AP2010" s="21"/>
      <c r="AQ2010" s="21"/>
      <c r="AR2010" s="21">
        <v>5</v>
      </c>
      <c r="AS2010" s="21"/>
      <c r="AT2010" s="12" t="str">
        <f>HYPERLINK("http://www.openstreetmap.org/?mlat=35.772&amp;mlon=42.9712&amp;zoom=12#map=12/35.772/42.9712","Maplink1")</f>
        <v>Maplink1</v>
      </c>
      <c r="AU2010" s="12" t="str">
        <f>HYPERLINK("https://www.google.iq/maps/search/+35.772,42.9712/@35.772,42.9712,14z?hl=en","Maplink2")</f>
        <v>Maplink2</v>
      </c>
      <c r="AV2010" s="12" t="str">
        <f>HYPERLINK("http://www.bing.com/maps/?lvl=14&amp;sty=h&amp;cp=35.772~42.9712&amp;sp=point.35.772_42.9712","Maplink3")</f>
        <v>Maplink3</v>
      </c>
    </row>
    <row r="2011" spans="1:48" ht="15" customHeight="1" x14ac:dyDescent="0.25">
      <c r="A2011" s="19">
        <v>33164</v>
      </c>
      <c r="B2011" s="20" t="s">
        <v>21</v>
      </c>
      <c r="C2011" s="20" t="s">
        <v>3668</v>
      </c>
      <c r="D2011" s="20" t="s">
        <v>6169</v>
      </c>
      <c r="E2011" s="20" t="s">
        <v>6170</v>
      </c>
      <c r="F2011" s="20">
        <v>35.619075000000002</v>
      </c>
      <c r="G2011" s="20">
        <v>42.989463999999998</v>
      </c>
      <c r="H2011" s="22">
        <v>3</v>
      </c>
      <c r="I2011" s="22">
        <v>18</v>
      </c>
      <c r="J2011" s="21"/>
      <c r="K2011" s="21"/>
      <c r="L2011" s="21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>
        <v>3</v>
      </c>
      <c r="W2011" s="21"/>
      <c r="X2011" s="21"/>
      <c r="Y2011" s="21"/>
      <c r="Z2011" s="21"/>
      <c r="AA2011" s="21"/>
      <c r="AB2011" s="21"/>
      <c r="AC2011" s="21">
        <v>3</v>
      </c>
      <c r="AD2011" s="21"/>
      <c r="AE2011" s="21"/>
      <c r="AF2011" s="21"/>
      <c r="AG2011" s="21"/>
      <c r="AH2011" s="21"/>
      <c r="AI2011" s="21"/>
      <c r="AJ2011" s="21"/>
      <c r="AK2011" s="21"/>
      <c r="AL2011" s="21"/>
      <c r="AM2011" s="21"/>
      <c r="AN2011" s="21"/>
      <c r="AO2011" s="21"/>
      <c r="AP2011" s="21"/>
      <c r="AQ2011" s="21"/>
      <c r="AR2011" s="21">
        <v>3</v>
      </c>
      <c r="AS2011" s="21"/>
      <c r="AT2011" s="12" t="str">
        <f>HYPERLINK("http://www.openstreetmap.org/?mlat=35.6191&amp;mlon=42.9895&amp;zoom=12#map=12/35.6191/42.9895","Maplink1")</f>
        <v>Maplink1</v>
      </c>
      <c r="AU2011" s="12" t="str">
        <f>HYPERLINK("https://www.google.iq/maps/search/+35.6191,42.9895/@35.6191,42.9895,14z?hl=en","Maplink2")</f>
        <v>Maplink2</v>
      </c>
      <c r="AV2011" s="12" t="str">
        <f>HYPERLINK("http://www.bing.com/maps/?lvl=14&amp;sty=h&amp;cp=35.6191~42.9895&amp;sp=point.35.6191_42.9895","Maplink3")</f>
        <v>Maplink3</v>
      </c>
    </row>
    <row r="2012" spans="1:48" ht="15" customHeight="1" x14ac:dyDescent="0.25">
      <c r="A2012" s="19">
        <v>27271</v>
      </c>
      <c r="B2012" s="20" t="s">
        <v>21</v>
      </c>
      <c r="C2012" s="20" t="s">
        <v>3668</v>
      </c>
      <c r="D2012" s="20" t="s">
        <v>3669</v>
      </c>
      <c r="E2012" s="20" t="s">
        <v>3670</v>
      </c>
      <c r="F2012" s="20">
        <v>35.946116000000004</v>
      </c>
      <c r="G2012" s="20">
        <v>42.564549</v>
      </c>
      <c r="H2012" s="22">
        <v>75</v>
      </c>
      <c r="I2012" s="22">
        <v>450</v>
      </c>
      <c r="J2012" s="21"/>
      <c r="K2012" s="21"/>
      <c r="L2012" s="21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>
        <v>75</v>
      </c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21"/>
      <c r="AH2012" s="21">
        <v>75</v>
      </c>
      <c r="AI2012" s="21"/>
      <c r="AJ2012" s="21"/>
      <c r="AK2012" s="21"/>
      <c r="AL2012" s="21"/>
      <c r="AM2012" s="21"/>
      <c r="AN2012" s="21"/>
      <c r="AO2012" s="21"/>
      <c r="AP2012" s="21">
        <v>75</v>
      </c>
      <c r="AQ2012" s="21"/>
      <c r="AR2012" s="21"/>
      <c r="AS2012" s="21"/>
      <c r="AT2012" s="12" t="str">
        <f>HYPERLINK("http://www.openstreetmap.org/?mlat=35.9461&amp;mlon=42.5645&amp;zoom=12#map=12/35.9461/42.5645","Maplink1")</f>
        <v>Maplink1</v>
      </c>
      <c r="AU2012" s="12" t="str">
        <f>HYPERLINK("https://www.google.iq/maps/search/+35.9461,42.5645/@35.9461,42.5645,14z?hl=en","Maplink2")</f>
        <v>Maplink2</v>
      </c>
      <c r="AV2012" s="12" t="str">
        <f>HYPERLINK("http://www.bing.com/maps/?lvl=14&amp;sty=h&amp;cp=35.9461~42.5645&amp;sp=point.35.9461_42.5645","Maplink3")</f>
        <v>Maplink3</v>
      </c>
    </row>
    <row r="2013" spans="1:48" ht="15" customHeight="1" x14ac:dyDescent="0.25">
      <c r="A2013" s="19">
        <v>33115</v>
      </c>
      <c r="B2013" s="20" t="s">
        <v>21</v>
      </c>
      <c r="C2013" s="20" t="s">
        <v>3668</v>
      </c>
      <c r="D2013" s="20" t="s">
        <v>5564</v>
      </c>
      <c r="E2013" s="20" t="s">
        <v>5565</v>
      </c>
      <c r="F2013" s="20">
        <v>35.811779000000001</v>
      </c>
      <c r="G2013" s="20">
        <v>43.029756999999996</v>
      </c>
      <c r="H2013" s="22">
        <v>15</v>
      </c>
      <c r="I2013" s="22">
        <v>90</v>
      </c>
      <c r="J2013" s="21"/>
      <c r="K2013" s="21"/>
      <c r="L2013" s="21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>
        <v>15</v>
      </c>
      <c r="W2013" s="21"/>
      <c r="X2013" s="21"/>
      <c r="Y2013" s="21"/>
      <c r="Z2013" s="21"/>
      <c r="AA2013" s="21"/>
      <c r="AB2013" s="21"/>
      <c r="AC2013" s="21">
        <v>15</v>
      </c>
      <c r="AD2013" s="21"/>
      <c r="AE2013" s="21"/>
      <c r="AF2013" s="21"/>
      <c r="AG2013" s="21"/>
      <c r="AH2013" s="21"/>
      <c r="AI2013" s="21"/>
      <c r="AJ2013" s="21"/>
      <c r="AK2013" s="21"/>
      <c r="AL2013" s="21"/>
      <c r="AM2013" s="21"/>
      <c r="AN2013" s="21"/>
      <c r="AO2013" s="21"/>
      <c r="AP2013" s="21"/>
      <c r="AQ2013" s="21"/>
      <c r="AR2013" s="21">
        <v>15</v>
      </c>
      <c r="AS2013" s="21"/>
      <c r="AT2013" s="12" t="str">
        <f>HYPERLINK("http://www.openstreetmap.org/?mlat=35.8118&amp;mlon=43.0298&amp;zoom=12#map=12/35.8118/43.0298","Maplink1")</f>
        <v>Maplink1</v>
      </c>
      <c r="AU2013" s="12" t="str">
        <f>HYPERLINK("https://www.google.iq/maps/search/+35.8118,43.0298/@35.8118,43.0298,14z?hl=en","Maplink2")</f>
        <v>Maplink2</v>
      </c>
      <c r="AV2013" s="12" t="str">
        <f>HYPERLINK("http://www.bing.com/maps/?lvl=14&amp;sty=h&amp;cp=35.8118~43.0298&amp;sp=point.35.8118_43.0298","Maplink3")</f>
        <v>Maplink3</v>
      </c>
    </row>
    <row r="2014" spans="1:48" ht="15" customHeight="1" x14ac:dyDescent="0.25">
      <c r="A2014" s="19">
        <v>18390</v>
      </c>
      <c r="B2014" s="20" t="s">
        <v>21</v>
      </c>
      <c r="C2014" s="20" t="s">
        <v>3671</v>
      </c>
      <c r="D2014" s="20" t="s">
        <v>3672</v>
      </c>
      <c r="E2014" s="20" t="s">
        <v>3673</v>
      </c>
      <c r="F2014" s="20">
        <v>36.395788000000003</v>
      </c>
      <c r="G2014" s="20">
        <v>43.162863000000002</v>
      </c>
      <c r="H2014" s="22">
        <v>118</v>
      </c>
      <c r="I2014" s="22">
        <v>708</v>
      </c>
      <c r="J2014" s="21"/>
      <c r="K2014" s="21"/>
      <c r="L2014" s="21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>
        <v>118</v>
      </c>
      <c r="W2014" s="21"/>
      <c r="X2014" s="21"/>
      <c r="Y2014" s="21"/>
      <c r="Z2014" s="21"/>
      <c r="AA2014" s="21"/>
      <c r="AB2014" s="21"/>
      <c r="AC2014" s="21">
        <v>40</v>
      </c>
      <c r="AD2014" s="21"/>
      <c r="AE2014" s="21"/>
      <c r="AF2014" s="21"/>
      <c r="AG2014" s="21"/>
      <c r="AH2014" s="21">
        <v>78</v>
      </c>
      <c r="AI2014" s="21"/>
      <c r="AJ2014" s="21"/>
      <c r="AK2014" s="21"/>
      <c r="AL2014" s="21"/>
      <c r="AM2014" s="21"/>
      <c r="AN2014" s="21"/>
      <c r="AO2014" s="21"/>
      <c r="AP2014" s="21"/>
      <c r="AQ2014" s="21"/>
      <c r="AR2014" s="21">
        <v>118</v>
      </c>
      <c r="AS2014" s="21"/>
      <c r="AT2014" s="12" t="str">
        <f>HYPERLINK("http://www.openstreetmap.org/?mlat=36.3958&amp;mlon=43.1629&amp;zoom=12#map=12/36.3958/43.1629","Maplink1")</f>
        <v>Maplink1</v>
      </c>
      <c r="AU2014" s="12" t="str">
        <f>HYPERLINK("https://www.google.iq/maps/search/+36.3958,43.1629/@36.3958,43.1629,14z?hl=en","Maplink2")</f>
        <v>Maplink2</v>
      </c>
      <c r="AV2014" s="12" t="str">
        <f>HYPERLINK("http://www.bing.com/maps/?lvl=14&amp;sty=h&amp;cp=36.3958~43.1629&amp;sp=point.36.3958_43.1629","Maplink3")</f>
        <v>Maplink3</v>
      </c>
    </row>
    <row r="2015" spans="1:48" ht="15" customHeight="1" x14ac:dyDescent="0.25">
      <c r="A2015" s="19">
        <v>18001</v>
      </c>
      <c r="B2015" s="20" t="s">
        <v>21</v>
      </c>
      <c r="C2015" s="20" t="s">
        <v>3671</v>
      </c>
      <c r="D2015" s="20" t="s">
        <v>3674</v>
      </c>
      <c r="E2015" s="20" t="s">
        <v>3675</v>
      </c>
      <c r="F2015" s="20">
        <v>36.085500000000003</v>
      </c>
      <c r="G2015" s="20">
        <v>43.025100000000002</v>
      </c>
      <c r="H2015" s="22">
        <v>2</v>
      </c>
      <c r="I2015" s="22">
        <v>12</v>
      </c>
      <c r="J2015" s="21"/>
      <c r="K2015" s="21"/>
      <c r="L2015" s="21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>
        <v>2</v>
      </c>
      <c r="W2015" s="21"/>
      <c r="X2015" s="21"/>
      <c r="Y2015" s="21"/>
      <c r="Z2015" s="21"/>
      <c r="AA2015" s="21"/>
      <c r="AB2015" s="21"/>
      <c r="AC2015" s="21">
        <v>2</v>
      </c>
      <c r="AD2015" s="21"/>
      <c r="AE2015" s="21"/>
      <c r="AF2015" s="21"/>
      <c r="AG2015" s="21"/>
      <c r="AH2015" s="21"/>
      <c r="AI2015" s="21"/>
      <c r="AJ2015" s="21"/>
      <c r="AK2015" s="21"/>
      <c r="AL2015" s="21"/>
      <c r="AM2015" s="21"/>
      <c r="AN2015" s="21"/>
      <c r="AO2015" s="21"/>
      <c r="AP2015" s="21"/>
      <c r="AQ2015" s="21"/>
      <c r="AR2015" s="21">
        <v>2</v>
      </c>
      <c r="AS2015" s="21"/>
      <c r="AT2015" s="12" t="str">
        <f>HYPERLINK("http://www.openstreetmap.org/?mlat=36.0855&amp;mlon=43.0251&amp;zoom=12#map=12/36.0855/43.0251","Maplink1")</f>
        <v>Maplink1</v>
      </c>
      <c r="AU2015" s="12" t="str">
        <f>HYPERLINK("https://www.google.iq/maps/search/+36.0855,43.0251/@36.0855,43.0251,14z?hl=en","Maplink2")</f>
        <v>Maplink2</v>
      </c>
      <c r="AV2015" s="12" t="str">
        <f>HYPERLINK("http://www.bing.com/maps/?lvl=14&amp;sty=h&amp;cp=36.0855~43.0251&amp;sp=point.36.0855_43.0251","Maplink3")</f>
        <v>Maplink3</v>
      </c>
    </row>
    <row r="2016" spans="1:48" ht="15" customHeight="1" x14ac:dyDescent="0.25">
      <c r="A2016" s="19">
        <v>23930</v>
      </c>
      <c r="B2016" s="20" t="s">
        <v>21</v>
      </c>
      <c r="C2016" s="20" t="s">
        <v>3671</v>
      </c>
      <c r="D2016" s="20" t="s">
        <v>3676</v>
      </c>
      <c r="E2016" s="20" t="s">
        <v>3677</v>
      </c>
      <c r="F2016" s="20">
        <v>35.710999999999999</v>
      </c>
      <c r="G2016" s="20">
        <v>43.3033</v>
      </c>
      <c r="H2016" s="22">
        <v>7</v>
      </c>
      <c r="I2016" s="22">
        <v>42</v>
      </c>
      <c r="J2016" s="21"/>
      <c r="K2016" s="21"/>
      <c r="L2016" s="21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>
        <v>7</v>
      </c>
      <c r="Y2016" s="21"/>
      <c r="Z2016" s="21"/>
      <c r="AA2016" s="21"/>
      <c r="AB2016" s="21"/>
      <c r="AC2016" s="21">
        <v>7</v>
      </c>
      <c r="AD2016" s="21"/>
      <c r="AE2016" s="21"/>
      <c r="AF2016" s="21"/>
      <c r="AG2016" s="21"/>
      <c r="AH2016" s="21"/>
      <c r="AI2016" s="21"/>
      <c r="AJ2016" s="21"/>
      <c r="AK2016" s="21"/>
      <c r="AL2016" s="21"/>
      <c r="AM2016" s="21"/>
      <c r="AN2016" s="21"/>
      <c r="AO2016" s="21"/>
      <c r="AP2016" s="21"/>
      <c r="AQ2016" s="21">
        <v>7</v>
      </c>
      <c r="AR2016" s="21"/>
      <c r="AS2016" s="21"/>
      <c r="AT2016" s="12" t="str">
        <f>HYPERLINK("http://www.openstreetmap.org/?mlat=35.711&amp;mlon=43.3033&amp;zoom=12#map=12/35.711/43.3033","Maplink1")</f>
        <v>Maplink1</v>
      </c>
      <c r="AU2016" s="12" t="str">
        <f>HYPERLINK("https://www.google.iq/maps/search/+35.711,43.3033/@35.711,43.3033,14z?hl=en","Maplink2")</f>
        <v>Maplink2</v>
      </c>
      <c r="AV2016" s="12" t="str">
        <f>HYPERLINK("http://www.bing.com/maps/?lvl=14&amp;sty=h&amp;cp=35.711~43.3033&amp;sp=point.35.711_43.3033","Maplink3")</f>
        <v>Maplink3</v>
      </c>
    </row>
    <row r="2017" spans="1:48" ht="15" customHeight="1" x14ac:dyDescent="0.25">
      <c r="A2017" s="19">
        <v>17424</v>
      </c>
      <c r="B2017" s="20" t="s">
        <v>21</v>
      </c>
      <c r="C2017" s="20" t="s">
        <v>3671</v>
      </c>
      <c r="D2017" s="20" t="s">
        <v>6171</v>
      </c>
      <c r="E2017" s="20" t="s">
        <v>6172</v>
      </c>
      <c r="F2017" s="20">
        <v>36.404403000000002</v>
      </c>
      <c r="G2017" s="20">
        <v>42.976140999999998</v>
      </c>
      <c r="H2017" s="22">
        <v>1</v>
      </c>
      <c r="I2017" s="22">
        <v>6</v>
      </c>
      <c r="J2017" s="21"/>
      <c r="K2017" s="21"/>
      <c r="L2017" s="21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>
        <v>1</v>
      </c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21"/>
      <c r="AH2017" s="21">
        <v>1</v>
      </c>
      <c r="AI2017" s="21"/>
      <c r="AJ2017" s="21"/>
      <c r="AK2017" s="21"/>
      <c r="AL2017" s="21"/>
      <c r="AM2017" s="21"/>
      <c r="AN2017" s="21"/>
      <c r="AO2017" s="21"/>
      <c r="AP2017" s="21"/>
      <c r="AQ2017" s="21"/>
      <c r="AR2017" s="21"/>
      <c r="AS2017" s="21">
        <v>1</v>
      </c>
      <c r="AT2017" s="12" t="str">
        <f>HYPERLINK("http://www.openstreetmap.org/?mlat=36.4044&amp;mlon=42.9761&amp;zoom=12#map=12/36.4044/42.9761","Maplink1")</f>
        <v>Maplink1</v>
      </c>
      <c r="AU2017" s="12" t="str">
        <f>HYPERLINK("https://www.google.iq/maps/search/+36.4044,42.9761/@36.4044,42.9761,14z?hl=en","Maplink2")</f>
        <v>Maplink2</v>
      </c>
      <c r="AV2017" s="12" t="str">
        <f>HYPERLINK("http://www.bing.com/maps/?lvl=14&amp;sty=h&amp;cp=36.4044~42.9761&amp;sp=point.36.4044_42.9761","Maplink3")</f>
        <v>Maplink3</v>
      </c>
    </row>
    <row r="2018" spans="1:48" ht="15" customHeight="1" x14ac:dyDescent="0.25">
      <c r="A2018" s="19">
        <v>17515</v>
      </c>
      <c r="B2018" s="20" t="s">
        <v>21</v>
      </c>
      <c r="C2018" s="20" t="s">
        <v>3671</v>
      </c>
      <c r="D2018" s="20" t="s">
        <v>3678</v>
      </c>
      <c r="E2018" s="20" t="s">
        <v>3679</v>
      </c>
      <c r="F2018" s="20">
        <v>35.738433000000001</v>
      </c>
      <c r="G2018" s="20">
        <v>43.313799000000003</v>
      </c>
      <c r="H2018" s="22">
        <v>60</v>
      </c>
      <c r="I2018" s="22">
        <v>360</v>
      </c>
      <c r="J2018" s="21"/>
      <c r="K2018" s="21"/>
      <c r="L2018" s="21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>
        <v>60</v>
      </c>
      <c r="W2018" s="21"/>
      <c r="X2018" s="21"/>
      <c r="Y2018" s="21"/>
      <c r="Z2018" s="21"/>
      <c r="AA2018" s="21"/>
      <c r="AB2018" s="21"/>
      <c r="AC2018" s="21">
        <v>50</v>
      </c>
      <c r="AD2018" s="21"/>
      <c r="AE2018" s="21"/>
      <c r="AF2018" s="21"/>
      <c r="AG2018" s="21"/>
      <c r="AH2018" s="21">
        <v>10</v>
      </c>
      <c r="AI2018" s="21"/>
      <c r="AJ2018" s="21"/>
      <c r="AK2018" s="21"/>
      <c r="AL2018" s="21"/>
      <c r="AM2018" s="21"/>
      <c r="AN2018" s="21"/>
      <c r="AO2018" s="21"/>
      <c r="AP2018" s="21"/>
      <c r="AQ2018" s="21"/>
      <c r="AR2018" s="21">
        <v>60</v>
      </c>
      <c r="AS2018" s="21"/>
      <c r="AT2018" s="12" t="str">
        <f>HYPERLINK("http://www.openstreetmap.org/?mlat=35.7384&amp;mlon=43.3138&amp;zoom=12#map=12/35.7384/43.3138","Maplink1")</f>
        <v>Maplink1</v>
      </c>
      <c r="AU2018" s="12" t="str">
        <f>HYPERLINK("https://www.google.iq/maps/search/+35.7384,43.3138/@35.7384,43.3138,14z?hl=en","Maplink2")</f>
        <v>Maplink2</v>
      </c>
      <c r="AV2018" s="12" t="str">
        <f>HYPERLINK("http://www.bing.com/maps/?lvl=14&amp;sty=h&amp;cp=35.7384~43.3138&amp;sp=point.35.7384_43.3138","Maplink3")</f>
        <v>Maplink3</v>
      </c>
    </row>
    <row r="2019" spans="1:48" ht="15" customHeight="1" x14ac:dyDescent="0.25">
      <c r="A2019" s="19">
        <v>24549</v>
      </c>
      <c r="B2019" s="20" t="s">
        <v>21</v>
      </c>
      <c r="C2019" s="20" t="s">
        <v>3671</v>
      </c>
      <c r="D2019" s="20" t="s">
        <v>3680</v>
      </c>
      <c r="E2019" s="20" t="s">
        <v>3681</v>
      </c>
      <c r="F2019" s="20">
        <v>36.362400000000001</v>
      </c>
      <c r="G2019" s="20">
        <v>43.071599999999997</v>
      </c>
      <c r="H2019" s="22">
        <v>733</v>
      </c>
      <c r="I2019" s="22">
        <v>4398</v>
      </c>
      <c r="J2019" s="21"/>
      <c r="K2019" s="21"/>
      <c r="L2019" s="21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>
        <v>707</v>
      </c>
      <c r="W2019" s="21"/>
      <c r="X2019" s="21">
        <v>26</v>
      </c>
      <c r="Y2019" s="21"/>
      <c r="Z2019" s="21"/>
      <c r="AA2019" s="21"/>
      <c r="AB2019" s="21"/>
      <c r="AC2019" s="21">
        <v>55</v>
      </c>
      <c r="AD2019" s="21"/>
      <c r="AE2019" s="21">
        <v>81</v>
      </c>
      <c r="AF2019" s="21"/>
      <c r="AG2019" s="21">
        <v>25</v>
      </c>
      <c r="AH2019" s="21">
        <v>329</v>
      </c>
      <c r="AI2019" s="21">
        <v>31</v>
      </c>
      <c r="AJ2019" s="21">
        <v>172</v>
      </c>
      <c r="AK2019" s="21">
        <v>40</v>
      </c>
      <c r="AL2019" s="21"/>
      <c r="AM2019" s="21"/>
      <c r="AN2019" s="21">
        <v>37</v>
      </c>
      <c r="AO2019" s="21">
        <v>243</v>
      </c>
      <c r="AP2019" s="21">
        <v>310</v>
      </c>
      <c r="AQ2019" s="21">
        <v>143</v>
      </c>
      <c r="AR2019" s="21"/>
      <c r="AS2019" s="21"/>
      <c r="AT2019" s="12" t="str">
        <f>HYPERLINK("http://www.openstreetmap.org/?mlat=36.3624&amp;mlon=43.0716&amp;zoom=12#map=12/36.3624/43.0716","Maplink1")</f>
        <v>Maplink1</v>
      </c>
      <c r="AU2019" s="12" t="str">
        <f>HYPERLINK("https://www.google.iq/maps/search/+36.3624,43.0716/@36.3624,43.0716,14z?hl=en","Maplink2")</f>
        <v>Maplink2</v>
      </c>
      <c r="AV2019" s="12" t="str">
        <f>HYPERLINK("http://www.bing.com/maps/?lvl=14&amp;sty=h&amp;cp=36.3624~43.0716&amp;sp=point.36.3624_43.0716","Maplink3")</f>
        <v>Maplink3</v>
      </c>
    </row>
    <row r="2020" spans="1:48" ht="15" customHeight="1" x14ac:dyDescent="0.25">
      <c r="A2020" s="19">
        <v>29701</v>
      </c>
      <c r="B2020" s="20" t="s">
        <v>21</v>
      </c>
      <c r="C2020" s="20" t="s">
        <v>3671</v>
      </c>
      <c r="D2020" s="20" t="s">
        <v>3682</v>
      </c>
      <c r="E2020" s="20" t="s">
        <v>5665</v>
      </c>
      <c r="F2020" s="20">
        <v>35.772404000000002</v>
      </c>
      <c r="G2020" s="20">
        <v>43.284630999999997</v>
      </c>
      <c r="H2020" s="22">
        <v>28</v>
      </c>
      <c r="I2020" s="22">
        <v>168</v>
      </c>
      <c r="J2020" s="21"/>
      <c r="K2020" s="21"/>
      <c r="L2020" s="21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>
        <v>25</v>
      </c>
      <c r="W2020" s="21"/>
      <c r="X2020" s="21">
        <v>3</v>
      </c>
      <c r="Y2020" s="21"/>
      <c r="Z2020" s="21"/>
      <c r="AA2020" s="21"/>
      <c r="AB2020" s="21"/>
      <c r="AC2020" s="21"/>
      <c r="AD2020" s="21"/>
      <c r="AE2020" s="21"/>
      <c r="AF2020" s="21"/>
      <c r="AG2020" s="21"/>
      <c r="AH2020" s="21">
        <v>28</v>
      </c>
      <c r="AI2020" s="21"/>
      <c r="AJ2020" s="21"/>
      <c r="AK2020" s="21"/>
      <c r="AL2020" s="21"/>
      <c r="AM2020" s="21"/>
      <c r="AN2020" s="21"/>
      <c r="AO2020" s="21"/>
      <c r="AP2020" s="21"/>
      <c r="AQ2020" s="21"/>
      <c r="AR2020" s="21">
        <v>28</v>
      </c>
      <c r="AS2020" s="21"/>
      <c r="AT2020" s="12" t="str">
        <f>HYPERLINK("http://www.openstreetmap.org/?mlat=35.7724&amp;mlon=43.2846&amp;zoom=12#map=12/35.7724/43.2846","Maplink1")</f>
        <v>Maplink1</v>
      </c>
      <c r="AU2020" s="12" t="str">
        <f>HYPERLINK("https://www.google.iq/maps/search/+35.7724,43.2846/@35.7724,43.2846,14z?hl=en","Maplink2")</f>
        <v>Maplink2</v>
      </c>
      <c r="AV2020" s="12" t="str">
        <f>HYPERLINK("http://www.bing.com/maps/?lvl=14&amp;sty=h&amp;cp=35.7724~43.2846&amp;sp=point.35.7724_43.2846","Maplink3")</f>
        <v>Maplink3</v>
      </c>
    </row>
    <row r="2021" spans="1:48" ht="15" customHeight="1" x14ac:dyDescent="0.25">
      <c r="A2021" s="19">
        <v>18361</v>
      </c>
      <c r="B2021" s="20" t="s">
        <v>21</v>
      </c>
      <c r="C2021" s="20" t="s">
        <v>3671</v>
      </c>
      <c r="D2021" s="20" t="s">
        <v>423</v>
      </c>
      <c r="E2021" s="20" t="s">
        <v>3683</v>
      </c>
      <c r="F2021" s="20">
        <v>36.354999999999997</v>
      </c>
      <c r="G2021" s="20">
        <v>43.169443999999999</v>
      </c>
      <c r="H2021" s="22">
        <v>662</v>
      </c>
      <c r="I2021" s="22">
        <v>3972</v>
      </c>
      <c r="J2021" s="21"/>
      <c r="K2021" s="21"/>
      <c r="L2021" s="21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>
        <v>662</v>
      </c>
      <c r="W2021" s="21"/>
      <c r="X2021" s="21"/>
      <c r="Y2021" s="21"/>
      <c r="Z2021" s="21"/>
      <c r="AA2021" s="21"/>
      <c r="AB2021" s="21"/>
      <c r="AC2021" s="21">
        <v>32</v>
      </c>
      <c r="AD2021" s="21"/>
      <c r="AE2021" s="21"/>
      <c r="AF2021" s="21"/>
      <c r="AG2021" s="21"/>
      <c r="AH2021" s="21">
        <v>630</v>
      </c>
      <c r="AI2021" s="21"/>
      <c r="AJ2021" s="21"/>
      <c r="AK2021" s="21"/>
      <c r="AL2021" s="21"/>
      <c r="AM2021" s="21"/>
      <c r="AN2021" s="21"/>
      <c r="AO2021" s="21"/>
      <c r="AP2021" s="21"/>
      <c r="AQ2021" s="21"/>
      <c r="AR2021" s="21">
        <v>662</v>
      </c>
      <c r="AS2021" s="21"/>
      <c r="AT2021" s="12" t="str">
        <f>HYPERLINK("http://www.openstreetmap.org/?mlat=36.355&amp;mlon=43.1694&amp;zoom=12#map=12/36.355/43.1694","Maplink1")</f>
        <v>Maplink1</v>
      </c>
      <c r="AU2021" s="12" t="str">
        <f>HYPERLINK("https://www.google.iq/maps/search/+36.355,43.1694/@36.355,43.1694,14z?hl=en","Maplink2")</f>
        <v>Maplink2</v>
      </c>
      <c r="AV2021" s="12" t="str">
        <f>HYPERLINK("http://www.bing.com/maps/?lvl=14&amp;sty=h&amp;cp=36.355~43.1694&amp;sp=point.36.355_43.1694","Maplink3")</f>
        <v>Maplink3</v>
      </c>
    </row>
    <row r="2022" spans="1:48" ht="15" customHeight="1" x14ac:dyDescent="0.25">
      <c r="A2022" s="19">
        <v>18377</v>
      </c>
      <c r="B2022" s="20" t="s">
        <v>21</v>
      </c>
      <c r="C2022" s="20" t="s">
        <v>3671</v>
      </c>
      <c r="D2022" s="20" t="s">
        <v>3684</v>
      </c>
      <c r="E2022" s="20" t="s">
        <v>443</v>
      </c>
      <c r="F2022" s="20">
        <v>36.404899999999998</v>
      </c>
      <c r="G2022" s="20">
        <v>43.0914</v>
      </c>
      <c r="H2022" s="22">
        <v>1511</v>
      </c>
      <c r="I2022" s="22">
        <v>9066</v>
      </c>
      <c r="J2022" s="21"/>
      <c r="K2022" s="21"/>
      <c r="L2022" s="21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>
        <v>1511</v>
      </c>
      <c r="W2022" s="21"/>
      <c r="X2022" s="21"/>
      <c r="Y2022" s="21"/>
      <c r="Z2022" s="21"/>
      <c r="AA2022" s="21"/>
      <c r="AB2022" s="21"/>
      <c r="AC2022" s="21">
        <v>231</v>
      </c>
      <c r="AD2022" s="21"/>
      <c r="AE2022" s="21"/>
      <c r="AF2022" s="21"/>
      <c r="AG2022" s="21"/>
      <c r="AH2022" s="21">
        <v>1280</v>
      </c>
      <c r="AI2022" s="21"/>
      <c r="AJ2022" s="21"/>
      <c r="AK2022" s="21"/>
      <c r="AL2022" s="21"/>
      <c r="AM2022" s="21"/>
      <c r="AN2022" s="21"/>
      <c r="AO2022" s="21"/>
      <c r="AP2022" s="21"/>
      <c r="AQ2022" s="21"/>
      <c r="AR2022" s="21">
        <v>1511</v>
      </c>
      <c r="AS2022" s="21"/>
      <c r="AT2022" s="12" t="str">
        <f>HYPERLINK("http://www.openstreetmap.org/?mlat=36.4049&amp;mlon=43.0914&amp;zoom=12#map=12/36.4049/43.0914","Maplink1")</f>
        <v>Maplink1</v>
      </c>
      <c r="AU2022" s="12" t="str">
        <f>HYPERLINK("https://www.google.iq/maps/search/+36.4049,43.0914/@36.4049,43.0914,14z?hl=en","Maplink2")</f>
        <v>Maplink2</v>
      </c>
      <c r="AV2022" s="12" t="str">
        <f>HYPERLINK("http://www.bing.com/maps/?lvl=14&amp;sty=h&amp;cp=36.4049~43.0914&amp;sp=point.36.4049_43.0914","Maplink3")</f>
        <v>Maplink3</v>
      </c>
    </row>
    <row r="2023" spans="1:48" ht="15" customHeight="1" x14ac:dyDescent="0.25">
      <c r="A2023" s="19">
        <v>33289</v>
      </c>
      <c r="B2023" s="20" t="s">
        <v>21</v>
      </c>
      <c r="C2023" s="20" t="s">
        <v>3671</v>
      </c>
      <c r="D2023" s="20" t="s">
        <v>5851</v>
      </c>
      <c r="E2023" s="20" t="s">
        <v>3178</v>
      </c>
      <c r="F2023" s="20">
        <v>36.339579000000001</v>
      </c>
      <c r="G2023" s="20">
        <v>43.099072</v>
      </c>
      <c r="H2023" s="22">
        <v>237</v>
      </c>
      <c r="I2023" s="22">
        <v>1422</v>
      </c>
      <c r="J2023" s="21"/>
      <c r="K2023" s="21"/>
      <c r="L2023" s="21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>
        <v>237</v>
      </c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21"/>
      <c r="AH2023" s="21">
        <v>237</v>
      </c>
      <c r="AI2023" s="21"/>
      <c r="AJ2023" s="21"/>
      <c r="AK2023" s="21"/>
      <c r="AL2023" s="21"/>
      <c r="AM2023" s="21"/>
      <c r="AN2023" s="21"/>
      <c r="AO2023" s="21"/>
      <c r="AP2023" s="21"/>
      <c r="AQ2023" s="21"/>
      <c r="AR2023" s="21">
        <v>237</v>
      </c>
      <c r="AS2023" s="21"/>
      <c r="AT2023" s="12" t="str">
        <f>HYPERLINK("http://www.openstreetmap.org/?mlat=36.3396&amp;mlon=43.0991&amp;zoom=12#map=12/36.3396/43.0991","Maplink1")</f>
        <v>Maplink1</v>
      </c>
      <c r="AU2023" s="12" t="str">
        <f>HYPERLINK("https://www.google.iq/maps/search/+36.3396,43.0991/@36.3396,43.0991,14z?hl=en","Maplink2")</f>
        <v>Maplink2</v>
      </c>
      <c r="AV2023" s="12" t="str">
        <f>HYPERLINK("http://www.bing.com/maps/?lvl=14&amp;sty=h&amp;cp=36.3396~43.0991&amp;sp=point.36.3396_43.0991","Maplink3")</f>
        <v>Maplink3</v>
      </c>
    </row>
    <row r="2024" spans="1:48" ht="15" customHeight="1" x14ac:dyDescent="0.25">
      <c r="A2024" s="19">
        <v>18356</v>
      </c>
      <c r="B2024" s="20" t="s">
        <v>21</v>
      </c>
      <c r="C2024" s="20" t="s">
        <v>3671</v>
      </c>
      <c r="D2024" s="20" t="s">
        <v>3685</v>
      </c>
      <c r="E2024" s="20" t="s">
        <v>2327</v>
      </c>
      <c r="F2024" s="20">
        <v>36.392499999999998</v>
      </c>
      <c r="G2024" s="20">
        <v>43.199167000000003</v>
      </c>
      <c r="H2024" s="22">
        <v>1411</v>
      </c>
      <c r="I2024" s="22">
        <v>8466</v>
      </c>
      <c r="J2024" s="21"/>
      <c r="K2024" s="21"/>
      <c r="L2024" s="21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>
        <v>1411</v>
      </c>
      <c r="W2024" s="21"/>
      <c r="X2024" s="21"/>
      <c r="Y2024" s="21"/>
      <c r="Z2024" s="21"/>
      <c r="AA2024" s="21"/>
      <c r="AB2024" s="21"/>
      <c r="AC2024" s="21">
        <v>450</v>
      </c>
      <c r="AD2024" s="21"/>
      <c r="AE2024" s="21"/>
      <c r="AF2024" s="21"/>
      <c r="AG2024" s="21"/>
      <c r="AH2024" s="21">
        <v>961</v>
      </c>
      <c r="AI2024" s="21"/>
      <c r="AJ2024" s="21"/>
      <c r="AK2024" s="21"/>
      <c r="AL2024" s="21"/>
      <c r="AM2024" s="21"/>
      <c r="AN2024" s="21"/>
      <c r="AO2024" s="21"/>
      <c r="AP2024" s="21"/>
      <c r="AQ2024" s="21"/>
      <c r="AR2024" s="21">
        <v>1411</v>
      </c>
      <c r="AS2024" s="21"/>
      <c r="AT2024" s="12" t="str">
        <f>HYPERLINK("http://www.openstreetmap.org/?mlat=36.3925&amp;mlon=43.1992&amp;zoom=12#map=12/36.3925/43.1992","Maplink1")</f>
        <v>Maplink1</v>
      </c>
      <c r="AU2024" s="12" t="str">
        <f>HYPERLINK("https://www.google.iq/maps/search/+36.3925,43.1992/@36.3925,43.1992,14z?hl=en","Maplink2")</f>
        <v>Maplink2</v>
      </c>
      <c r="AV2024" s="12" t="str">
        <f>HYPERLINK("http://www.bing.com/maps/?lvl=14&amp;sty=h&amp;cp=36.3925~43.1992&amp;sp=point.36.3925_43.1992","Maplink3")</f>
        <v>Maplink3</v>
      </c>
    </row>
    <row r="2025" spans="1:48" ht="15" customHeight="1" x14ac:dyDescent="0.25">
      <c r="A2025" s="19">
        <v>25066</v>
      </c>
      <c r="B2025" s="20" t="s">
        <v>21</v>
      </c>
      <c r="C2025" s="20" t="s">
        <v>3671</v>
      </c>
      <c r="D2025" s="20" t="s">
        <v>3686</v>
      </c>
      <c r="E2025" s="20" t="s">
        <v>3687</v>
      </c>
      <c r="F2025" s="20">
        <v>36.341839</v>
      </c>
      <c r="G2025" s="20">
        <v>43.052996</v>
      </c>
      <c r="H2025" s="22">
        <v>285</v>
      </c>
      <c r="I2025" s="22">
        <v>1710</v>
      </c>
      <c r="J2025" s="21">
        <v>7</v>
      </c>
      <c r="K2025" s="21"/>
      <c r="L2025" s="21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>
        <v>268</v>
      </c>
      <c r="W2025" s="21"/>
      <c r="X2025" s="21">
        <v>10</v>
      </c>
      <c r="Y2025" s="21"/>
      <c r="Z2025" s="21"/>
      <c r="AA2025" s="21"/>
      <c r="AB2025" s="21"/>
      <c r="AC2025" s="21">
        <v>51</v>
      </c>
      <c r="AD2025" s="21"/>
      <c r="AE2025" s="21">
        <v>17</v>
      </c>
      <c r="AF2025" s="21"/>
      <c r="AG2025" s="21"/>
      <c r="AH2025" s="21">
        <v>42</v>
      </c>
      <c r="AI2025" s="21"/>
      <c r="AJ2025" s="21">
        <v>121</v>
      </c>
      <c r="AK2025" s="21">
        <v>54</v>
      </c>
      <c r="AL2025" s="21"/>
      <c r="AM2025" s="21"/>
      <c r="AN2025" s="21"/>
      <c r="AO2025" s="21">
        <v>53</v>
      </c>
      <c r="AP2025" s="21">
        <v>82</v>
      </c>
      <c r="AQ2025" s="21">
        <v>150</v>
      </c>
      <c r="AR2025" s="21"/>
      <c r="AS2025" s="21"/>
      <c r="AT2025" s="12" t="str">
        <f>HYPERLINK("http://www.openstreetmap.org/?mlat=36.3418&amp;mlon=43.053&amp;zoom=12#map=12/36.3418/43.053","Maplink1")</f>
        <v>Maplink1</v>
      </c>
      <c r="AU2025" s="12" t="str">
        <f>HYPERLINK("https://www.google.iq/maps/search/+36.3418,43.053/@36.3418,43.053,14z?hl=en","Maplink2")</f>
        <v>Maplink2</v>
      </c>
      <c r="AV2025" s="12" t="str">
        <f>HYPERLINK("http://www.bing.com/maps/?lvl=14&amp;sty=h&amp;cp=36.3418~43.053&amp;sp=point.36.3418_43.053","Maplink3")</f>
        <v>Maplink3</v>
      </c>
    </row>
    <row r="2026" spans="1:48" ht="15" customHeight="1" x14ac:dyDescent="0.25">
      <c r="A2026" s="19">
        <v>33250</v>
      </c>
      <c r="B2026" s="20" t="s">
        <v>21</v>
      </c>
      <c r="C2026" s="20" t="s">
        <v>3671</v>
      </c>
      <c r="D2026" s="20" t="s">
        <v>5730</v>
      </c>
      <c r="E2026" s="20" t="s">
        <v>5731</v>
      </c>
      <c r="F2026" s="20">
        <v>36.339109999999998</v>
      </c>
      <c r="G2026" s="20">
        <v>43.009650000000001</v>
      </c>
      <c r="H2026" s="22">
        <v>60</v>
      </c>
      <c r="I2026" s="22">
        <v>360</v>
      </c>
      <c r="J2026" s="21"/>
      <c r="K2026" s="21"/>
      <c r="L2026" s="21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>
        <v>60</v>
      </c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21"/>
      <c r="AH2026" s="21">
        <v>60</v>
      </c>
      <c r="AI2026" s="21"/>
      <c r="AJ2026" s="21"/>
      <c r="AK2026" s="21"/>
      <c r="AL2026" s="21"/>
      <c r="AM2026" s="21"/>
      <c r="AN2026" s="21"/>
      <c r="AO2026" s="21"/>
      <c r="AP2026" s="21"/>
      <c r="AQ2026" s="21"/>
      <c r="AR2026" s="21">
        <v>60</v>
      </c>
      <c r="AS2026" s="21"/>
      <c r="AT2026" s="12" t="str">
        <f>HYPERLINK("http://www.openstreetmap.org/?mlat=36.3391&amp;mlon=43.0097&amp;zoom=12#map=12/36.3391/43.0097","Maplink1")</f>
        <v>Maplink1</v>
      </c>
      <c r="AU2026" s="12" t="str">
        <f>HYPERLINK("https://www.google.iq/maps/search/+36.3391,43.0097/@36.3391,43.0097,14z?hl=en","Maplink2")</f>
        <v>Maplink2</v>
      </c>
      <c r="AV2026" s="12" t="str">
        <f>HYPERLINK("http://www.bing.com/maps/?lvl=14&amp;sty=h&amp;cp=36.3391~43.0097&amp;sp=point.36.3391_43.0097","Maplink3")</f>
        <v>Maplink3</v>
      </c>
    </row>
    <row r="2027" spans="1:48" ht="15" customHeight="1" x14ac:dyDescent="0.25">
      <c r="A2027" s="19">
        <v>18328</v>
      </c>
      <c r="B2027" s="20" t="s">
        <v>21</v>
      </c>
      <c r="C2027" s="20" t="s">
        <v>3671</v>
      </c>
      <c r="D2027" s="20" t="s">
        <v>3688</v>
      </c>
      <c r="E2027" s="20" t="s">
        <v>3689</v>
      </c>
      <c r="F2027" s="20">
        <v>36.353351000000004</v>
      </c>
      <c r="G2027" s="20">
        <v>43.214264</v>
      </c>
      <c r="H2027" s="22">
        <v>245</v>
      </c>
      <c r="I2027" s="22">
        <v>1470</v>
      </c>
      <c r="J2027" s="21"/>
      <c r="K2027" s="21"/>
      <c r="L2027" s="21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>
        <v>245</v>
      </c>
      <c r="W2027" s="21"/>
      <c r="X2027" s="21"/>
      <c r="Y2027" s="21"/>
      <c r="Z2027" s="21"/>
      <c r="AA2027" s="21"/>
      <c r="AB2027" s="21"/>
      <c r="AC2027" s="21">
        <v>39</v>
      </c>
      <c r="AD2027" s="21"/>
      <c r="AE2027" s="21"/>
      <c r="AF2027" s="21"/>
      <c r="AG2027" s="21">
        <v>8</v>
      </c>
      <c r="AH2027" s="21">
        <v>186</v>
      </c>
      <c r="AI2027" s="21"/>
      <c r="AJ2027" s="21">
        <v>12</v>
      </c>
      <c r="AK2027" s="21"/>
      <c r="AL2027" s="21"/>
      <c r="AM2027" s="21"/>
      <c r="AN2027" s="21">
        <v>12</v>
      </c>
      <c r="AO2027" s="21"/>
      <c r="AP2027" s="21"/>
      <c r="AQ2027" s="21"/>
      <c r="AR2027" s="21">
        <v>233</v>
      </c>
      <c r="AS2027" s="21"/>
      <c r="AT2027" s="12" t="str">
        <f>HYPERLINK("http://www.openstreetmap.org/?mlat=36.3534&amp;mlon=43.2143&amp;zoom=12#map=12/36.3534/43.2143","Maplink1")</f>
        <v>Maplink1</v>
      </c>
      <c r="AU2027" s="12" t="str">
        <f>HYPERLINK("https://www.google.iq/maps/search/+36.3534,43.2143/@36.3534,43.2143,14z?hl=en","Maplink2")</f>
        <v>Maplink2</v>
      </c>
      <c r="AV2027" s="12" t="str">
        <f>HYPERLINK("http://www.bing.com/maps/?lvl=14&amp;sty=h&amp;cp=36.3534~43.2143&amp;sp=point.36.3534_43.2143","Maplink3")</f>
        <v>Maplink3</v>
      </c>
    </row>
    <row r="2028" spans="1:48" ht="15" customHeight="1" x14ac:dyDescent="0.25">
      <c r="A2028" s="19">
        <v>18365</v>
      </c>
      <c r="B2028" s="20" t="s">
        <v>21</v>
      </c>
      <c r="C2028" s="20" t="s">
        <v>3671</v>
      </c>
      <c r="D2028" s="20" t="s">
        <v>3690</v>
      </c>
      <c r="E2028" s="20" t="s">
        <v>3691</v>
      </c>
      <c r="F2028" s="20">
        <v>36.322032999999998</v>
      </c>
      <c r="G2028" s="20">
        <v>43.093643</v>
      </c>
      <c r="H2028" s="22">
        <v>100</v>
      </c>
      <c r="I2028" s="22">
        <v>600</v>
      </c>
      <c r="J2028" s="21"/>
      <c r="K2028" s="21"/>
      <c r="L2028" s="21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>
        <v>100</v>
      </c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21"/>
      <c r="AH2028" s="21">
        <v>100</v>
      </c>
      <c r="AI2028" s="21"/>
      <c r="AJ2028" s="21"/>
      <c r="AK2028" s="21"/>
      <c r="AL2028" s="21"/>
      <c r="AM2028" s="21"/>
      <c r="AN2028" s="21"/>
      <c r="AO2028" s="21"/>
      <c r="AP2028" s="21">
        <v>55</v>
      </c>
      <c r="AQ2028" s="21"/>
      <c r="AR2028" s="21">
        <v>45</v>
      </c>
      <c r="AS2028" s="21"/>
      <c r="AT2028" s="12" t="str">
        <f>HYPERLINK("http://www.openstreetmap.org/?mlat=36.322&amp;mlon=43.0936&amp;zoom=12#map=12/36.322/43.0936","Maplink1")</f>
        <v>Maplink1</v>
      </c>
      <c r="AU2028" s="12" t="str">
        <f>HYPERLINK("https://www.google.iq/maps/search/+36.322,43.0936/@36.322,43.0936,14z?hl=en","Maplink2")</f>
        <v>Maplink2</v>
      </c>
      <c r="AV2028" s="12" t="str">
        <f>HYPERLINK("http://www.bing.com/maps/?lvl=14&amp;sty=h&amp;cp=36.322~43.0936&amp;sp=point.36.322_43.0936","Maplink3")</f>
        <v>Maplink3</v>
      </c>
    </row>
    <row r="2029" spans="1:48" ht="15" customHeight="1" x14ac:dyDescent="0.25">
      <c r="A2029" s="19">
        <v>18335</v>
      </c>
      <c r="B2029" s="20" t="s">
        <v>21</v>
      </c>
      <c r="C2029" s="20" t="s">
        <v>3671</v>
      </c>
      <c r="D2029" s="20" t="s">
        <v>3692</v>
      </c>
      <c r="E2029" s="20" t="s">
        <v>3693</v>
      </c>
      <c r="F2029" s="20">
        <v>36.380004339999999</v>
      </c>
      <c r="G2029" s="20">
        <v>43.13150022</v>
      </c>
      <c r="H2029" s="22">
        <v>85</v>
      </c>
      <c r="I2029" s="22">
        <v>510</v>
      </c>
      <c r="J2029" s="21"/>
      <c r="K2029" s="21"/>
      <c r="L2029" s="21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>
        <v>85</v>
      </c>
      <c r="W2029" s="21"/>
      <c r="X2029" s="21"/>
      <c r="Y2029" s="21"/>
      <c r="Z2029" s="21"/>
      <c r="AA2029" s="21"/>
      <c r="AB2029" s="21"/>
      <c r="AC2029" s="21">
        <v>20</v>
      </c>
      <c r="AD2029" s="21"/>
      <c r="AE2029" s="21"/>
      <c r="AF2029" s="21"/>
      <c r="AG2029" s="21"/>
      <c r="AH2029" s="21">
        <v>65</v>
      </c>
      <c r="AI2029" s="21"/>
      <c r="AJ2029" s="21"/>
      <c r="AK2029" s="21"/>
      <c r="AL2029" s="21"/>
      <c r="AM2029" s="21"/>
      <c r="AN2029" s="21"/>
      <c r="AO2029" s="21"/>
      <c r="AP2029" s="21"/>
      <c r="AQ2029" s="21"/>
      <c r="AR2029" s="21">
        <v>85</v>
      </c>
      <c r="AS2029" s="21"/>
      <c r="AT2029" s="12" t="str">
        <f>HYPERLINK("http://www.openstreetmap.org/?mlat=36.38&amp;mlon=43.1315&amp;zoom=12#map=12/36.38/43.1315","Maplink1")</f>
        <v>Maplink1</v>
      </c>
      <c r="AU2029" s="12" t="str">
        <f>HYPERLINK("https://www.google.iq/maps/search/+36.38,43.1315/@36.38,43.1315,14z?hl=en","Maplink2")</f>
        <v>Maplink2</v>
      </c>
      <c r="AV2029" s="12" t="str">
        <f>HYPERLINK("http://www.bing.com/maps/?lvl=14&amp;sty=h&amp;cp=36.38~43.1315&amp;sp=point.36.38_43.1315","Maplink3")</f>
        <v>Maplink3</v>
      </c>
    </row>
    <row r="2030" spans="1:48" ht="15" customHeight="1" x14ac:dyDescent="0.25">
      <c r="A2030" s="19">
        <v>31775</v>
      </c>
      <c r="B2030" s="20" t="s">
        <v>21</v>
      </c>
      <c r="C2030" s="20" t="s">
        <v>3671</v>
      </c>
      <c r="D2030" s="20" t="s">
        <v>3694</v>
      </c>
      <c r="E2030" s="20" t="s">
        <v>3695</v>
      </c>
      <c r="F2030" s="20">
        <v>36.189129999999999</v>
      </c>
      <c r="G2030" s="20">
        <v>43.206940000000003</v>
      </c>
      <c r="H2030" s="22">
        <v>2</v>
      </c>
      <c r="I2030" s="22">
        <v>12</v>
      </c>
      <c r="J2030" s="21"/>
      <c r="K2030" s="21"/>
      <c r="L2030" s="21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>
        <v>2</v>
      </c>
      <c r="W2030" s="21"/>
      <c r="X2030" s="21"/>
      <c r="Y2030" s="21"/>
      <c r="Z2030" s="21"/>
      <c r="AA2030" s="21"/>
      <c r="AB2030" s="21"/>
      <c r="AC2030" s="21">
        <v>2</v>
      </c>
      <c r="AD2030" s="21"/>
      <c r="AE2030" s="21"/>
      <c r="AF2030" s="21"/>
      <c r="AG2030" s="21"/>
      <c r="AH2030" s="21"/>
      <c r="AI2030" s="21"/>
      <c r="AJ2030" s="21"/>
      <c r="AK2030" s="21"/>
      <c r="AL2030" s="21"/>
      <c r="AM2030" s="21"/>
      <c r="AN2030" s="21"/>
      <c r="AO2030" s="21"/>
      <c r="AP2030" s="21"/>
      <c r="AQ2030" s="21"/>
      <c r="AR2030" s="21">
        <v>2</v>
      </c>
      <c r="AS2030" s="21"/>
      <c r="AT2030" s="12" t="str">
        <f>HYPERLINK("http://www.openstreetmap.org/?mlat=36.1891&amp;mlon=43.2069&amp;zoom=12#map=12/36.1891/43.2069","Maplink1")</f>
        <v>Maplink1</v>
      </c>
      <c r="AU2030" s="12" t="str">
        <f>HYPERLINK("https://www.google.iq/maps/search/+36.1891,43.2069/@36.1891,43.2069,14z?hl=en","Maplink2")</f>
        <v>Maplink2</v>
      </c>
      <c r="AV2030" s="12" t="str">
        <f>HYPERLINK("http://www.bing.com/maps/?lvl=14&amp;sty=h&amp;cp=36.1891~43.2069&amp;sp=point.36.1891_43.2069","Maplink3")</f>
        <v>Maplink3</v>
      </c>
    </row>
    <row r="2031" spans="1:48" ht="15" customHeight="1" x14ac:dyDescent="0.25">
      <c r="A2031" s="19">
        <v>17744</v>
      </c>
      <c r="B2031" s="20" t="s">
        <v>21</v>
      </c>
      <c r="C2031" s="20" t="s">
        <v>3671</v>
      </c>
      <c r="D2031" s="20" t="s">
        <v>3696</v>
      </c>
      <c r="E2031" s="20" t="s">
        <v>3697</v>
      </c>
      <c r="F2031" s="20">
        <v>35.783900000000003</v>
      </c>
      <c r="G2031" s="20">
        <v>43.309699999999999</v>
      </c>
      <c r="H2031" s="22">
        <v>10</v>
      </c>
      <c r="I2031" s="22">
        <v>60</v>
      </c>
      <c r="J2031" s="21"/>
      <c r="K2031" s="21"/>
      <c r="L2031" s="21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>
        <v>10</v>
      </c>
      <c r="W2031" s="21"/>
      <c r="X2031" s="21"/>
      <c r="Y2031" s="21"/>
      <c r="Z2031" s="21"/>
      <c r="AA2031" s="21"/>
      <c r="AB2031" s="21"/>
      <c r="AC2031" s="21">
        <v>10</v>
      </c>
      <c r="AD2031" s="21"/>
      <c r="AE2031" s="21"/>
      <c r="AF2031" s="21"/>
      <c r="AG2031" s="21"/>
      <c r="AH2031" s="21"/>
      <c r="AI2031" s="21"/>
      <c r="AJ2031" s="21"/>
      <c r="AK2031" s="21"/>
      <c r="AL2031" s="21"/>
      <c r="AM2031" s="21"/>
      <c r="AN2031" s="21"/>
      <c r="AO2031" s="21"/>
      <c r="AP2031" s="21"/>
      <c r="AQ2031" s="21"/>
      <c r="AR2031" s="21"/>
      <c r="AS2031" s="21">
        <v>10</v>
      </c>
      <c r="AT2031" s="12" t="str">
        <f>HYPERLINK("http://www.openstreetmap.org/?mlat=35.7839&amp;mlon=43.3097&amp;zoom=12#map=12/35.7839/43.3097","Maplink1")</f>
        <v>Maplink1</v>
      </c>
      <c r="AU2031" s="12" t="str">
        <f>HYPERLINK("https://www.google.iq/maps/search/+35.7839,43.3097/@35.7839,43.3097,14z?hl=en","Maplink2")</f>
        <v>Maplink2</v>
      </c>
      <c r="AV2031" s="12" t="str">
        <f>HYPERLINK("http://www.bing.com/maps/?lvl=14&amp;sty=h&amp;cp=35.7839~43.3097&amp;sp=point.35.7839_43.3097","Maplink3")</f>
        <v>Maplink3</v>
      </c>
    </row>
    <row r="2032" spans="1:48" ht="15" customHeight="1" x14ac:dyDescent="0.25">
      <c r="A2032" s="19">
        <v>31922</v>
      </c>
      <c r="B2032" s="20" t="s">
        <v>21</v>
      </c>
      <c r="C2032" s="20" t="s">
        <v>3671</v>
      </c>
      <c r="D2032" s="20" t="s">
        <v>3698</v>
      </c>
      <c r="E2032" s="20" t="s">
        <v>3699</v>
      </c>
      <c r="F2032" s="20">
        <v>36.334574000000003</v>
      </c>
      <c r="G2032" s="20">
        <v>43.163378999999999</v>
      </c>
      <c r="H2032" s="22">
        <v>257</v>
      </c>
      <c r="I2032" s="22">
        <v>1542</v>
      </c>
      <c r="J2032" s="21"/>
      <c r="K2032" s="21"/>
      <c r="L2032" s="21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>
        <v>257</v>
      </c>
      <c r="W2032" s="21"/>
      <c r="X2032" s="21"/>
      <c r="Y2032" s="21"/>
      <c r="Z2032" s="21"/>
      <c r="AA2032" s="21"/>
      <c r="AB2032" s="21"/>
      <c r="AC2032" s="21">
        <v>97</v>
      </c>
      <c r="AD2032" s="21"/>
      <c r="AE2032" s="21"/>
      <c r="AF2032" s="21"/>
      <c r="AG2032" s="21"/>
      <c r="AH2032" s="21">
        <v>160</v>
      </c>
      <c r="AI2032" s="21"/>
      <c r="AJ2032" s="21"/>
      <c r="AK2032" s="21"/>
      <c r="AL2032" s="21"/>
      <c r="AM2032" s="21"/>
      <c r="AN2032" s="21"/>
      <c r="AO2032" s="21"/>
      <c r="AP2032" s="21"/>
      <c r="AQ2032" s="21"/>
      <c r="AR2032" s="21">
        <v>257</v>
      </c>
      <c r="AS2032" s="21"/>
      <c r="AT2032" s="12" t="str">
        <f>HYPERLINK("http://www.openstreetmap.org/?mlat=36.3346&amp;mlon=43.1634&amp;zoom=12#map=12/36.3346/43.1634","Maplink1")</f>
        <v>Maplink1</v>
      </c>
      <c r="AU2032" s="12" t="str">
        <f>HYPERLINK("https://www.google.iq/maps/search/+36.3346,43.1634/@36.3346,43.1634,14z?hl=en","Maplink2")</f>
        <v>Maplink2</v>
      </c>
      <c r="AV2032" s="12" t="str">
        <f>HYPERLINK("http://www.bing.com/maps/?lvl=14&amp;sty=h&amp;cp=36.3346~43.1634&amp;sp=point.36.3346_43.1634","Maplink3")</f>
        <v>Maplink3</v>
      </c>
    </row>
    <row r="2033" spans="1:48" ht="15" customHeight="1" x14ac:dyDescent="0.25">
      <c r="A2033" s="19">
        <v>18320</v>
      </c>
      <c r="B2033" s="20" t="s">
        <v>21</v>
      </c>
      <c r="C2033" s="20" t="s">
        <v>3671</v>
      </c>
      <c r="D2033" s="20" t="s">
        <v>3700</v>
      </c>
      <c r="E2033" s="20" t="s">
        <v>3701</v>
      </c>
      <c r="F2033" s="20">
        <v>36.383340279999999</v>
      </c>
      <c r="G2033" s="20">
        <v>43.16213406</v>
      </c>
      <c r="H2033" s="22">
        <v>466</v>
      </c>
      <c r="I2033" s="22">
        <v>2796</v>
      </c>
      <c r="J2033" s="21"/>
      <c r="K2033" s="21"/>
      <c r="L2033" s="21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>
        <v>466</v>
      </c>
      <c r="W2033" s="21"/>
      <c r="X2033" s="21"/>
      <c r="Y2033" s="21"/>
      <c r="Z2033" s="21"/>
      <c r="AA2033" s="21"/>
      <c r="AB2033" s="21"/>
      <c r="AC2033" s="21">
        <v>160</v>
      </c>
      <c r="AD2033" s="21"/>
      <c r="AE2033" s="21"/>
      <c r="AF2033" s="21"/>
      <c r="AG2033" s="21"/>
      <c r="AH2033" s="21">
        <v>303</v>
      </c>
      <c r="AI2033" s="21"/>
      <c r="AJ2033" s="21">
        <v>3</v>
      </c>
      <c r="AK2033" s="21"/>
      <c r="AL2033" s="21"/>
      <c r="AM2033" s="21"/>
      <c r="AN2033" s="21"/>
      <c r="AO2033" s="21"/>
      <c r="AP2033" s="21"/>
      <c r="AQ2033" s="21"/>
      <c r="AR2033" s="21">
        <v>466</v>
      </c>
      <c r="AS2033" s="21"/>
      <c r="AT2033" s="12" t="str">
        <f>HYPERLINK("http://www.openstreetmap.org/?mlat=36.3833&amp;mlon=43.1621&amp;zoom=12#map=12/36.3833/43.1621","Maplink1")</f>
        <v>Maplink1</v>
      </c>
      <c r="AU2033" s="12" t="str">
        <f>HYPERLINK("https://www.google.iq/maps/search/+36.3833,43.1621/@36.3833,43.1621,14z?hl=en","Maplink2")</f>
        <v>Maplink2</v>
      </c>
      <c r="AV2033" s="12" t="str">
        <f>HYPERLINK("http://www.bing.com/maps/?lvl=14&amp;sty=h&amp;cp=36.3833~43.1621&amp;sp=point.36.3833_43.1621","Maplink3")</f>
        <v>Maplink3</v>
      </c>
    </row>
    <row r="2034" spans="1:48" ht="15" customHeight="1" x14ac:dyDescent="0.25">
      <c r="A2034" s="19">
        <v>18337</v>
      </c>
      <c r="B2034" s="20" t="s">
        <v>21</v>
      </c>
      <c r="C2034" s="20" t="s">
        <v>3671</v>
      </c>
      <c r="D2034" s="20" t="s">
        <v>3702</v>
      </c>
      <c r="E2034" s="20" t="s">
        <v>5732</v>
      </c>
      <c r="F2034" s="20">
        <v>36.387934000000001</v>
      </c>
      <c r="G2034" s="20">
        <v>43.178249000000001</v>
      </c>
      <c r="H2034" s="22">
        <v>285</v>
      </c>
      <c r="I2034" s="22">
        <v>1710</v>
      </c>
      <c r="J2034" s="21"/>
      <c r="K2034" s="21"/>
      <c r="L2034" s="21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>
        <v>285</v>
      </c>
      <c r="W2034" s="21"/>
      <c r="X2034" s="21"/>
      <c r="Y2034" s="21"/>
      <c r="Z2034" s="21"/>
      <c r="AA2034" s="21"/>
      <c r="AB2034" s="21"/>
      <c r="AC2034" s="21">
        <v>75</v>
      </c>
      <c r="AD2034" s="21"/>
      <c r="AE2034" s="21"/>
      <c r="AF2034" s="21"/>
      <c r="AG2034" s="21"/>
      <c r="AH2034" s="21">
        <v>210</v>
      </c>
      <c r="AI2034" s="21"/>
      <c r="AJ2034" s="21"/>
      <c r="AK2034" s="21"/>
      <c r="AL2034" s="21"/>
      <c r="AM2034" s="21"/>
      <c r="AN2034" s="21"/>
      <c r="AO2034" s="21"/>
      <c r="AP2034" s="21"/>
      <c r="AQ2034" s="21"/>
      <c r="AR2034" s="21">
        <v>285</v>
      </c>
      <c r="AS2034" s="21"/>
      <c r="AT2034" s="12" t="str">
        <f>HYPERLINK("http://www.openstreetmap.org/?mlat=36.3879&amp;mlon=43.1782&amp;zoom=12#map=12/36.3879/43.1782","Maplink1")</f>
        <v>Maplink1</v>
      </c>
      <c r="AU2034" s="12" t="str">
        <f>HYPERLINK("https://www.google.iq/maps/search/+36.3879,43.1782/@36.3879,43.1782,14z?hl=en","Maplink2")</f>
        <v>Maplink2</v>
      </c>
      <c r="AV2034" s="12" t="str">
        <f>HYPERLINK("http://www.bing.com/maps/?lvl=14&amp;sty=h&amp;cp=36.3879~43.1782&amp;sp=point.36.3879_43.1782","Maplink3")</f>
        <v>Maplink3</v>
      </c>
    </row>
    <row r="2035" spans="1:48" ht="15" customHeight="1" x14ac:dyDescent="0.25">
      <c r="A2035" s="19">
        <v>31842</v>
      </c>
      <c r="B2035" s="20" t="s">
        <v>21</v>
      </c>
      <c r="C2035" s="20" t="s">
        <v>3671</v>
      </c>
      <c r="D2035" s="20" t="s">
        <v>3704</v>
      </c>
      <c r="E2035" s="20" t="s">
        <v>3705</v>
      </c>
      <c r="F2035" s="20">
        <v>35.736159999999998</v>
      </c>
      <c r="G2035" s="20">
        <v>43.309980000000003</v>
      </c>
      <c r="H2035" s="22">
        <v>4</v>
      </c>
      <c r="I2035" s="22">
        <v>24</v>
      </c>
      <c r="J2035" s="21"/>
      <c r="K2035" s="21"/>
      <c r="L2035" s="21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>
        <v>4</v>
      </c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21"/>
      <c r="AH2035" s="21">
        <v>4</v>
      </c>
      <c r="AI2035" s="21"/>
      <c r="AJ2035" s="21"/>
      <c r="AK2035" s="21"/>
      <c r="AL2035" s="21"/>
      <c r="AM2035" s="21"/>
      <c r="AN2035" s="21"/>
      <c r="AO2035" s="21"/>
      <c r="AP2035" s="21"/>
      <c r="AQ2035" s="21"/>
      <c r="AR2035" s="21">
        <v>4</v>
      </c>
      <c r="AS2035" s="21"/>
      <c r="AT2035" s="12" t="str">
        <f>HYPERLINK("http://www.openstreetmap.org/?mlat=35.7362&amp;mlon=43.31&amp;zoom=12#map=12/35.7362/43.31","Maplink1")</f>
        <v>Maplink1</v>
      </c>
      <c r="AU2035" s="12" t="str">
        <f>HYPERLINK("https://www.google.iq/maps/search/+35.7362,43.31/@35.7362,43.31,14z?hl=en","Maplink2")</f>
        <v>Maplink2</v>
      </c>
      <c r="AV2035" s="12" t="str">
        <f>HYPERLINK("http://www.bing.com/maps/?lvl=14&amp;sty=h&amp;cp=35.7362~43.31&amp;sp=point.35.7362_43.31","Maplink3")</f>
        <v>Maplink3</v>
      </c>
    </row>
    <row r="2036" spans="1:48" ht="15" customHeight="1" x14ac:dyDescent="0.25">
      <c r="A2036" s="19">
        <v>18401</v>
      </c>
      <c r="B2036" s="20" t="s">
        <v>21</v>
      </c>
      <c r="C2036" s="20" t="s">
        <v>3671</v>
      </c>
      <c r="D2036" s="20" t="s">
        <v>5733</v>
      </c>
      <c r="E2036" s="20" t="s">
        <v>5734</v>
      </c>
      <c r="F2036" s="20">
        <v>36.330503</v>
      </c>
      <c r="G2036" s="20">
        <v>43.129826000000001</v>
      </c>
      <c r="H2036" s="22">
        <v>120</v>
      </c>
      <c r="I2036" s="22">
        <v>720</v>
      </c>
      <c r="J2036" s="21"/>
      <c r="K2036" s="21"/>
      <c r="L2036" s="21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>
        <v>120</v>
      </c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21"/>
      <c r="AH2036" s="21">
        <v>120</v>
      </c>
      <c r="AI2036" s="21"/>
      <c r="AJ2036" s="21"/>
      <c r="AK2036" s="21"/>
      <c r="AL2036" s="21"/>
      <c r="AM2036" s="21"/>
      <c r="AN2036" s="21"/>
      <c r="AO2036" s="21"/>
      <c r="AP2036" s="21"/>
      <c r="AQ2036" s="21"/>
      <c r="AR2036" s="21">
        <v>120</v>
      </c>
      <c r="AS2036" s="21"/>
      <c r="AT2036" s="12" t="str">
        <f>HYPERLINK("http://www.openstreetmap.org/?mlat=36.3305&amp;mlon=43.1298&amp;zoom=12#map=12/36.3305/43.1298","Maplink1")</f>
        <v>Maplink1</v>
      </c>
      <c r="AU2036" s="12" t="str">
        <f>HYPERLINK("https://www.google.iq/maps/search/+36.3305,43.1298/@36.3305,43.1298,14z?hl=en","Maplink2")</f>
        <v>Maplink2</v>
      </c>
      <c r="AV2036" s="12" t="str">
        <f>HYPERLINK("http://www.bing.com/maps/?lvl=14&amp;sty=h&amp;cp=36.3305~43.1298&amp;sp=point.36.3305_43.1298","Maplink3")</f>
        <v>Maplink3</v>
      </c>
    </row>
    <row r="2037" spans="1:48" ht="15" customHeight="1" x14ac:dyDescent="0.25">
      <c r="A2037" s="19">
        <v>31915</v>
      </c>
      <c r="B2037" s="20" t="s">
        <v>21</v>
      </c>
      <c r="C2037" s="20" t="s">
        <v>3671</v>
      </c>
      <c r="D2037" s="20" t="s">
        <v>3706</v>
      </c>
      <c r="E2037" s="20" t="s">
        <v>3707</v>
      </c>
      <c r="F2037" s="20">
        <v>36.390248999999997</v>
      </c>
      <c r="G2037" s="20">
        <v>43.180571999999998</v>
      </c>
      <c r="H2037" s="22">
        <v>95</v>
      </c>
      <c r="I2037" s="22">
        <v>570</v>
      </c>
      <c r="J2037" s="21"/>
      <c r="K2037" s="21"/>
      <c r="L2037" s="21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>
        <v>95</v>
      </c>
      <c r="W2037" s="21"/>
      <c r="X2037" s="21"/>
      <c r="Y2037" s="21"/>
      <c r="Z2037" s="21"/>
      <c r="AA2037" s="21"/>
      <c r="AB2037" s="21"/>
      <c r="AC2037" s="21">
        <v>15</v>
      </c>
      <c r="AD2037" s="21"/>
      <c r="AE2037" s="21"/>
      <c r="AF2037" s="21"/>
      <c r="AG2037" s="21"/>
      <c r="AH2037" s="21">
        <v>80</v>
      </c>
      <c r="AI2037" s="21"/>
      <c r="AJ2037" s="21"/>
      <c r="AK2037" s="21"/>
      <c r="AL2037" s="21"/>
      <c r="AM2037" s="21"/>
      <c r="AN2037" s="21"/>
      <c r="AO2037" s="21"/>
      <c r="AP2037" s="21"/>
      <c r="AQ2037" s="21"/>
      <c r="AR2037" s="21">
        <v>95</v>
      </c>
      <c r="AS2037" s="21"/>
      <c r="AT2037" s="12" t="str">
        <f>HYPERLINK("http://www.openstreetmap.org/?mlat=36.3902&amp;mlon=43.1806&amp;zoom=12#map=12/36.3902/43.1806","Maplink1")</f>
        <v>Maplink1</v>
      </c>
      <c r="AU2037" s="12" t="str">
        <f>HYPERLINK("https://www.google.iq/maps/search/+36.3902,43.1806/@36.3902,43.1806,14z?hl=en","Maplink2")</f>
        <v>Maplink2</v>
      </c>
      <c r="AV2037" s="12" t="str">
        <f>HYPERLINK("http://www.bing.com/maps/?lvl=14&amp;sty=h&amp;cp=36.3902~43.1806&amp;sp=point.36.3902_43.1806","Maplink3")</f>
        <v>Maplink3</v>
      </c>
    </row>
    <row r="2038" spans="1:48" ht="15" customHeight="1" x14ac:dyDescent="0.25">
      <c r="A2038" s="19">
        <v>17680</v>
      </c>
      <c r="B2038" s="20" t="s">
        <v>21</v>
      </c>
      <c r="C2038" s="20" t="s">
        <v>3671</v>
      </c>
      <c r="D2038" s="20" t="s">
        <v>3708</v>
      </c>
      <c r="E2038" s="20" t="s">
        <v>3709</v>
      </c>
      <c r="F2038" s="20">
        <v>35.956499999999998</v>
      </c>
      <c r="G2038" s="20">
        <v>42.967100000000002</v>
      </c>
      <c r="H2038" s="22">
        <v>4</v>
      </c>
      <c r="I2038" s="22">
        <v>24</v>
      </c>
      <c r="J2038" s="21"/>
      <c r="K2038" s="21"/>
      <c r="L2038" s="21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>
        <v>4</v>
      </c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21"/>
      <c r="AH2038" s="21">
        <v>4</v>
      </c>
      <c r="AI2038" s="21"/>
      <c r="AJ2038" s="21"/>
      <c r="AK2038" s="21"/>
      <c r="AL2038" s="21"/>
      <c r="AM2038" s="21"/>
      <c r="AN2038" s="21"/>
      <c r="AO2038" s="21"/>
      <c r="AP2038" s="21"/>
      <c r="AQ2038" s="21"/>
      <c r="AR2038" s="21">
        <v>4</v>
      </c>
      <c r="AS2038" s="21"/>
      <c r="AT2038" s="12" t="str">
        <f>HYPERLINK("http://www.openstreetmap.org/?mlat=35.9565&amp;mlon=42.9671&amp;zoom=12#map=12/35.9565/42.9671","Maplink1")</f>
        <v>Maplink1</v>
      </c>
      <c r="AU2038" s="12" t="str">
        <f>HYPERLINK("https://www.google.iq/maps/search/+35.9565,42.9671/@35.9565,42.9671,14z?hl=en","Maplink2")</f>
        <v>Maplink2</v>
      </c>
      <c r="AV2038" s="12" t="str">
        <f>HYPERLINK("http://www.bing.com/maps/?lvl=14&amp;sty=h&amp;cp=35.9565~42.9671&amp;sp=point.35.9565_42.9671","Maplink3")</f>
        <v>Maplink3</v>
      </c>
    </row>
    <row r="2039" spans="1:48" ht="15" customHeight="1" x14ac:dyDescent="0.25">
      <c r="A2039" s="19">
        <v>18331</v>
      </c>
      <c r="B2039" s="20" t="s">
        <v>21</v>
      </c>
      <c r="C2039" s="20" t="s">
        <v>3671</v>
      </c>
      <c r="D2039" s="20" t="s">
        <v>3710</v>
      </c>
      <c r="E2039" s="20" t="s">
        <v>3711</v>
      </c>
      <c r="F2039" s="20">
        <v>36.3934</v>
      </c>
      <c r="G2039" s="20">
        <v>43.150300000000001</v>
      </c>
      <c r="H2039" s="22">
        <v>113</v>
      </c>
      <c r="I2039" s="22">
        <v>678</v>
      </c>
      <c r="J2039" s="21"/>
      <c r="K2039" s="21"/>
      <c r="L2039" s="21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>
        <v>113</v>
      </c>
      <c r="W2039" s="21"/>
      <c r="X2039" s="21"/>
      <c r="Y2039" s="21"/>
      <c r="Z2039" s="21"/>
      <c r="AA2039" s="21"/>
      <c r="AB2039" s="21"/>
      <c r="AC2039" s="21">
        <v>32</v>
      </c>
      <c r="AD2039" s="21"/>
      <c r="AE2039" s="21"/>
      <c r="AF2039" s="21"/>
      <c r="AG2039" s="21"/>
      <c r="AH2039" s="21">
        <v>51</v>
      </c>
      <c r="AI2039" s="21">
        <v>29</v>
      </c>
      <c r="AJ2039" s="21">
        <v>1</v>
      </c>
      <c r="AK2039" s="21"/>
      <c r="AL2039" s="21"/>
      <c r="AM2039" s="21"/>
      <c r="AN2039" s="21">
        <v>8</v>
      </c>
      <c r="AO2039" s="21"/>
      <c r="AP2039" s="21">
        <v>20</v>
      </c>
      <c r="AQ2039" s="21"/>
      <c r="AR2039" s="21">
        <v>85</v>
      </c>
      <c r="AS2039" s="21"/>
      <c r="AT2039" s="12" t="str">
        <f>HYPERLINK("http://www.openstreetmap.org/?mlat=36.3934&amp;mlon=43.1503&amp;zoom=12#map=12/36.3934/43.1503","Maplink1")</f>
        <v>Maplink1</v>
      </c>
      <c r="AU2039" s="12" t="str">
        <f>HYPERLINK("https://www.google.iq/maps/search/+36.3934,43.1503/@36.3934,43.1503,14z?hl=en","Maplink2")</f>
        <v>Maplink2</v>
      </c>
      <c r="AV2039" s="12" t="str">
        <f>HYPERLINK("http://www.bing.com/maps/?lvl=14&amp;sty=h&amp;cp=36.3934~43.1503&amp;sp=point.36.3934_43.1503","Maplink3")</f>
        <v>Maplink3</v>
      </c>
    </row>
    <row r="2040" spans="1:48" ht="15" customHeight="1" x14ac:dyDescent="0.25">
      <c r="A2040" s="19">
        <v>24738</v>
      </c>
      <c r="B2040" s="20" t="s">
        <v>21</v>
      </c>
      <c r="C2040" s="20" t="s">
        <v>3671</v>
      </c>
      <c r="D2040" s="20" t="s">
        <v>3712</v>
      </c>
      <c r="E2040" s="20" t="s">
        <v>3713</v>
      </c>
      <c r="F2040" s="20">
        <v>36.366599999999998</v>
      </c>
      <c r="G2040" s="20">
        <v>43.075299999999999</v>
      </c>
      <c r="H2040" s="22">
        <v>135</v>
      </c>
      <c r="I2040" s="22">
        <v>810</v>
      </c>
      <c r="J2040" s="21"/>
      <c r="K2040" s="21"/>
      <c r="L2040" s="21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>
        <v>135</v>
      </c>
      <c r="W2040" s="21"/>
      <c r="X2040" s="21"/>
      <c r="Y2040" s="21"/>
      <c r="Z2040" s="21"/>
      <c r="AA2040" s="21"/>
      <c r="AB2040" s="21"/>
      <c r="AC2040" s="21">
        <v>15</v>
      </c>
      <c r="AD2040" s="21"/>
      <c r="AE2040" s="21"/>
      <c r="AF2040" s="21"/>
      <c r="AG2040" s="21"/>
      <c r="AH2040" s="21"/>
      <c r="AI2040" s="21"/>
      <c r="AJ2040" s="21">
        <v>100</v>
      </c>
      <c r="AK2040" s="21">
        <v>20</v>
      </c>
      <c r="AL2040" s="21"/>
      <c r="AM2040" s="21"/>
      <c r="AN2040" s="21"/>
      <c r="AO2040" s="21">
        <v>100</v>
      </c>
      <c r="AP2040" s="21">
        <v>20</v>
      </c>
      <c r="AQ2040" s="21">
        <v>15</v>
      </c>
      <c r="AR2040" s="21"/>
      <c r="AS2040" s="21"/>
      <c r="AT2040" s="12" t="str">
        <f>HYPERLINK("http://www.openstreetmap.org/?mlat=36.3666&amp;mlon=43.0753&amp;zoom=12#map=12/36.3666/43.0753","Maplink1")</f>
        <v>Maplink1</v>
      </c>
      <c r="AU2040" s="12" t="str">
        <f>HYPERLINK("https://www.google.iq/maps/search/+36.3666,43.0753/@36.3666,43.0753,14z?hl=en","Maplink2")</f>
        <v>Maplink2</v>
      </c>
      <c r="AV2040" s="12" t="str">
        <f>HYPERLINK("http://www.bing.com/maps/?lvl=14&amp;sty=h&amp;cp=36.3666~43.0753&amp;sp=point.36.3666_43.0753","Maplink3")</f>
        <v>Maplink3</v>
      </c>
    </row>
    <row r="2041" spans="1:48" ht="15" customHeight="1" x14ac:dyDescent="0.25">
      <c r="A2041" s="19">
        <v>31835</v>
      </c>
      <c r="B2041" s="20" t="s">
        <v>21</v>
      </c>
      <c r="C2041" s="20" t="s">
        <v>3671</v>
      </c>
      <c r="D2041" s="20" t="s">
        <v>3714</v>
      </c>
      <c r="E2041" s="20" t="s">
        <v>3715</v>
      </c>
      <c r="F2041" s="20">
        <v>35.740090000000002</v>
      </c>
      <c r="G2041" s="20">
        <v>43.312240000000003</v>
      </c>
      <c r="H2041" s="22">
        <v>20</v>
      </c>
      <c r="I2041" s="22">
        <v>120</v>
      </c>
      <c r="J2041" s="21"/>
      <c r="K2041" s="21"/>
      <c r="L2041" s="21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>
        <v>20</v>
      </c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21"/>
      <c r="AH2041" s="21">
        <v>20</v>
      </c>
      <c r="AI2041" s="21"/>
      <c r="AJ2041" s="21"/>
      <c r="AK2041" s="21"/>
      <c r="AL2041" s="21"/>
      <c r="AM2041" s="21"/>
      <c r="AN2041" s="21"/>
      <c r="AO2041" s="21"/>
      <c r="AP2041" s="21"/>
      <c r="AQ2041" s="21"/>
      <c r="AR2041" s="21">
        <v>20</v>
      </c>
      <c r="AS2041" s="21"/>
      <c r="AT2041" s="12" t="str">
        <f>HYPERLINK("http://www.openstreetmap.org/?mlat=35.7401&amp;mlon=43.3122&amp;zoom=12#map=12/35.7401/43.3122","Maplink1")</f>
        <v>Maplink1</v>
      </c>
      <c r="AU2041" s="12" t="str">
        <f>HYPERLINK("https://www.google.iq/maps/search/+35.7401,43.3122/@35.7401,43.3122,14z?hl=en","Maplink2")</f>
        <v>Maplink2</v>
      </c>
      <c r="AV2041" s="12" t="str">
        <f>HYPERLINK("http://www.bing.com/maps/?lvl=14&amp;sty=h&amp;cp=35.7401~43.3122&amp;sp=point.35.7401_43.3122","Maplink3")</f>
        <v>Maplink3</v>
      </c>
    </row>
    <row r="2042" spans="1:48" ht="15" customHeight="1" x14ac:dyDescent="0.25">
      <c r="A2042" s="19">
        <v>29649</v>
      </c>
      <c r="B2042" s="20" t="s">
        <v>21</v>
      </c>
      <c r="C2042" s="20" t="s">
        <v>3671</v>
      </c>
      <c r="D2042" s="20" t="s">
        <v>3716</v>
      </c>
      <c r="E2042" s="20" t="s">
        <v>3717</v>
      </c>
      <c r="F2042" s="20">
        <v>35.8522770561</v>
      </c>
      <c r="G2042" s="20">
        <v>43.296961338499997</v>
      </c>
      <c r="H2042" s="22">
        <v>13</v>
      </c>
      <c r="I2042" s="22">
        <v>78</v>
      </c>
      <c r="J2042" s="21"/>
      <c r="K2042" s="21"/>
      <c r="L2042" s="21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>
        <v>13</v>
      </c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21"/>
      <c r="AH2042" s="21">
        <v>13</v>
      </c>
      <c r="AI2042" s="21"/>
      <c r="AJ2042" s="21"/>
      <c r="AK2042" s="21"/>
      <c r="AL2042" s="21"/>
      <c r="AM2042" s="21"/>
      <c r="AN2042" s="21"/>
      <c r="AO2042" s="21"/>
      <c r="AP2042" s="21"/>
      <c r="AQ2042" s="21"/>
      <c r="AR2042" s="21">
        <v>13</v>
      </c>
      <c r="AS2042" s="21"/>
      <c r="AT2042" s="12" t="str">
        <f>HYPERLINK("http://www.openstreetmap.org/?mlat=35.8523&amp;mlon=43.297&amp;zoom=12#map=12/35.8523/43.297","Maplink1")</f>
        <v>Maplink1</v>
      </c>
      <c r="AU2042" s="12" t="str">
        <f>HYPERLINK("https://www.google.iq/maps/search/+35.8523,43.297/@35.8523,43.297,14z?hl=en","Maplink2")</f>
        <v>Maplink2</v>
      </c>
      <c r="AV2042" s="12" t="str">
        <f>HYPERLINK("http://www.bing.com/maps/?lvl=14&amp;sty=h&amp;cp=35.8523~43.297&amp;sp=point.35.8523_43.297","Maplink3")</f>
        <v>Maplink3</v>
      </c>
    </row>
    <row r="2043" spans="1:48" ht="15" customHeight="1" x14ac:dyDescent="0.25">
      <c r="A2043" s="19">
        <v>33247</v>
      </c>
      <c r="B2043" s="20" t="s">
        <v>21</v>
      </c>
      <c r="C2043" s="20" t="s">
        <v>3671</v>
      </c>
      <c r="D2043" s="20" t="s">
        <v>5735</v>
      </c>
      <c r="E2043" s="20" t="s">
        <v>5736</v>
      </c>
      <c r="F2043" s="20">
        <v>36.325895000000003</v>
      </c>
      <c r="G2043" s="20">
        <v>43.137849000000003</v>
      </c>
      <c r="H2043" s="22">
        <v>25</v>
      </c>
      <c r="I2043" s="22">
        <v>150</v>
      </c>
      <c r="J2043" s="21"/>
      <c r="K2043" s="21"/>
      <c r="L2043" s="21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>
        <v>25</v>
      </c>
      <c r="W2043" s="21"/>
      <c r="X2043" s="21"/>
      <c r="Y2043" s="21"/>
      <c r="Z2043" s="21"/>
      <c r="AA2043" s="21"/>
      <c r="AB2043" s="21"/>
      <c r="AC2043" s="21">
        <v>25</v>
      </c>
      <c r="AD2043" s="21"/>
      <c r="AE2043" s="21"/>
      <c r="AF2043" s="21"/>
      <c r="AG2043" s="21"/>
      <c r="AH2043" s="21"/>
      <c r="AI2043" s="21"/>
      <c r="AJ2043" s="21"/>
      <c r="AK2043" s="21"/>
      <c r="AL2043" s="21"/>
      <c r="AM2043" s="21"/>
      <c r="AN2043" s="21"/>
      <c r="AO2043" s="21"/>
      <c r="AP2043" s="21"/>
      <c r="AQ2043" s="21"/>
      <c r="AR2043" s="21">
        <v>25</v>
      </c>
      <c r="AS2043" s="21"/>
      <c r="AT2043" s="12" t="str">
        <f>HYPERLINK("http://www.openstreetmap.org/?mlat=36.3259&amp;mlon=43.1378&amp;zoom=12#map=12/36.3259/43.1378","Maplink1")</f>
        <v>Maplink1</v>
      </c>
      <c r="AU2043" s="12" t="str">
        <f>HYPERLINK("https://www.google.iq/maps/search/+36.3259,43.1378/@36.3259,43.1378,14z?hl=en","Maplink2")</f>
        <v>Maplink2</v>
      </c>
      <c r="AV2043" s="12" t="str">
        <f>HYPERLINK("http://www.bing.com/maps/?lvl=14&amp;sty=h&amp;cp=36.3259~43.1378&amp;sp=point.36.3259_43.1378","Maplink3")</f>
        <v>Maplink3</v>
      </c>
    </row>
    <row r="2044" spans="1:48" ht="15" customHeight="1" x14ac:dyDescent="0.25">
      <c r="A2044" s="19">
        <v>31936</v>
      </c>
      <c r="B2044" s="20" t="s">
        <v>21</v>
      </c>
      <c r="C2044" s="20" t="s">
        <v>3671</v>
      </c>
      <c r="D2044" s="20" t="s">
        <v>3718</v>
      </c>
      <c r="E2044" s="20" t="s">
        <v>3719</v>
      </c>
      <c r="F2044" s="20">
        <v>35.661461000000003</v>
      </c>
      <c r="G2044" s="20">
        <v>43.235230000000001</v>
      </c>
      <c r="H2044" s="22">
        <v>2</v>
      </c>
      <c r="I2044" s="22">
        <v>12</v>
      </c>
      <c r="J2044" s="21"/>
      <c r="K2044" s="21"/>
      <c r="L2044" s="21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>
        <v>1</v>
      </c>
      <c r="W2044" s="21"/>
      <c r="X2044" s="21">
        <v>1</v>
      </c>
      <c r="Y2044" s="21"/>
      <c r="Z2044" s="21"/>
      <c r="AA2044" s="21"/>
      <c r="AB2044" s="21"/>
      <c r="AC2044" s="21"/>
      <c r="AD2044" s="21"/>
      <c r="AE2044" s="21"/>
      <c r="AF2044" s="21"/>
      <c r="AG2044" s="21"/>
      <c r="AH2044" s="21">
        <v>2</v>
      </c>
      <c r="AI2044" s="21"/>
      <c r="AJ2044" s="21"/>
      <c r="AK2044" s="21"/>
      <c r="AL2044" s="21"/>
      <c r="AM2044" s="21">
        <v>2</v>
      </c>
      <c r="AN2044" s="21"/>
      <c r="AO2044" s="21"/>
      <c r="AP2044" s="21"/>
      <c r="AQ2044" s="21"/>
      <c r="AR2044" s="21"/>
      <c r="AS2044" s="21"/>
      <c r="AT2044" s="12" t="str">
        <f>HYPERLINK("http://www.openstreetmap.org/?mlat=35.6615&amp;mlon=43.2352&amp;zoom=12#map=12/35.6615/43.2352","Maplink1")</f>
        <v>Maplink1</v>
      </c>
      <c r="AU2044" s="12" t="str">
        <f>HYPERLINK("https://www.google.iq/maps/search/+35.6615,43.2352/@35.6615,43.2352,14z?hl=en","Maplink2")</f>
        <v>Maplink2</v>
      </c>
      <c r="AV2044" s="12" t="str">
        <f>HYPERLINK("http://www.bing.com/maps/?lvl=14&amp;sty=h&amp;cp=35.6615~43.2352&amp;sp=point.35.6615_43.2352","Maplink3")</f>
        <v>Maplink3</v>
      </c>
    </row>
    <row r="2045" spans="1:48" ht="15" customHeight="1" x14ac:dyDescent="0.25">
      <c r="A2045" s="19">
        <v>18381</v>
      </c>
      <c r="B2045" s="20" t="s">
        <v>21</v>
      </c>
      <c r="C2045" s="20" t="s">
        <v>3671</v>
      </c>
      <c r="D2045" s="20" t="s">
        <v>3720</v>
      </c>
      <c r="E2045" s="20" t="s">
        <v>3721</v>
      </c>
      <c r="F2045" s="20">
        <v>36.397418000000002</v>
      </c>
      <c r="G2045" s="20">
        <v>43.145595</v>
      </c>
      <c r="H2045" s="22">
        <v>132</v>
      </c>
      <c r="I2045" s="22">
        <v>792</v>
      </c>
      <c r="J2045" s="21"/>
      <c r="K2045" s="21"/>
      <c r="L2045" s="21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>
        <v>132</v>
      </c>
      <c r="W2045" s="21"/>
      <c r="X2045" s="21"/>
      <c r="Y2045" s="21"/>
      <c r="Z2045" s="21"/>
      <c r="AA2045" s="21"/>
      <c r="AB2045" s="21"/>
      <c r="AC2045" s="21">
        <v>25</v>
      </c>
      <c r="AD2045" s="21"/>
      <c r="AE2045" s="21"/>
      <c r="AF2045" s="21"/>
      <c r="AG2045" s="21"/>
      <c r="AH2045" s="21">
        <v>107</v>
      </c>
      <c r="AI2045" s="21"/>
      <c r="AJ2045" s="21"/>
      <c r="AK2045" s="21"/>
      <c r="AL2045" s="21"/>
      <c r="AM2045" s="21"/>
      <c r="AN2045" s="21"/>
      <c r="AO2045" s="21"/>
      <c r="AP2045" s="21"/>
      <c r="AQ2045" s="21"/>
      <c r="AR2045" s="21">
        <v>132</v>
      </c>
      <c r="AS2045" s="21"/>
      <c r="AT2045" s="12" t="str">
        <f>HYPERLINK("http://www.openstreetmap.org/?mlat=36.3974&amp;mlon=43.1456&amp;zoom=12#map=12/36.3974/43.1456","Maplink1")</f>
        <v>Maplink1</v>
      </c>
      <c r="AU2045" s="12" t="str">
        <f>HYPERLINK("https://www.google.iq/maps/search/+36.3974,43.1456/@36.3974,43.1456,14z?hl=en","Maplink2")</f>
        <v>Maplink2</v>
      </c>
      <c r="AV2045" s="12" t="str">
        <f>HYPERLINK("http://www.bing.com/maps/?lvl=14&amp;sty=h&amp;cp=36.3974~43.1456&amp;sp=point.36.3974_43.1456","Maplink3")</f>
        <v>Maplink3</v>
      </c>
    </row>
    <row r="2046" spans="1:48" ht="15" customHeight="1" x14ac:dyDescent="0.25">
      <c r="A2046" s="19">
        <v>31843</v>
      </c>
      <c r="B2046" s="20" t="s">
        <v>21</v>
      </c>
      <c r="C2046" s="20" t="s">
        <v>3671</v>
      </c>
      <c r="D2046" s="20" t="s">
        <v>3722</v>
      </c>
      <c r="E2046" s="20" t="s">
        <v>3723</v>
      </c>
      <c r="F2046" s="20">
        <v>35.747799999999998</v>
      </c>
      <c r="G2046" s="20">
        <v>43.30303</v>
      </c>
      <c r="H2046" s="22">
        <v>12</v>
      </c>
      <c r="I2046" s="22">
        <v>72</v>
      </c>
      <c r="J2046" s="21"/>
      <c r="K2046" s="21"/>
      <c r="L2046" s="21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>
        <v>12</v>
      </c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21"/>
      <c r="AH2046" s="21">
        <v>12</v>
      </c>
      <c r="AI2046" s="21"/>
      <c r="AJ2046" s="21"/>
      <c r="AK2046" s="21"/>
      <c r="AL2046" s="21"/>
      <c r="AM2046" s="21"/>
      <c r="AN2046" s="21"/>
      <c r="AO2046" s="21"/>
      <c r="AP2046" s="21"/>
      <c r="AQ2046" s="21"/>
      <c r="AR2046" s="21">
        <v>12</v>
      </c>
      <c r="AS2046" s="21"/>
      <c r="AT2046" s="12" t="str">
        <f>HYPERLINK("http://www.openstreetmap.org/?mlat=35.7478&amp;mlon=43.303&amp;zoom=12#map=12/35.7478/43.303","Maplink1")</f>
        <v>Maplink1</v>
      </c>
      <c r="AU2046" s="12" t="str">
        <f>HYPERLINK("https://www.google.iq/maps/search/+35.7478,43.303/@35.7478,43.303,14z?hl=en","Maplink2")</f>
        <v>Maplink2</v>
      </c>
      <c r="AV2046" s="12" t="str">
        <f>HYPERLINK("http://www.bing.com/maps/?lvl=14&amp;sty=h&amp;cp=35.7478~43.303&amp;sp=point.35.7478_43.303","Maplink3")</f>
        <v>Maplink3</v>
      </c>
    </row>
    <row r="2047" spans="1:48" ht="15" customHeight="1" x14ac:dyDescent="0.25">
      <c r="A2047" s="19">
        <v>18339</v>
      </c>
      <c r="B2047" s="20" t="s">
        <v>21</v>
      </c>
      <c r="C2047" s="20" t="s">
        <v>3671</v>
      </c>
      <c r="D2047" s="20" t="s">
        <v>3724</v>
      </c>
      <c r="E2047" s="20" t="s">
        <v>3725</v>
      </c>
      <c r="F2047" s="20">
        <v>36.343750069999999</v>
      </c>
      <c r="G2047" s="20">
        <v>43.213841160000001</v>
      </c>
      <c r="H2047" s="22">
        <v>905</v>
      </c>
      <c r="I2047" s="22">
        <v>5430</v>
      </c>
      <c r="J2047" s="21"/>
      <c r="K2047" s="21"/>
      <c r="L2047" s="21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>
        <v>905</v>
      </c>
      <c r="W2047" s="21"/>
      <c r="X2047" s="21"/>
      <c r="Y2047" s="21"/>
      <c r="Z2047" s="21"/>
      <c r="AA2047" s="21"/>
      <c r="AB2047" s="21"/>
      <c r="AC2047" s="21">
        <v>350</v>
      </c>
      <c r="AD2047" s="21"/>
      <c r="AE2047" s="21"/>
      <c r="AF2047" s="21"/>
      <c r="AG2047" s="21"/>
      <c r="AH2047" s="21">
        <v>538</v>
      </c>
      <c r="AI2047" s="21">
        <v>10</v>
      </c>
      <c r="AJ2047" s="21">
        <v>7</v>
      </c>
      <c r="AK2047" s="21"/>
      <c r="AL2047" s="21"/>
      <c r="AM2047" s="21"/>
      <c r="AN2047" s="21"/>
      <c r="AO2047" s="21"/>
      <c r="AP2047" s="21"/>
      <c r="AQ2047" s="21"/>
      <c r="AR2047" s="21">
        <v>905</v>
      </c>
      <c r="AS2047" s="21"/>
      <c r="AT2047" s="12" t="str">
        <f>HYPERLINK("http://www.openstreetmap.org/?mlat=36.3438&amp;mlon=43.2138&amp;zoom=12#map=12/36.3438/43.2138","Maplink1")</f>
        <v>Maplink1</v>
      </c>
      <c r="AU2047" s="12" t="str">
        <f>HYPERLINK("https://www.google.iq/maps/search/+36.3438,43.2138/@36.3438,43.2138,14z?hl=en","Maplink2")</f>
        <v>Maplink2</v>
      </c>
      <c r="AV2047" s="12" t="str">
        <f>HYPERLINK("http://www.bing.com/maps/?lvl=14&amp;sty=h&amp;cp=36.3438~43.2138&amp;sp=point.36.3438_43.2138","Maplink3")</f>
        <v>Maplink3</v>
      </c>
    </row>
    <row r="2048" spans="1:48" ht="15" customHeight="1" x14ac:dyDescent="0.25">
      <c r="A2048" s="19">
        <v>17452</v>
      </c>
      <c r="B2048" s="20" t="s">
        <v>21</v>
      </c>
      <c r="C2048" s="20" t="s">
        <v>3671</v>
      </c>
      <c r="D2048" s="20" t="s">
        <v>5781</v>
      </c>
      <c r="E2048" s="20" t="s">
        <v>5782</v>
      </c>
      <c r="F2048" s="20">
        <v>36.239100000000001</v>
      </c>
      <c r="G2048" s="20">
        <v>42.938699999999997</v>
      </c>
      <c r="H2048" s="22">
        <v>4</v>
      </c>
      <c r="I2048" s="22">
        <v>24</v>
      </c>
      <c r="J2048" s="21"/>
      <c r="K2048" s="21"/>
      <c r="L2048" s="21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>
        <v>4</v>
      </c>
      <c r="Y2048" s="21"/>
      <c r="Z2048" s="21"/>
      <c r="AA2048" s="21"/>
      <c r="AB2048" s="21"/>
      <c r="AC2048" s="21">
        <v>4</v>
      </c>
      <c r="AD2048" s="21"/>
      <c r="AE2048" s="21"/>
      <c r="AF2048" s="21"/>
      <c r="AG2048" s="21"/>
      <c r="AH2048" s="21"/>
      <c r="AI2048" s="21"/>
      <c r="AJ2048" s="21"/>
      <c r="AK2048" s="21"/>
      <c r="AL2048" s="21"/>
      <c r="AM2048" s="21">
        <v>4</v>
      </c>
      <c r="AN2048" s="21"/>
      <c r="AO2048" s="21"/>
      <c r="AP2048" s="21"/>
      <c r="AQ2048" s="21"/>
      <c r="AR2048" s="21"/>
      <c r="AS2048" s="21"/>
      <c r="AT2048" s="12" t="str">
        <f>HYPERLINK("http://www.openstreetmap.org/?mlat=36.2391&amp;mlon=42.9387&amp;zoom=12#map=12/36.2391/42.9387","Maplink1")</f>
        <v>Maplink1</v>
      </c>
      <c r="AU2048" s="12" t="str">
        <f>HYPERLINK("https://www.google.iq/maps/search/+36.2391,42.9387/@36.2391,42.9387,14z?hl=en","Maplink2")</f>
        <v>Maplink2</v>
      </c>
      <c r="AV2048" s="12" t="str">
        <f>HYPERLINK("http://www.bing.com/maps/?lvl=14&amp;sty=h&amp;cp=36.2391~42.9387&amp;sp=point.36.2391_42.9387","Maplink3")</f>
        <v>Maplink3</v>
      </c>
    </row>
    <row r="2049" spans="1:48" ht="15" customHeight="1" x14ac:dyDescent="0.25">
      <c r="A2049" s="19">
        <v>18369</v>
      </c>
      <c r="B2049" s="20" t="s">
        <v>21</v>
      </c>
      <c r="C2049" s="20" t="s">
        <v>3671</v>
      </c>
      <c r="D2049" s="20" t="s">
        <v>3726</v>
      </c>
      <c r="E2049" s="20" t="s">
        <v>3727</v>
      </c>
      <c r="F2049" s="20">
        <v>36.358719319999999</v>
      </c>
      <c r="G2049" s="20">
        <v>43.222782389999999</v>
      </c>
      <c r="H2049" s="22">
        <v>572</v>
      </c>
      <c r="I2049" s="22">
        <v>3432</v>
      </c>
      <c r="J2049" s="21"/>
      <c r="K2049" s="21"/>
      <c r="L2049" s="21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>
        <v>572</v>
      </c>
      <c r="W2049" s="21"/>
      <c r="X2049" s="21"/>
      <c r="Y2049" s="21"/>
      <c r="Z2049" s="21"/>
      <c r="AA2049" s="21"/>
      <c r="AB2049" s="21"/>
      <c r="AC2049" s="21">
        <v>190</v>
      </c>
      <c r="AD2049" s="21"/>
      <c r="AE2049" s="21"/>
      <c r="AF2049" s="21"/>
      <c r="AG2049" s="21"/>
      <c r="AH2049" s="21">
        <v>375</v>
      </c>
      <c r="AI2049" s="21">
        <v>7</v>
      </c>
      <c r="AJ2049" s="21"/>
      <c r="AK2049" s="21"/>
      <c r="AL2049" s="21"/>
      <c r="AM2049" s="21"/>
      <c r="AN2049" s="21"/>
      <c r="AO2049" s="21"/>
      <c r="AP2049" s="21"/>
      <c r="AQ2049" s="21"/>
      <c r="AR2049" s="21">
        <v>572</v>
      </c>
      <c r="AS2049" s="21"/>
      <c r="AT2049" s="12" t="str">
        <f>HYPERLINK("http://www.openstreetmap.org/?mlat=36.3587&amp;mlon=43.2228&amp;zoom=12#map=12/36.3587/43.2228","Maplink1")</f>
        <v>Maplink1</v>
      </c>
      <c r="AU2049" s="12" t="str">
        <f>HYPERLINK("https://www.google.iq/maps/search/+36.3587,43.2228/@36.3587,43.2228,14z?hl=en","Maplink2")</f>
        <v>Maplink2</v>
      </c>
      <c r="AV2049" s="12" t="str">
        <f>HYPERLINK("http://www.bing.com/maps/?lvl=14&amp;sty=h&amp;cp=36.3587~43.2228&amp;sp=point.36.3587_43.2228","Maplink3")</f>
        <v>Maplink3</v>
      </c>
    </row>
    <row r="2050" spans="1:48" ht="15" customHeight="1" x14ac:dyDescent="0.25">
      <c r="A2050" s="19">
        <v>18346</v>
      </c>
      <c r="B2050" s="20" t="s">
        <v>21</v>
      </c>
      <c r="C2050" s="20" t="s">
        <v>3671</v>
      </c>
      <c r="D2050" s="20" t="s">
        <v>3728</v>
      </c>
      <c r="E2050" s="20" t="s">
        <v>3729</v>
      </c>
      <c r="F2050" s="20">
        <v>36.313400000000001</v>
      </c>
      <c r="G2050" s="20">
        <v>43.110900000000001</v>
      </c>
      <c r="H2050" s="22">
        <v>460</v>
      </c>
      <c r="I2050" s="22">
        <v>2760</v>
      </c>
      <c r="J2050" s="21"/>
      <c r="K2050" s="21"/>
      <c r="L2050" s="21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>
        <v>460</v>
      </c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21"/>
      <c r="AH2050" s="21">
        <v>460</v>
      </c>
      <c r="AI2050" s="21"/>
      <c r="AJ2050" s="21"/>
      <c r="AK2050" s="21"/>
      <c r="AL2050" s="21"/>
      <c r="AM2050" s="21"/>
      <c r="AN2050" s="21"/>
      <c r="AO2050" s="21"/>
      <c r="AP2050" s="21">
        <v>150</v>
      </c>
      <c r="AQ2050" s="21"/>
      <c r="AR2050" s="21">
        <v>310</v>
      </c>
      <c r="AS2050" s="21"/>
      <c r="AT2050" s="12" t="str">
        <f>HYPERLINK("http://www.openstreetmap.org/?mlat=36.3134&amp;mlon=43.1109&amp;zoom=12#map=12/36.3134/43.1109","Maplink1")</f>
        <v>Maplink1</v>
      </c>
      <c r="AU2050" s="12" t="str">
        <f>HYPERLINK("https://www.google.iq/maps/search/+36.3134,43.1109/@36.3134,43.1109,14z?hl=en","Maplink2")</f>
        <v>Maplink2</v>
      </c>
      <c r="AV2050" s="12" t="str">
        <f>HYPERLINK("http://www.bing.com/maps/?lvl=14&amp;sty=h&amp;cp=36.3134~43.1109&amp;sp=point.36.3134_43.1109","Maplink3")</f>
        <v>Maplink3</v>
      </c>
    </row>
    <row r="2051" spans="1:48" ht="15" customHeight="1" x14ac:dyDescent="0.25">
      <c r="A2051" s="19">
        <v>33246</v>
      </c>
      <c r="B2051" s="20" t="s">
        <v>21</v>
      </c>
      <c r="C2051" s="20" t="s">
        <v>3671</v>
      </c>
      <c r="D2051" s="20" t="s">
        <v>5737</v>
      </c>
      <c r="E2051" s="20" t="s">
        <v>5738</v>
      </c>
      <c r="F2051" s="20">
        <v>36.335667000000001</v>
      </c>
      <c r="G2051" s="20">
        <v>43.092497999999999</v>
      </c>
      <c r="H2051" s="22">
        <v>52</v>
      </c>
      <c r="I2051" s="22">
        <v>312</v>
      </c>
      <c r="J2051" s="21"/>
      <c r="K2051" s="21"/>
      <c r="L2051" s="21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>
        <v>52</v>
      </c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21"/>
      <c r="AH2051" s="21">
        <v>52</v>
      </c>
      <c r="AI2051" s="21"/>
      <c r="AJ2051" s="21"/>
      <c r="AK2051" s="21"/>
      <c r="AL2051" s="21"/>
      <c r="AM2051" s="21"/>
      <c r="AN2051" s="21"/>
      <c r="AO2051" s="21"/>
      <c r="AP2051" s="21"/>
      <c r="AQ2051" s="21"/>
      <c r="AR2051" s="21">
        <v>52</v>
      </c>
      <c r="AS2051" s="21"/>
      <c r="AT2051" s="12" t="str">
        <f>HYPERLINK("http://www.openstreetmap.org/?mlat=36.3357&amp;mlon=43.0925&amp;zoom=12#map=12/36.3357/43.0925","Maplink1")</f>
        <v>Maplink1</v>
      </c>
      <c r="AU2051" s="12" t="str">
        <f>HYPERLINK("https://www.google.iq/maps/search/+36.3357,43.0925/@36.3357,43.0925,14z?hl=en","Maplink2")</f>
        <v>Maplink2</v>
      </c>
      <c r="AV2051" s="12" t="str">
        <f>HYPERLINK("http://www.bing.com/maps/?lvl=14&amp;sty=h&amp;cp=36.3357~43.0925&amp;sp=point.36.3357_43.0925","Maplink3")</f>
        <v>Maplink3</v>
      </c>
    </row>
    <row r="2052" spans="1:48" ht="15" customHeight="1" x14ac:dyDescent="0.25">
      <c r="A2052" s="19">
        <v>31703</v>
      </c>
      <c r="B2052" s="20" t="s">
        <v>21</v>
      </c>
      <c r="C2052" s="20" t="s">
        <v>3671</v>
      </c>
      <c r="D2052" s="20" t="s">
        <v>3730</v>
      </c>
      <c r="E2052" s="20" t="s">
        <v>3731</v>
      </c>
      <c r="F2052" s="20">
        <v>35.777920445200003</v>
      </c>
      <c r="G2052" s="20">
        <v>43.263870731399997</v>
      </c>
      <c r="H2052" s="22">
        <v>75</v>
      </c>
      <c r="I2052" s="22">
        <v>450</v>
      </c>
      <c r="J2052" s="21"/>
      <c r="K2052" s="21"/>
      <c r="L2052" s="21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>
        <v>75</v>
      </c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21"/>
      <c r="AH2052" s="21">
        <v>75</v>
      </c>
      <c r="AI2052" s="21"/>
      <c r="AJ2052" s="21"/>
      <c r="AK2052" s="21"/>
      <c r="AL2052" s="21"/>
      <c r="AM2052" s="21"/>
      <c r="AN2052" s="21"/>
      <c r="AO2052" s="21"/>
      <c r="AP2052" s="21"/>
      <c r="AQ2052" s="21"/>
      <c r="AR2052" s="21">
        <v>75</v>
      </c>
      <c r="AS2052" s="21"/>
      <c r="AT2052" s="12" t="str">
        <f>HYPERLINK("http://www.openstreetmap.org/?mlat=35.7779&amp;mlon=43.2639&amp;zoom=12#map=12/35.7779/43.2639","Maplink1")</f>
        <v>Maplink1</v>
      </c>
      <c r="AU2052" s="12" t="str">
        <f>HYPERLINK("https://www.google.iq/maps/search/+35.7779,43.2639/@35.7779,43.2639,14z?hl=en","Maplink2")</f>
        <v>Maplink2</v>
      </c>
      <c r="AV2052" s="12" t="str">
        <f>HYPERLINK("http://www.bing.com/maps/?lvl=14&amp;sty=h&amp;cp=35.7779~43.2639&amp;sp=point.35.7779_43.2639","Maplink3")</f>
        <v>Maplink3</v>
      </c>
    </row>
    <row r="2053" spans="1:48" ht="15" customHeight="1" x14ac:dyDescent="0.25">
      <c r="A2053" s="19">
        <v>18375</v>
      </c>
      <c r="B2053" s="20" t="s">
        <v>21</v>
      </c>
      <c r="C2053" s="20" t="s">
        <v>3671</v>
      </c>
      <c r="D2053" s="20" t="s">
        <v>3732</v>
      </c>
      <c r="E2053" s="20" t="s">
        <v>3733</v>
      </c>
      <c r="F2053" s="20">
        <v>36.321666999999998</v>
      </c>
      <c r="G2053" s="20">
        <v>43.112777999999999</v>
      </c>
      <c r="H2053" s="22">
        <v>140</v>
      </c>
      <c r="I2053" s="22">
        <v>840</v>
      </c>
      <c r="J2053" s="21"/>
      <c r="K2053" s="21"/>
      <c r="L2053" s="21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>
        <v>140</v>
      </c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21"/>
      <c r="AH2053" s="21">
        <v>140</v>
      </c>
      <c r="AI2053" s="21"/>
      <c r="AJ2053" s="21"/>
      <c r="AK2053" s="21"/>
      <c r="AL2053" s="21"/>
      <c r="AM2053" s="21"/>
      <c r="AN2053" s="21"/>
      <c r="AO2053" s="21"/>
      <c r="AP2053" s="21"/>
      <c r="AQ2053" s="21"/>
      <c r="AR2053" s="21">
        <v>140</v>
      </c>
      <c r="AS2053" s="21"/>
      <c r="AT2053" s="12" t="str">
        <f>HYPERLINK("http://www.openstreetmap.org/?mlat=36.3217&amp;mlon=43.1128&amp;zoom=12#map=12/36.3217/43.1128","Maplink1")</f>
        <v>Maplink1</v>
      </c>
      <c r="AU2053" s="12" t="str">
        <f>HYPERLINK("https://www.google.iq/maps/search/+36.3217,43.1128/@36.3217,43.1128,14z?hl=en","Maplink2")</f>
        <v>Maplink2</v>
      </c>
      <c r="AV2053" s="12" t="str">
        <f>HYPERLINK("http://www.bing.com/maps/?lvl=14&amp;sty=h&amp;cp=36.3217~43.1128&amp;sp=point.36.3217_43.1128","Maplink3")</f>
        <v>Maplink3</v>
      </c>
    </row>
    <row r="2054" spans="1:48" ht="15" customHeight="1" x14ac:dyDescent="0.25">
      <c r="A2054" s="19">
        <v>18391</v>
      </c>
      <c r="B2054" s="20" t="s">
        <v>21</v>
      </c>
      <c r="C2054" s="20" t="s">
        <v>3671</v>
      </c>
      <c r="D2054" s="20" t="s">
        <v>3734</v>
      </c>
      <c r="E2054" s="20" t="s">
        <v>3735</v>
      </c>
      <c r="F2054" s="20">
        <v>36.387686590000001</v>
      </c>
      <c r="G2054" s="20">
        <v>43.18542703</v>
      </c>
      <c r="H2054" s="22">
        <v>115</v>
      </c>
      <c r="I2054" s="22">
        <v>690</v>
      </c>
      <c r="J2054" s="21"/>
      <c r="K2054" s="21"/>
      <c r="L2054" s="21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>
        <v>115</v>
      </c>
      <c r="W2054" s="21"/>
      <c r="X2054" s="21"/>
      <c r="Y2054" s="21"/>
      <c r="Z2054" s="21"/>
      <c r="AA2054" s="21"/>
      <c r="AB2054" s="21"/>
      <c r="AC2054" s="21">
        <v>35</v>
      </c>
      <c r="AD2054" s="21"/>
      <c r="AE2054" s="21"/>
      <c r="AF2054" s="21"/>
      <c r="AG2054" s="21"/>
      <c r="AH2054" s="21">
        <v>80</v>
      </c>
      <c r="AI2054" s="21"/>
      <c r="AJ2054" s="21"/>
      <c r="AK2054" s="21"/>
      <c r="AL2054" s="21"/>
      <c r="AM2054" s="21"/>
      <c r="AN2054" s="21"/>
      <c r="AO2054" s="21"/>
      <c r="AP2054" s="21"/>
      <c r="AQ2054" s="21"/>
      <c r="AR2054" s="21">
        <v>115</v>
      </c>
      <c r="AS2054" s="21"/>
      <c r="AT2054" s="12" t="str">
        <f>HYPERLINK("http://www.openstreetmap.org/?mlat=36.3877&amp;mlon=43.1854&amp;zoom=12#map=12/36.3877/43.1854","Maplink1")</f>
        <v>Maplink1</v>
      </c>
      <c r="AU2054" s="12" t="str">
        <f>HYPERLINK("https://www.google.iq/maps/search/+36.3877,43.1854/@36.3877,43.1854,14z?hl=en","Maplink2")</f>
        <v>Maplink2</v>
      </c>
      <c r="AV2054" s="12" t="str">
        <f>HYPERLINK("http://www.bing.com/maps/?lvl=14&amp;sty=h&amp;cp=36.3877~43.1854&amp;sp=point.36.3877_43.1854","Maplink3")</f>
        <v>Maplink3</v>
      </c>
    </row>
    <row r="2055" spans="1:48" ht="15" customHeight="1" x14ac:dyDescent="0.25">
      <c r="A2055" s="19">
        <v>33264</v>
      </c>
      <c r="B2055" s="20" t="s">
        <v>21</v>
      </c>
      <c r="C2055" s="20" t="s">
        <v>3671</v>
      </c>
      <c r="D2055" s="20" t="s">
        <v>5852</v>
      </c>
      <c r="E2055" s="20" t="s">
        <v>5853</v>
      </c>
      <c r="F2055" s="20">
        <v>36.338078000000003</v>
      </c>
      <c r="G2055" s="20">
        <v>43.091582000000002</v>
      </c>
      <c r="H2055" s="22">
        <v>200</v>
      </c>
      <c r="I2055" s="22">
        <v>1200</v>
      </c>
      <c r="J2055" s="21"/>
      <c r="K2055" s="21"/>
      <c r="L2055" s="21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>
        <v>200</v>
      </c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21"/>
      <c r="AH2055" s="21">
        <v>200</v>
      </c>
      <c r="AI2055" s="21"/>
      <c r="AJ2055" s="21"/>
      <c r="AK2055" s="21"/>
      <c r="AL2055" s="21"/>
      <c r="AM2055" s="21"/>
      <c r="AN2055" s="21"/>
      <c r="AO2055" s="21"/>
      <c r="AP2055" s="21"/>
      <c r="AQ2055" s="21"/>
      <c r="AR2055" s="21">
        <v>200</v>
      </c>
      <c r="AS2055" s="21"/>
      <c r="AT2055" s="12" t="str">
        <f>HYPERLINK("http://www.openstreetmap.org/?mlat=36.3381&amp;mlon=43.0916&amp;zoom=12#map=12/36.3381/43.0916","Maplink1")</f>
        <v>Maplink1</v>
      </c>
      <c r="AU2055" s="12" t="str">
        <f>HYPERLINK("https://www.google.iq/maps/search/+36.3381,43.0916/@36.3381,43.0916,14z?hl=en","Maplink2")</f>
        <v>Maplink2</v>
      </c>
      <c r="AV2055" s="12" t="str">
        <f>HYPERLINK("http://www.bing.com/maps/?lvl=14&amp;sty=h&amp;cp=36.3381~43.0916&amp;sp=point.36.3381_43.0916","Maplink3")</f>
        <v>Maplink3</v>
      </c>
    </row>
    <row r="2056" spans="1:48" ht="15" customHeight="1" x14ac:dyDescent="0.25">
      <c r="A2056" s="19">
        <v>24550</v>
      </c>
      <c r="B2056" s="20" t="s">
        <v>21</v>
      </c>
      <c r="C2056" s="20" t="s">
        <v>3671</v>
      </c>
      <c r="D2056" s="20" t="s">
        <v>3736</v>
      </c>
      <c r="E2056" s="20" t="s">
        <v>3737</v>
      </c>
      <c r="F2056" s="20">
        <v>36.330039999999997</v>
      </c>
      <c r="G2056" s="20">
        <v>43.198483000000003</v>
      </c>
      <c r="H2056" s="22">
        <v>266</v>
      </c>
      <c r="I2056" s="22">
        <v>1596</v>
      </c>
      <c r="J2056" s="21"/>
      <c r="K2056" s="21"/>
      <c r="L2056" s="21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>
        <v>266</v>
      </c>
      <c r="W2056" s="21"/>
      <c r="X2056" s="21"/>
      <c r="Y2056" s="21"/>
      <c r="Z2056" s="21"/>
      <c r="AA2056" s="21"/>
      <c r="AB2056" s="21"/>
      <c r="AC2056" s="21">
        <v>85</v>
      </c>
      <c r="AD2056" s="21"/>
      <c r="AE2056" s="21"/>
      <c r="AF2056" s="21"/>
      <c r="AG2056" s="21"/>
      <c r="AH2056" s="21">
        <v>181</v>
      </c>
      <c r="AI2056" s="21"/>
      <c r="AJ2056" s="21"/>
      <c r="AK2056" s="21"/>
      <c r="AL2056" s="21"/>
      <c r="AM2056" s="21"/>
      <c r="AN2056" s="21"/>
      <c r="AO2056" s="21"/>
      <c r="AP2056" s="21"/>
      <c r="AQ2056" s="21"/>
      <c r="AR2056" s="21">
        <v>266</v>
      </c>
      <c r="AS2056" s="21"/>
      <c r="AT2056" s="12" t="str">
        <f>HYPERLINK("http://www.openstreetmap.org/?mlat=36.33&amp;mlon=43.1985&amp;zoom=12#map=12/36.33/43.1985","Maplink1")</f>
        <v>Maplink1</v>
      </c>
      <c r="AU2056" s="12" t="str">
        <f>HYPERLINK("https://www.google.iq/maps/search/+36.33,43.1985/@36.33,43.1985,14z?hl=en","Maplink2")</f>
        <v>Maplink2</v>
      </c>
      <c r="AV2056" s="12" t="str">
        <f>HYPERLINK("http://www.bing.com/maps/?lvl=14&amp;sty=h&amp;cp=36.33~43.1985&amp;sp=point.36.33_43.1985","Maplink3")</f>
        <v>Maplink3</v>
      </c>
    </row>
    <row r="2057" spans="1:48" ht="15" customHeight="1" x14ac:dyDescent="0.25">
      <c r="A2057" s="19">
        <v>31920</v>
      </c>
      <c r="B2057" s="20" t="s">
        <v>21</v>
      </c>
      <c r="C2057" s="20" t="s">
        <v>3671</v>
      </c>
      <c r="D2057" s="20" t="s">
        <v>3738</v>
      </c>
      <c r="E2057" s="20" t="s">
        <v>129</v>
      </c>
      <c r="F2057" s="20">
        <v>36.375070999999998</v>
      </c>
      <c r="G2057" s="20">
        <v>43.211074000000004</v>
      </c>
      <c r="H2057" s="22">
        <v>290</v>
      </c>
      <c r="I2057" s="22">
        <v>1740</v>
      </c>
      <c r="J2057" s="21"/>
      <c r="K2057" s="21"/>
      <c r="L2057" s="21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>
        <v>290</v>
      </c>
      <c r="W2057" s="21"/>
      <c r="X2057" s="21"/>
      <c r="Y2057" s="21"/>
      <c r="Z2057" s="21"/>
      <c r="AA2057" s="21"/>
      <c r="AB2057" s="21"/>
      <c r="AC2057" s="21">
        <v>80</v>
      </c>
      <c r="AD2057" s="21"/>
      <c r="AE2057" s="21"/>
      <c r="AF2057" s="21"/>
      <c r="AG2057" s="21"/>
      <c r="AH2057" s="21">
        <v>210</v>
      </c>
      <c r="AI2057" s="21"/>
      <c r="AJ2057" s="21"/>
      <c r="AK2057" s="21"/>
      <c r="AL2057" s="21"/>
      <c r="AM2057" s="21"/>
      <c r="AN2057" s="21"/>
      <c r="AO2057" s="21"/>
      <c r="AP2057" s="21"/>
      <c r="AQ2057" s="21"/>
      <c r="AR2057" s="21">
        <v>290</v>
      </c>
      <c r="AS2057" s="21"/>
      <c r="AT2057" s="12" t="str">
        <f>HYPERLINK("http://www.openstreetmap.org/?mlat=36.3751&amp;mlon=43.2111&amp;zoom=12#map=12/36.3751/43.2111","Maplink1")</f>
        <v>Maplink1</v>
      </c>
      <c r="AU2057" s="12" t="str">
        <f>HYPERLINK("https://www.google.iq/maps/search/+36.3751,43.2111/@36.3751,43.2111,14z?hl=en","Maplink2")</f>
        <v>Maplink2</v>
      </c>
      <c r="AV2057" s="12" t="str">
        <f>HYPERLINK("http://www.bing.com/maps/?lvl=14&amp;sty=h&amp;cp=36.3751~43.2111&amp;sp=point.36.3751_43.2111","Maplink3")</f>
        <v>Maplink3</v>
      </c>
    </row>
    <row r="2058" spans="1:48" ht="15" customHeight="1" x14ac:dyDescent="0.25">
      <c r="A2058" s="19">
        <v>33245</v>
      </c>
      <c r="B2058" s="20" t="s">
        <v>21</v>
      </c>
      <c r="C2058" s="20" t="s">
        <v>3671</v>
      </c>
      <c r="D2058" s="20" t="s">
        <v>5739</v>
      </c>
      <c r="E2058" s="20" t="s">
        <v>129</v>
      </c>
      <c r="F2058" s="20">
        <v>36.318795000000001</v>
      </c>
      <c r="G2058" s="20">
        <v>43.096031000000004</v>
      </c>
      <c r="H2058" s="22">
        <v>100</v>
      </c>
      <c r="I2058" s="22">
        <v>600</v>
      </c>
      <c r="J2058" s="21"/>
      <c r="K2058" s="21"/>
      <c r="L2058" s="21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>
        <v>100</v>
      </c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21"/>
      <c r="AH2058" s="21">
        <v>100</v>
      </c>
      <c r="AI2058" s="21"/>
      <c r="AJ2058" s="21"/>
      <c r="AK2058" s="21"/>
      <c r="AL2058" s="21"/>
      <c r="AM2058" s="21"/>
      <c r="AN2058" s="21"/>
      <c r="AO2058" s="21"/>
      <c r="AP2058" s="21"/>
      <c r="AQ2058" s="21"/>
      <c r="AR2058" s="21">
        <v>100</v>
      </c>
      <c r="AS2058" s="21"/>
      <c r="AT2058" s="12" t="str">
        <f>HYPERLINK("http://www.openstreetmap.org/?mlat=36.3188&amp;mlon=43.096&amp;zoom=12#map=12/36.3188/43.096","Maplink1")</f>
        <v>Maplink1</v>
      </c>
      <c r="AU2058" s="12" t="str">
        <f>HYPERLINK("https://www.google.iq/maps/search/+36.3188,43.096/@36.3188,43.096,14z?hl=en","Maplink2")</f>
        <v>Maplink2</v>
      </c>
      <c r="AV2058" s="12" t="str">
        <f>HYPERLINK("http://www.bing.com/maps/?lvl=14&amp;sty=h&amp;cp=36.3188~43.096&amp;sp=point.36.3188_43.096","Maplink3")</f>
        <v>Maplink3</v>
      </c>
    </row>
    <row r="2059" spans="1:48" ht="15" customHeight="1" x14ac:dyDescent="0.25">
      <c r="A2059" s="19">
        <v>18323</v>
      </c>
      <c r="B2059" s="20" t="s">
        <v>21</v>
      </c>
      <c r="C2059" s="20" t="s">
        <v>3671</v>
      </c>
      <c r="D2059" s="20" t="s">
        <v>3739</v>
      </c>
      <c r="E2059" s="20" t="s">
        <v>261</v>
      </c>
      <c r="F2059" s="20">
        <v>36.370112779999999</v>
      </c>
      <c r="G2059" s="20">
        <v>43.174391849999999</v>
      </c>
      <c r="H2059" s="22">
        <v>150</v>
      </c>
      <c r="I2059" s="22">
        <v>900</v>
      </c>
      <c r="J2059" s="21"/>
      <c r="K2059" s="21"/>
      <c r="L2059" s="21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>
        <v>150</v>
      </c>
      <c r="W2059" s="21"/>
      <c r="X2059" s="21"/>
      <c r="Y2059" s="21"/>
      <c r="Z2059" s="21"/>
      <c r="AA2059" s="21"/>
      <c r="AB2059" s="21"/>
      <c r="AC2059" s="21">
        <v>30</v>
      </c>
      <c r="AD2059" s="21"/>
      <c r="AE2059" s="21"/>
      <c r="AF2059" s="21"/>
      <c r="AG2059" s="21"/>
      <c r="AH2059" s="21">
        <v>120</v>
      </c>
      <c r="AI2059" s="21"/>
      <c r="AJ2059" s="21"/>
      <c r="AK2059" s="21"/>
      <c r="AL2059" s="21"/>
      <c r="AM2059" s="21"/>
      <c r="AN2059" s="21"/>
      <c r="AO2059" s="21"/>
      <c r="AP2059" s="21"/>
      <c r="AQ2059" s="21"/>
      <c r="AR2059" s="21">
        <v>150</v>
      </c>
      <c r="AS2059" s="21"/>
      <c r="AT2059" s="12" t="str">
        <f>HYPERLINK("http://www.openstreetmap.org/?mlat=36.3701&amp;mlon=43.1744&amp;zoom=12#map=12/36.3701/43.1744","Maplink1")</f>
        <v>Maplink1</v>
      </c>
      <c r="AU2059" s="12" t="str">
        <f>HYPERLINK("https://www.google.iq/maps/search/+36.3701,43.1744/@36.3701,43.1744,14z?hl=en","Maplink2")</f>
        <v>Maplink2</v>
      </c>
      <c r="AV2059" s="12" t="str">
        <f>HYPERLINK("http://www.bing.com/maps/?lvl=14&amp;sty=h&amp;cp=36.3701~43.1744&amp;sp=point.36.3701_43.1744","Maplink3")</f>
        <v>Maplink3</v>
      </c>
    </row>
    <row r="2060" spans="1:48" ht="15" customHeight="1" x14ac:dyDescent="0.25">
      <c r="A2060" s="19">
        <v>18393</v>
      </c>
      <c r="B2060" s="20" t="s">
        <v>21</v>
      </c>
      <c r="C2060" s="20" t="s">
        <v>3671</v>
      </c>
      <c r="D2060" s="20" t="s">
        <v>3740</v>
      </c>
      <c r="E2060" s="20" t="s">
        <v>3007</v>
      </c>
      <c r="F2060" s="20">
        <v>36.368600000000001</v>
      </c>
      <c r="G2060" s="20">
        <v>43.139000000000003</v>
      </c>
      <c r="H2060" s="22">
        <v>35</v>
      </c>
      <c r="I2060" s="22">
        <v>210</v>
      </c>
      <c r="J2060" s="21"/>
      <c r="K2060" s="21"/>
      <c r="L2060" s="21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>
        <v>35</v>
      </c>
      <c r="W2060" s="21"/>
      <c r="X2060" s="21"/>
      <c r="Y2060" s="21"/>
      <c r="Z2060" s="21"/>
      <c r="AA2060" s="21"/>
      <c r="AB2060" s="21"/>
      <c r="AC2060" s="21">
        <v>15</v>
      </c>
      <c r="AD2060" s="21"/>
      <c r="AE2060" s="21"/>
      <c r="AF2060" s="21"/>
      <c r="AG2060" s="21"/>
      <c r="AH2060" s="21">
        <v>20</v>
      </c>
      <c r="AI2060" s="21"/>
      <c r="AJ2060" s="21"/>
      <c r="AK2060" s="21"/>
      <c r="AL2060" s="21"/>
      <c r="AM2060" s="21"/>
      <c r="AN2060" s="21"/>
      <c r="AO2060" s="21"/>
      <c r="AP2060" s="21"/>
      <c r="AQ2060" s="21"/>
      <c r="AR2060" s="21">
        <v>35</v>
      </c>
      <c r="AS2060" s="21"/>
      <c r="AT2060" s="12" t="str">
        <f>HYPERLINK("http://www.openstreetmap.org/?mlat=36.3686&amp;mlon=43.139&amp;zoom=12#map=12/36.3686/43.139","Maplink1")</f>
        <v>Maplink1</v>
      </c>
      <c r="AU2060" s="12" t="str">
        <f>HYPERLINK("https://www.google.iq/maps/search/+36.3686,43.139/@36.3686,43.139,14z?hl=en","Maplink2")</f>
        <v>Maplink2</v>
      </c>
      <c r="AV2060" s="12" t="str">
        <f>HYPERLINK("http://www.bing.com/maps/?lvl=14&amp;sty=h&amp;cp=36.3686~43.139&amp;sp=point.36.3686_43.139","Maplink3")</f>
        <v>Maplink3</v>
      </c>
    </row>
    <row r="2061" spans="1:48" ht="15" customHeight="1" x14ac:dyDescent="0.25">
      <c r="A2061" s="19">
        <v>20782</v>
      </c>
      <c r="B2061" s="20" t="s">
        <v>21</v>
      </c>
      <c r="C2061" s="20" t="s">
        <v>3671</v>
      </c>
      <c r="D2061" s="20" t="s">
        <v>3741</v>
      </c>
      <c r="E2061" s="20" t="s">
        <v>489</v>
      </c>
      <c r="F2061" s="20">
        <v>36.386099999999999</v>
      </c>
      <c r="G2061" s="20">
        <v>43.193899999999999</v>
      </c>
      <c r="H2061" s="22">
        <v>90</v>
      </c>
      <c r="I2061" s="22">
        <v>540</v>
      </c>
      <c r="J2061" s="21"/>
      <c r="K2061" s="21"/>
      <c r="L2061" s="21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>
        <v>90</v>
      </c>
      <c r="W2061" s="21"/>
      <c r="X2061" s="21"/>
      <c r="Y2061" s="21"/>
      <c r="Z2061" s="21"/>
      <c r="AA2061" s="21"/>
      <c r="AB2061" s="21"/>
      <c r="AC2061" s="21">
        <v>30</v>
      </c>
      <c r="AD2061" s="21"/>
      <c r="AE2061" s="21"/>
      <c r="AF2061" s="21"/>
      <c r="AG2061" s="21"/>
      <c r="AH2061" s="21">
        <v>50</v>
      </c>
      <c r="AI2061" s="21"/>
      <c r="AJ2061" s="21">
        <v>10</v>
      </c>
      <c r="AK2061" s="21"/>
      <c r="AL2061" s="21"/>
      <c r="AM2061" s="21"/>
      <c r="AN2061" s="21">
        <v>10</v>
      </c>
      <c r="AO2061" s="21"/>
      <c r="AP2061" s="21"/>
      <c r="AQ2061" s="21"/>
      <c r="AR2061" s="21">
        <v>80</v>
      </c>
      <c r="AS2061" s="21"/>
      <c r="AT2061" s="12" t="str">
        <f>HYPERLINK("http://www.openstreetmap.org/?mlat=36.3861&amp;mlon=43.1939&amp;zoom=12#map=12/36.3861/43.1939","Maplink1")</f>
        <v>Maplink1</v>
      </c>
      <c r="AU2061" s="12" t="str">
        <f>HYPERLINK("https://www.google.iq/maps/search/+36.3861,43.1939/@36.3861,43.1939,14z?hl=en","Maplink2")</f>
        <v>Maplink2</v>
      </c>
      <c r="AV2061" s="12" t="str">
        <f>HYPERLINK("http://www.bing.com/maps/?lvl=14&amp;sty=h&amp;cp=36.3861~43.1939&amp;sp=point.36.3861_43.1939","Maplink3")</f>
        <v>Maplink3</v>
      </c>
    </row>
    <row r="2062" spans="1:48" ht="15" customHeight="1" x14ac:dyDescent="0.25">
      <c r="A2062" s="19">
        <v>18244</v>
      </c>
      <c r="B2062" s="20" t="s">
        <v>21</v>
      </c>
      <c r="C2062" s="20" t="s">
        <v>3671</v>
      </c>
      <c r="D2062" s="20" t="s">
        <v>5882</v>
      </c>
      <c r="E2062" s="20" t="s">
        <v>5883</v>
      </c>
      <c r="F2062" s="20">
        <v>36.333799999999997</v>
      </c>
      <c r="G2062" s="20">
        <v>43.134500000000003</v>
      </c>
      <c r="H2062" s="22">
        <v>14</v>
      </c>
      <c r="I2062" s="22">
        <v>84</v>
      </c>
      <c r="J2062" s="21"/>
      <c r="K2062" s="21"/>
      <c r="L2062" s="21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>
        <v>14</v>
      </c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21"/>
      <c r="AH2062" s="21">
        <v>14</v>
      </c>
      <c r="AI2062" s="21"/>
      <c r="AJ2062" s="21"/>
      <c r="AK2062" s="21"/>
      <c r="AL2062" s="21"/>
      <c r="AM2062" s="21"/>
      <c r="AN2062" s="21"/>
      <c r="AO2062" s="21"/>
      <c r="AP2062" s="21"/>
      <c r="AQ2062" s="21"/>
      <c r="AR2062" s="21">
        <v>14</v>
      </c>
      <c r="AS2062" s="21"/>
      <c r="AT2062" s="12" t="str">
        <f>HYPERLINK("http://www.openstreetmap.org/?mlat=36.3338&amp;mlon=43.1345&amp;zoom=12#map=12/36.3338/43.1345","Maplink1")</f>
        <v>Maplink1</v>
      </c>
      <c r="AU2062" s="12" t="str">
        <f>HYPERLINK("https://www.google.iq/maps/search/+36.3338,43.1345/@36.3338,43.1345,14z?hl=en","Maplink2")</f>
        <v>Maplink2</v>
      </c>
      <c r="AV2062" s="12" t="str">
        <f>HYPERLINK("http://www.bing.com/maps/?lvl=14&amp;sty=h&amp;cp=36.3338~43.1345&amp;sp=point.36.3338_43.1345","Maplink3")</f>
        <v>Maplink3</v>
      </c>
    </row>
    <row r="2063" spans="1:48" ht="15" customHeight="1" x14ac:dyDescent="0.25">
      <c r="A2063" s="19">
        <v>31918</v>
      </c>
      <c r="B2063" s="20" t="s">
        <v>21</v>
      </c>
      <c r="C2063" s="20" t="s">
        <v>3671</v>
      </c>
      <c r="D2063" s="20" t="s">
        <v>3742</v>
      </c>
      <c r="E2063" s="20" t="s">
        <v>3743</v>
      </c>
      <c r="F2063" s="20">
        <v>36.399630497499899</v>
      </c>
      <c r="G2063" s="20">
        <v>43.199653623700002</v>
      </c>
      <c r="H2063" s="22">
        <v>335</v>
      </c>
      <c r="I2063" s="22">
        <v>2010</v>
      </c>
      <c r="J2063" s="21"/>
      <c r="K2063" s="21"/>
      <c r="L2063" s="21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>
        <v>335</v>
      </c>
      <c r="W2063" s="21"/>
      <c r="X2063" s="21"/>
      <c r="Y2063" s="21"/>
      <c r="Z2063" s="21"/>
      <c r="AA2063" s="21"/>
      <c r="AB2063" s="21"/>
      <c r="AC2063" s="21">
        <v>110</v>
      </c>
      <c r="AD2063" s="21"/>
      <c r="AE2063" s="21"/>
      <c r="AF2063" s="21"/>
      <c r="AG2063" s="21"/>
      <c r="AH2063" s="21">
        <v>225</v>
      </c>
      <c r="AI2063" s="21"/>
      <c r="AJ2063" s="21"/>
      <c r="AK2063" s="21"/>
      <c r="AL2063" s="21"/>
      <c r="AM2063" s="21"/>
      <c r="AN2063" s="21"/>
      <c r="AO2063" s="21"/>
      <c r="AP2063" s="21"/>
      <c r="AQ2063" s="21"/>
      <c r="AR2063" s="21">
        <v>335</v>
      </c>
      <c r="AS2063" s="21"/>
      <c r="AT2063" s="12" t="str">
        <f>HYPERLINK("http://www.openstreetmap.org/?mlat=36.3996&amp;mlon=43.1997&amp;zoom=12#map=12/36.3996/43.1997","Maplink1")</f>
        <v>Maplink1</v>
      </c>
      <c r="AU2063" s="12" t="str">
        <f>HYPERLINK("https://www.google.iq/maps/search/+36.3996,43.1997/@36.3996,43.1997,14z?hl=en","Maplink2")</f>
        <v>Maplink2</v>
      </c>
      <c r="AV2063" s="12" t="str">
        <f>HYPERLINK("http://www.bing.com/maps/?lvl=14&amp;sty=h&amp;cp=36.3996~43.1997&amp;sp=point.36.3996_43.1997","Maplink3")</f>
        <v>Maplink3</v>
      </c>
    </row>
    <row r="2064" spans="1:48" ht="15" customHeight="1" x14ac:dyDescent="0.25">
      <c r="A2064" s="19">
        <v>18248</v>
      </c>
      <c r="B2064" s="20" t="s">
        <v>21</v>
      </c>
      <c r="C2064" s="20" t="s">
        <v>3671</v>
      </c>
      <c r="D2064" s="20" t="s">
        <v>5740</v>
      </c>
      <c r="E2064" s="20" t="s">
        <v>5741</v>
      </c>
      <c r="F2064" s="20">
        <v>36.360709</v>
      </c>
      <c r="G2064" s="20">
        <v>43.101574999999997</v>
      </c>
      <c r="H2064" s="22">
        <v>150</v>
      </c>
      <c r="I2064" s="22">
        <v>900</v>
      </c>
      <c r="J2064" s="21"/>
      <c r="K2064" s="21"/>
      <c r="L2064" s="21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>
        <v>150</v>
      </c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21"/>
      <c r="AH2064" s="21">
        <v>150</v>
      </c>
      <c r="AI2064" s="21"/>
      <c r="AJ2064" s="21"/>
      <c r="AK2064" s="21"/>
      <c r="AL2064" s="21"/>
      <c r="AM2064" s="21"/>
      <c r="AN2064" s="21"/>
      <c r="AO2064" s="21"/>
      <c r="AP2064" s="21"/>
      <c r="AQ2064" s="21"/>
      <c r="AR2064" s="21">
        <v>150</v>
      </c>
      <c r="AS2064" s="21"/>
      <c r="AT2064" s="12" t="str">
        <f>HYPERLINK("http://www.openstreetmap.org/?mlat=36.3607&amp;mlon=43.1016&amp;zoom=12#map=12/36.3607/43.1016","Maplink1")</f>
        <v>Maplink1</v>
      </c>
      <c r="AU2064" s="12" t="str">
        <f>HYPERLINK("https://www.google.iq/maps/search/+36.3607,43.1016/@36.3607,43.1016,14z?hl=en","Maplink2")</f>
        <v>Maplink2</v>
      </c>
      <c r="AV2064" s="12" t="str">
        <f>HYPERLINK("http://www.bing.com/maps/?lvl=14&amp;sty=h&amp;cp=36.3607~43.1016&amp;sp=point.36.3607_43.1016","Maplink3")</f>
        <v>Maplink3</v>
      </c>
    </row>
    <row r="2065" spans="1:48" ht="15" customHeight="1" x14ac:dyDescent="0.25">
      <c r="A2065" s="19">
        <v>18336</v>
      </c>
      <c r="B2065" s="20" t="s">
        <v>21</v>
      </c>
      <c r="C2065" s="20" t="s">
        <v>3671</v>
      </c>
      <c r="D2065" s="20" t="s">
        <v>3744</v>
      </c>
      <c r="E2065" s="20" t="s">
        <v>3473</v>
      </c>
      <c r="F2065" s="20">
        <v>36.363207000000003</v>
      </c>
      <c r="G2065" s="20">
        <v>43.185639999999999</v>
      </c>
      <c r="H2065" s="22">
        <v>1421</v>
      </c>
      <c r="I2065" s="22">
        <v>8526</v>
      </c>
      <c r="J2065" s="21"/>
      <c r="K2065" s="21"/>
      <c r="L2065" s="21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>
        <v>1421</v>
      </c>
      <c r="W2065" s="21"/>
      <c r="X2065" s="21"/>
      <c r="Y2065" s="21"/>
      <c r="Z2065" s="21"/>
      <c r="AA2065" s="21"/>
      <c r="AB2065" s="21"/>
      <c r="AC2065" s="21">
        <v>502</v>
      </c>
      <c r="AD2065" s="21"/>
      <c r="AE2065" s="21"/>
      <c r="AF2065" s="21"/>
      <c r="AG2065" s="21"/>
      <c r="AH2065" s="21">
        <v>919</v>
      </c>
      <c r="AI2065" s="21"/>
      <c r="AJ2065" s="21"/>
      <c r="AK2065" s="21"/>
      <c r="AL2065" s="21"/>
      <c r="AM2065" s="21"/>
      <c r="AN2065" s="21"/>
      <c r="AO2065" s="21"/>
      <c r="AP2065" s="21"/>
      <c r="AQ2065" s="21"/>
      <c r="AR2065" s="21">
        <v>1421</v>
      </c>
      <c r="AS2065" s="21"/>
      <c r="AT2065" s="12" t="str">
        <f>HYPERLINK("http://www.openstreetmap.org/?mlat=36.3632&amp;mlon=43.1856&amp;zoom=12#map=12/36.3632/43.1856","Maplink1")</f>
        <v>Maplink1</v>
      </c>
      <c r="AU2065" s="12" t="str">
        <f>HYPERLINK("https://www.google.iq/maps/search/+36.3632,43.1856/@36.3632,43.1856,14z?hl=en","Maplink2")</f>
        <v>Maplink2</v>
      </c>
      <c r="AV2065" s="12" t="str">
        <f>HYPERLINK("http://www.bing.com/maps/?lvl=14&amp;sty=h&amp;cp=36.3632~43.1856&amp;sp=point.36.3632_43.1856","Maplink3")</f>
        <v>Maplink3</v>
      </c>
    </row>
    <row r="2066" spans="1:48" ht="15" customHeight="1" x14ac:dyDescent="0.25">
      <c r="A2066" s="19">
        <v>18348</v>
      </c>
      <c r="B2066" s="20" t="s">
        <v>21</v>
      </c>
      <c r="C2066" s="20" t="s">
        <v>3671</v>
      </c>
      <c r="D2066" s="20" t="s">
        <v>3745</v>
      </c>
      <c r="E2066" s="20" t="s">
        <v>3746</v>
      </c>
      <c r="F2066" s="20">
        <v>36.352753</v>
      </c>
      <c r="G2066" s="20">
        <v>43.159832000000002</v>
      </c>
      <c r="H2066" s="22">
        <v>259</v>
      </c>
      <c r="I2066" s="22">
        <v>1554</v>
      </c>
      <c r="J2066" s="21"/>
      <c r="K2066" s="21"/>
      <c r="L2066" s="21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>
        <v>259</v>
      </c>
      <c r="W2066" s="21"/>
      <c r="X2066" s="21"/>
      <c r="Y2066" s="21"/>
      <c r="Z2066" s="21"/>
      <c r="AA2066" s="21"/>
      <c r="AB2066" s="21"/>
      <c r="AC2066" s="21">
        <v>9</v>
      </c>
      <c r="AD2066" s="21"/>
      <c r="AE2066" s="21"/>
      <c r="AF2066" s="21"/>
      <c r="AG2066" s="21"/>
      <c r="AH2066" s="21">
        <v>250</v>
      </c>
      <c r="AI2066" s="21"/>
      <c r="AJ2066" s="21"/>
      <c r="AK2066" s="21"/>
      <c r="AL2066" s="21"/>
      <c r="AM2066" s="21"/>
      <c r="AN2066" s="21"/>
      <c r="AO2066" s="21"/>
      <c r="AP2066" s="21"/>
      <c r="AQ2066" s="21"/>
      <c r="AR2066" s="21">
        <v>259</v>
      </c>
      <c r="AS2066" s="21"/>
      <c r="AT2066" s="12" t="str">
        <f>HYPERLINK("http://www.openstreetmap.org/?mlat=36.3528&amp;mlon=43.1598&amp;zoom=12#map=12/36.3528/43.1598","Maplink1")</f>
        <v>Maplink1</v>
      </c>
      <c r="AU2066" s="12" t="str">
        <f>HYPERLINK("https://www.google.iq/maps/search/+36.3528,43.1598/@36.3528,43.1598,14z?hl=en","Maplink2")</f>
        <v>Maplink2</v>
      </c>
      <c r="AV2066" s="12" t="str">
        <f>HYPERLINK("http://www.bing.com/maps/?lvl=14&amp;sty=h&amp;cp=36.3528~43.1598&amp;sp=point.36.3528_43.1598","Maplink3")</f>
        <v>Maplink3</v>
      </c>
    </row>
    <row r="2067" spans="1:48" ht="15" customHeight="1" x14ac:dyDescent="0.25">
      <c r="A2067" s="19">
        <v>18366</v>
      </c>
      <c r="B2067" s="20" t="s">
        <v>21</v>
      </c>
      <c r="C2067" s="20" t="s">
        <v>3671</v>
      </c>
      <c r="D2067" s="20" t="s">
        <v>3747</v>
      </c>
      <c r="E2067" s="20" t="s">
        <v>3748</v>
      </c>
      <c r="F2067" s="20">
        <v>36.396299999999997</v>
      </c>
      <c r="G2067" s="20">
        <v>43.192599999999999</v>
      </c>
      <c r="H2067" s="22">
        <v>150</v>
      </c>
      <c r="I2067" s="22">
        <v>900</v>
      </c>
      <c r="J2067" s="21"/>
      <c r="K2067" s="21"/>
      <c r="L2067" s="21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>
        <v>150</v>
      </c>
      <c r="W2067" s="21"/>
      <c r="X2067" s="21"/>
      <c r="Y2067" s="21"/>
      <c r="Z2067" s="21"/>
      <c r="AA2067" s="21"/>
      <c r="AB2067" s="21"/>
      <c r="AC2067" s="21">
        <v>52</v>
      </c>
      <c r="AD2067" s="21"/>
      <c r="AE2067" s="21"/>
      <c r="AF2067" s="21"/>
      <c r="AG2067" s="21"/>
      <c r="AH2067" s="21">
        <v>98</v>
      </c>
      <c r="AI2067" s="21"/>
      <c r="AJ2067" s="21"/>
      <c r="AK2067" s="21"/>
      <c r="AL2067" s="21"/>
      <c r="AM2067" s="21"/>
      <c r="AN2067" s="21"/>
      <c r="AO2067" s="21"/>
      <c r="AP2067" s="21"/>
      <c r="AQ2067" s="21"/>
      <c r="AR2067" s="21">
        <v>150</v>
      </c>
      <c r="AS2067" s="21"/>
      <c r="AT2067" s="12" t="str">
        <f>HYPERLINK("http://www.openstreetmap.org/?mlat=36.3963&amp;mlon=43.1926&amp;zoom=12#map=12/36.3963/43.1926","Maplink1")</f>
        <v>Maplink1</v>
      </c>
      <c r="AU2067" s="12" t="str">
        <f>HYPERLINK("https://www.google.iq/maps/search/+36.3963,43.1926/@36.3963,43.1926,14z?hl=en","Maplink2")</f>
        <v>Maplink2</v>
      </c>
      <c r="AV2067" s="12" t="str">
        <f>HYPERLINK("http://www.bing.com/maps/?lvl=14&amp;sty=h&amp;cp=36.3963~43.1926&amp;sp=point.36.3963_43.1926","Maplink3")</f>
        <v>Maplink3</v>
      </c>
    </row>
    <row r="2068" spans="1:48" ht="15" customHeight="1" x14ac:dyDescent="0.25">
      <c r="A2068" s="19">
        <v>17127</v>
      </c>
      <c r="B2068" s="20" t="s">
        <v>21</v>
      </c>
      <c r="C2068" s="20" t="s">
        <v>3671</v>
      </c>
      <c r="D2068" s="20" t="s">
        <v>3749</v>
      </c>
      <c r="E2068" s="20" t="s">
        <v>3750</v>
      </c>
      <c r="F2068" s="20">
        <v>35.797600000000003</v>
      </c>
      <c r="G2068" s="20">
        <v>43.293199999999999</v>
      </c>
      <c r="H2068" s="22">
        <v>160</v>
      </c>
      <c r="I2068" s="22">
        <v>960</v>
      </c>
      <c r="J2068" s="21"/>
      <c r="K2068" s="21"/>
      <c r="L2068" s="21"/>
      <c r="M2068" s="21"/>
      <c r="N2068" s="21"/>
      <c r="O2068" s="21"/>
      <c r="P2068" s="21"/>
      <c r="Q2068" s="21"/>
      <c r="R2068" s="21">
        <v>20</v>
      </c>
      <c r="S2068" s="21"/>
      <c r="T2068" s="21"/>
      <c r="U2068" s="21"/>
      <c r="V2068" s="21">
        <v>120</v>
      </c>
      <c r="W2068" s="21"/>
      <c r="X2068" s="21">
        <v>20</v>
      </c>
      <c r="Y2068" s="21"/>
      <c r="Z2068" s="21"/>
      <c r="AA2068" s="21"/>
      <c r="AB2068" s="21"/>
      <c r="AC2068" s="21"/>
      <c r="AD2068" s="21"/>
      <c r="AE2068" s="21"/>
      <c r="AF2068" s="21"/>
      <c r="AG2068" s="21"/>
      <c r="AH2068" s="21">
        <v>160</v>
      </c>
      <c r="AI2068" s="21"/>
      <c r="AJ2068" s="21"/>
      <c r="AK2068" s="21"/>
      <c r="AL2068" s="21"/>
      <c r="AM2068" s="21"/>
      <c r="AN2068" s="21"/>
      <c r="AO2068" s="21"/>
      <c r="AP2068" s="21"/>
      <c r="AQ2068" s="21">
        <v>90</v>
      </c>
      <c r="AR2068" s="21">
        <v>70</v>
      </c>
      <c r="AS2068" s="21"/>
      <c r="AT2068" s="12" t="str">
        <f>HYPERLINK("http://www.openstreetmap.org/?mlat=35.7976&amp;mlon=43.2932&amp;zoom=12#map=12/35.7976/43.2932","Maplink1")</f>
        <v>Maplink1</v>
      </c>
      <c r="AU2068" s="12" t="str">
        <f>HYPERLINK("https://www.google.iq/maps/search/+35.7976,43.2932/@35.7976,43.2932,14z?hl=en","Maplink2")</f>
        <v>Maplink2</v>
      </c>
      <c r="AV2068" s="12" t="str">
        <f>HYPERLINK("http://www.bing.com/maps/?lvl=14&amp;sty=h&amp;cp=35.7976~43.2932&amp;sp=point.35.7976_43.2932","Maplink3")</f>
        <v>Maplink3</v>
      </c>
    </row>
    <row r="2069" spans="1:48" ht="15" customHeight="1" x14ac:dyDescent="0.25">
      <c r="A2069" s="19">
        <v>23875</v>
      </c>
      <c r="B2069" s="20" t="s">
        <v>21</v>
      </c>
      <c r="C2069" s="20" t="s">
        <v>3671</v>
      </c>
      <c r="D2069" s="20" t="s">
        <v>3751</v>
      </c>
      <c r="E2069" s="20" t="s">
        <v>3752</v>
      </c>
      <c r="F2069" s="20">
        <v>36.343979339699899</v>
      </c>
      <c r="G2069" s="20">
        <v>43.224991456200001</v>
      </c>
      <c r="H2069" s="22">
        <v>988</v>
      </c>
      <c r="I2069" s="22">
        <v>5928</v>
      </c>
      <c r="J2069" s="21"/>
      <c r="K2069" s="21"/>
      <c r="L2069" s="21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>
        <v>988</v>
      </c>
      <c r="W2069" s="21"/>
      <c r="X2069" s="21"/>
      <c r="Y2069" s="21"/>
      <c r="Z2069" s="21"/>
      <c r="AA2069" s="21"/>
      <c r="AB2069" s="21"/>
      <c r="AC2069" s="21">
        <v>235</v>
      </c>
      <c r="AD2069" s="21"/>
      <c r="AE2069" s="21"/>
      <c r="AF2069" s="21"/>
      <c r="AG2069" s="21"/>
      <c r="AH2069" s="21">
        <v>742</v>
      </c>
      <c r="AI2069" s="21">
        <v>11</v>
      </c>
      <c r="AJ2069" s="21"/>
      <c r="AK2069" s="21"/>
      <c r="AL2069" s="21"/>
      <c r="AM2069" s="21"/>
      <c r="AN2069" s="21"/>
      <c r="AO2069" s="21"/>
      <c r="AP2069" s="21"/>
      <c r="AQ2069" s="21"/>
      <c r="AR2069" s="21">
        <v>988</v>
      </c>
      <c r="AS2069" s="21"/>
      <c r="AT2069" s="12" t="str">
        <f>HYPERLINK("http://www.openstreetmap.org/?mlat=36.344&amp;mlon=43.225&amp;zoom=12#map=12/36.344/43.225","Maplink1")</f>
        <v>Maplink1</v>
      </c>
      <c r="AU2069" s="12" t="str">
        <f>HYPERLINK("https://www.google.iq/maps/search/+36.344,43.225/@36.344,43.225,14z?hl=en","Maplink2")</f>
        <v>Maplink2</v>
      </c>
      <c r="AV2069" s="12" t="str">
        <f>HYPERLINK("http://www.bing.com/maps/?lvl=14&amp;sty=h&amp;cp=36.344~43.225&amp;sp=point.36.344_43.225","Maplink3")</f>
        <v>Maplink3</v>
      </c>
    </row>
    <row r="2070" spans="1:48" ht="15" customHeight="1" x14ac:dyDescent="0.25">
      <c r="A2070" s="19">
        <v>33248</v>
      </c>
      <c r="B2070" s="20" t="s">
        <v>21</v>
      </c>
      <c r="C2070" s="20" t="s">
        <v>3671</v>
      </c>
      <c r="D2070" s="20" t="s">
        <v>5742</v>
      </c>
      <c r="E2070" s="20" t="s">
        <v>1405</v>
      </c>
      <c r="F2070" s="20">
        <v>36.361255999999997</v>
      </c>
      <c r="G2070" s="20">
        <v>43.093406000000002</v>
      </c>
      <c r="H2070" s="22">
        <v>100</v>
      </c>
      <c r="I2070" s="22">
        <v>600</v>
      </c>
      <c r="J2070" s="21"/>
      <c r="K2070" s="21"/>
      <c r="L2070" s="21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>
        <v>100</v>
      </c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21"/>
      <c r="AH2070" s="21">
        <v>100</v>
      </c>
      <c r="AI2070" s="21"/>
      <c r="AJ2070" s="21"/>
      <c r="AK2070" s="21"/>
      <c r="AL2070" s="21"/>
      <c r="AM2070" s="21"/>
      <c r="AN2070" s="21"/>
      <c r="AO2070" s="21"/>
      <c r="AP2070" s="21"/>
      <c r="AQ2070" s="21"/>
      <c r="AR2070" s="21">
        <v>100</v>
      </c>
      <c r="AS2070" s="21"/>
      <c r="AT2070" s="12" t="str">
        <f>HYPERLINK("http://www.openstreetmap.org/?mlat=36.3613&amp;mlon=43.0934&amp;zoom=12#map=12/36.3613/43.0934","Maplink1")</f>
        <v>Maplink1</v>
      </c>
      <c r="AU2070" s="12" t="str">
        <f>HYPERLINK("https://www.google.iq/maps/search/+36.3613,43.0934/@36.3613,43.0934,14z?hl=en","Maplink2")</f>
        <v>Maplink2</v>
      </c>
      <c r="AV2070" s="12" t="str">
        <f>HYPERLINK("http://www.bing.com/maps/?lvl=14&amp;sty=h&amp;cp=36.3613~43.0934&amp;sp=point.36.3613_43.0934","Maplink3")</f>
        <v>Maplink3</v>
      </c>
    </row>
    <row r="2071" spans="1:48" ht="15" customHeight="1" x14ac:dyDescent="0.25">
      <c r="A2071" s="19">
        <v>31921</v>
      </c>
      <c r="B2071" s="20" t="s">
        <v>21</v>
      </c>
      <c r="C2071" s="20" t="s">
        <v>3671</v>
      </c>
      <c r="D2071" s="20" t="s">
        <v>3753</v>
      </c>
      <c r="E2071" s="20" t="s">
        <v>130</v>
      </c>
      <c r="F2071" s="20">
        <v>36.376899999999999</v>
      </c>
      <c r="G2071" s="20">
        <v>43.168168999999999</v>
      </c>
      <c r="H2071" s="22">
        <v>130</v>
      </c>
      <c r="I2071" s="22">
        <v>780</v>
      </c>
      <c r="J2071" s="21"/>
      <c r="K2071" s="21"/>
      <c r="L2071" s="21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>
        <v>130</v>
      </c>
      <c r="W2071" s="21"/>
      <c r="X2071" s="21"/>
      <c r="Y2071" s="21"/>
      <c r="Z2071" s="21"/>
      <c r="AA2071" s="21"/>
      <c r="AB2071" s="21"/>
      <c r="AC2071" s="21">
        <v>45</v>
      </c>
      <c r="AD2071" s="21"/>
      <c r="AE2071" s="21"/>
      <c r="AF2071" s="21"/>
      <c r="AG2071" s="21"/>
      <c r="AH2071" s="21">
        <v>75</v>
      </c>
      <c r="AI2071" s="21">
        <v>10</v>
      </c>
      <c r="AJ2071" s="21"/>
      <c r="AK2071" s="21"/>
      <c r="AL2071" s="21"/>
      <c r="AM2071" s="21"/>
      <c r="AN2071" s="21"/>
      <c r="AO2071" s="21"/>
      <c r="AP2071" s="21"/>
      <c r="AQ2071" s="21"/>
      <c r="AR2071" s="21">
        <v>130</v>
      </c>
      <c r="AS2071" s="21"/>
      <c r="AT2071" s="12" t="str">
        <f>HYPERLINK("http://www.openstreetmap.org/?mlat=36.3769&amp;mlon=43.1682&amp;zoom=12#map=12/36.3769/43.1682","Maplink1")</f>
        <v>Maplink1</v>
      </c>
      <c r="AU2071" s="12" t="str">
        <f>HYPERLINK("https://www.google.iq/maps/search/+36.3769,43.1682/@36.3769,43.1682,14z?hl=en","Maplink2")</f>
        <v>Maplink2</v>
      </c>
      <c r="AV2071" s="12" t="str">
        <f>HYPERLINK("http://www.bing.com/maps/?lvl=14&amp;sty=h&amp;cp=36.3769~43.1682&amp;sp=point.36.3769_43.1682","Maplink3")</f>
        <v>Maplink3</v>
      </c>
    </row>
    <row r="2072" spans="1:48" ht="15" customHeight="1" x14ac:dyDescent="0.25">
      <c r="A2072" s="19">
        <v>33203</v>
      </c>
      <c r="B2072" s="20" t="s">
        <v>21</v>
      </c>
      <c r="C2072" s="20" t="s">
        <v>3671</v>
      </c>
      <c r="D2072" s="20" t="s">
        <v>6173</v>
      </c>
      <c r="E2072" s="20" t="s">
        <v>6174</v>
      </c>
      <c r="F2072" s="20">
        <v>36.410803000000001</v>
      </c>
      <c r="G2072" s="20">
        <v>42.939337999999999</v>
      </c>
      <c r="H2072" s="22">
        <v>5</v>
      </c>
      <c r="I2072" s="22">
        <v>30</v>
      </c>
      <c r="J2072" s="21"/>
      <c r="K2072" s="21"/>
      <c r="L2072" s="21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>
        <v>5</v>
      </c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21"/>
      <c r="AH2072" s="21">
        <v>5</v>
      </c>
      <c r="AI2072" s="21"/>
      <c r="AJ2072" s="21"/>
      <c r="AK2072" s="21"/>
      <c r="AL2072" s="21"/>
      <c r="AM2072" s="21"/>
      <c r="AN2072" s="21"/>
      <c r="AO2072" s="21"/>
      <c r="AP2072" s="21">
        <v>5</v>
      </c>
      <c r="AQ2072" s="21"/>
      <c r="AR2072" s="21"/>
      <c r="AS2072" s="21"/>
      <c r="AT2072" s="12" t="str">
        <f>HYPERLINK("http://www.openstreetmap.org/?mlat=36.4108&amp;mlon=42.9393&amp;zoom=12#map=12/36.4108/42.9393","Maplink1")</f>
        <v>Maplink1</v>
      </c>
      <c r="AU2072" s="12" t="str">
        <f>HYPERLINK("https://www.google.iq/maps/search/+36.4108,42.9393/@36.4108,42.9393,14z?hl=en","Maplink2")</f>
        <v>Maplink2</v>
      </c>
      <c r="AV2072" s="12" t="str">
        <f>HYPERLINK("http://www.bing.com/maps/?lvl=14&amp;sty=h&amp;cp=36.4108~42.9393&amp;sp=point.36.4108_42.9393","Maplink3")</f>
        <v>Maplink3</v>
      </c>
    </row>
    <row r="2073" spans="1:48" ht="15" customHeight="1" x14ac:dyDescent="0.25">
      <c r="A2073" s="19">
        <v>31913</v>
      </c>
      <c r="B2073" s="20" t="s">
        <v>21</v>
      </c>
      <c r="C2073" s="20" t="s">
        <v>3671</v>
      </c>
      <c r="D2073" s="20" t="s">
        <v>3754</v>
      </c>
      <c r="E2073" s="20" t="s">
        <v>3755</v>
      </c>
      <c r="F2073" s="20">
        <v>36.310579099999998</v>
      </c>
      <c r="G2073" s="20">
        <v>43.216532149999999</v>
      </c>
      <c r="H2073" s="22">
        <v>589</v>
      </c>
      <c r="I2073" s="22">
        <v>3534</v>
      </c>
      <c r="J2073" s="21"/>
      <c r="K2073" s="21"/>
      <c r="L2073" s="21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>
        <v>589</v>
      </c>
      <c r="W2073" s="21"/>
      <c r="X2073" s="21"/>
      <c r="Y2073" s="21"/>
      <c r="Z2073" s="21"/>
      <c r="AA2073" s="21"/>
      <c r="AB2073" s="21"/>
      <c r="AC2073" s="21">
        <v>65</v>
      </c>
      <c r="AD2073" s="21"/>
      <c r="AE2073" s="21"/>
      <c r="AF2073" s="21"/>
      <c r="AG2073" s="21"/>
      <c r="AH2073" s="21">
        <v>524</v>
      </c>
      <c r="AI2073" s="21"/>
      <c r="AJ2073" s="21"/>
      <c r="AK2073" s="21"/>
      <c r="AL2073" s="21"/>
      <c r="AM2073" s="21"/>
      <c r="AN2073" s="21"/>
      <c r="AO2073" s="21"/>
      <c r="AP2073" s="21"/>
      <c r="AQ2073" s="21"/>
      <c r="AR2073" s="21">
        <v>589</v>
      </c>
      <c r="AS2073" s="21"/>
      <c r="AT2073" s="12" t="str">
        <f>HYPERLINK("http://www.openstreetmap.org/?mlat=36.3106&amp;mlon=43.2165&amp;zoom=12#map=12/36.3106/43.2165","Maplink1")</f>
        <v>Maplink1</v>
      </c>
      <c r="AU2073" s="12" t="str">
        <f>HYPERLINK("https://www.google.iq/maps/search/+36.3106,43.2165/@36.3106,43.2165,14z?hl=en","Maplink2")</f>
        <v>Maplink2</v>
      </c>
      <c r="AV2073" s="12" t="str">
        <f>HYPERLINK("http://www.bing.com/maps/?lvl=14&amp;sty=h&amp;cp=36.3106~43.2165&amp;sp=point.36.3106_43.2165","Maplink3")</f>
        <v>Maplink3</v>
      </c>
    </row>
    <row r="2074" spans="1:48" ht="15" customHeight="1" x14ac:dyDescent="0.25">
      <c r="A2074" s="19">
        <v>33376</v>
      </c>
      <c r="B2074" s="20" t="s">
        <v>21</v>
      </c>
      <c r="C2074" s="20" t="s">
        <v>3671</v>
      </c>
      <c r="D2074" s="20" t="s">
        <v>5884</v>
      </c>
      <c r="E2074" s="20" t="s">
        <v>123</v>
      </c>
      <c r="F2074" s="20">
        <v>36.376857999999999</v>
      </c>
      <c r="G2074" s="20">
        <v>43.134695000000001</v>
      </c>
      <c r="H2074" s="22">
        <v>565</v>
      </c>
      <c r="I2074" s="22">
        <v>3390</v>
      </c>
      <c r="J2074" s="21"/>
      <c r="K2074" s="21"/>
      <c r="L2074" s="21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>
        <v>565</v>
      </c>
      <c r="W2074" s="21"/>
      <c r="X2074" s="21"/>
      <c r="Y2074" s="21"/>
      <c r="Z2074" s="21"/>
      <c r="AA2074" s="21"/>
      <c r="AB2074" s="21"/>
      <c r="AC2074" s="21">
        <v>175</v>
      </c>
      <c r="AD2074" s="21"/>
      <c r="AE2074" s="21"/>
      <c r="AF2074" s="21"/>
      <c r="AG2074" s="21"/>
      <c r="AH2074" s="21">
        <v>390</v>
      </c>
      <c r="AI2074" s="21"/>
      <c r="AJ2074" s="21"/>
      <c r="AK2074" s="21"/>
      <c r="AL2074" s="21"/>
      <c r="AM2074" s="21"/>
      <c r="AN2074" s="21"/>
      <c r="AO2074" s="21"/>
      <c r="AP2074" s="21"/>
      <c r="AQ2074" s="21"/>
      <c r="AR2074" s="21">
        <v>565</v>
      </c>
      <c r="AS2074" s="21"/>
      <c r="AT2074" s="12" t="str">
        <f>HYPERLINK("http://www.openstreetmap.org/?mlat=36.3769&amp;mlon=43.1347&amp;zoom=12#map=12/36.3769/43.1347","Maplink1")</f>
        <v>Maplink1</v>
      </c>
      <c r="AU2074" s="12" t="str">
        <f>HYPERLINK("https://www.google.iq/maps/search/+36.3769,43.1347/@36.3769,43.1347,14z?hl=en","Maplink2")</f>
        <v>Maplink2</v>
      </c>
      <c r="AV2074" s="12" t="str">
        <f>HYPERLINK("http://www.bing.com/maps/?lvl=14&amp;sty=h&amp;cp=36.3769~43.1347&amp;sp=point.36.3769_43.1347","Maplink3")</f>
        <v>Maplink3</v>
      </c>
    </row>
    <row r="2075" spans="1:48" ht="15" customHeight="1" x14ac:dyDescent="0.25">
      <c r="A2075" s="19">
        <v>21335</v>
      </c>
      <c r="B2075" s="20" t="s">
        <v>21</v>
      </c>
      <c r="C2075" s="20" t="s">
        <v>3671</v>
      </c>
      <c r="D2075" s="20" t="s">
        <v>5743</v>
      </c>
      <c r="E2075" s="20" t="s">
        <v>5744</v>
      </c>
      <c r="F2075" s="20">
        <v>36.348761000000003</v>
      </c>
      <c r="G2075" s="20">
        <v>43.102550999999998</v>
      </c>
      <c r="H2075" s="22">
        <v>65</v>
      </c>
      <c r="I2075" s="22">
        <v>390</v>
      </c>
      <c r="J2075" s="21"/>
      <c r="K2075" s="21"/>
      <c r="L2075" s="21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>
        <v>65</v>
      </c>
      <c r="W2075" s="21"/>
      <c r="X2075" s="21"/>
      <c r="Y2075" s="21"/>
      <c r="Z2075" s="21"/>
      <c r="AA2075" s="21"/>
      <c r="AB2075" s="21"/>
      <c r="AC2075" s="21"/>
      <c r="AD2075" s="21"/>
      <c r="AE2075" s="21">
        <v>1</v>
      </c>
      <c r="AF2075" s="21"/>
      <c r="AG2075" s="21"/>
      <c r="AH2075" s="21">
        <v>64</v>
      </c>
      <c r="AI2075" s="21"/>
      <c r="AJ2075" s="21"/>
      <c r="AK2075" s="21"/>
      <c r="AL2075" s="21"/>
      <c r="AM2075" s="21"/>
      <c r="AN2075" s="21"/>
      <c r="AO2075" s="21"/>
      <c r="AP2075" s="21"/>
      <c r="AQ2075" s="21"/>
      <c r="AR2075" s="21">
        <v>65</v>
      </c>
      <c r="AS2075" s="21"/>
      <c r="AT2075" s="12" t="str">
        <f>HYPERLINK("http://www.openstreetmap.org/?mlat=36.3488&amp;mlon=43.1026&amp;zoom=12#map=12/36.3488/43.1026","Maplink1")</f>
        <v>Maplink1</v>
      </c>
      <c r="AU2075" s="12" t="str">
        <f>HYPERLINK("https://www.google.iq/maps/search/+36.3488,43.1026/@36.3488,43.1026,14z?hl=en","Maplink2")</f>
        <v>Maplink2</v>
      </c>
      <c r="AV2075" s="12" t="str">
        <f>HYPERLINK("http://www.bing.com/maps/?lvl=14&amp;sty=h&amp;cp=36.3488~43.1026&amp;sp=point.36.3488_43.1026","Maplink3")</f>
        <v>Maplink3</v>
      </c>
    </row>
    <row r="2076" spans="1:48" ht="15" customHeight="1" x14ac:dyDescent="0.25">
      <c r="A2076" s="19">
        <v>33252</v>
      </c>
      <c r="B2076" s="20" t="s">
        <v>21</v>
      </c>
      <c r="C2076" s="20" t="s">
        <v>3671</v>
      </c>
      <c r="D2076" s="20" t="s">
        <v>5745</v>
      </c>
      <c r="E2076" s="20" t="s">
        <v>5746</v>
      </c>
      <c r="F2076" s="20">
        <v>36.337035999999998</v>
      </c>
      <c r="G2076" s="20">
        <v>43.101666999999999</v>
      </c>
      <c r="H2076" s="22">
        <v>20</v>
      </c>
      <c r="I2076" s="22">
        <v>120</v>
      </c>
      <c r="J2076" s="21"/>
      <c r="K2076" s="21"/>
      <c r="L2076" s="21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>
        <v>20</v>
      </c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21"/>
      <c r="AH2076" s="21">
        <v>20</v>
      </c>
      <c r="AI2076" s="21"/>
      <c r="AJ2076" s="21"/>
      <c r="AK2076" s="21"/>
      <c r="AL2076" s="21"/>
      <c r="AM2076" s="21"/>
      <c r="AN2076" s="21"/>
      <c r="AO2076" s="21"/>
      <c r="AP2076" s="21"/>
      <c r="AQ2076" s="21"/>
      <c r="AR2076" s="21">
        <v>20</v>
      </c>
      <c r="AS2076" s="21"/>
      <c r="AT2076" s="12" t="str">
        <f>HYPERLINK("http://www.openstreetmap.org/?mlat=36.337&amp;mlon=43.1017&amp;zoom=12#map=12/36.337/43.1017","Maplink1")</f>
        <v>Maplink1</v>
      </c>
      <c r="AU2076" s="12" t="str">
        <f>HYPERLINK("https://www.google.iq/maps/search/+36.337,43.1017/@36.337,43.1017,14z?hl=en","Maplink2")</f>
        <v>Maplink2</v>
      </c>
      <c r="AV2076" s="12" t="str">
        <f>HYPERLINK("http://www.bing.com/maps/?lvl=14&amp;sty=h&amp;cp=36.337~43.1017&amp;sp=point.36.337_43.1017","Maplink3")</f>
        <v>Maplink3</v>
      </c>
    </row>
    <row r="2077" spans="1:48" ht="15" customHeight="1" x14ac:dyDescent="0.25">
      <c r="A2077" s="19">
        <v>33244</v>
      </c>
      <c r="B2077" s="20" t="s">
        <v>21</v>
      </c>
      <c r="C2077" s="20" t="s">
        <v>3671</v>
      </c>
      <c r="D2077" s="20" t="s">
        <v>5747</v>
      </c>
      <c r="E2077" s="20" t="s">
        <v>2341</v>
      </c>
      <c r="F2077" s="20">
        <v>36.313352000000002</v>
      </c>
      <c r="G2077" s="20">
        <v>43.115834</v>
      </c>
      <c r="H2077" s="22">
        <v>30</v>
      </c>
      <c r="I2077" s="22">
        <v>180</v>
      </c>
      <c r="J2077" s="21"/>
      <c r="K2077" s="21"/>
      <c r="L2077" s="21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>
        <v>30</v>
      </c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21"/>
      <c r="AH2077" s="21">
        <v>30</v>
      </c>
      <c r="AI2077" s="21"/>
      <c r="AJ2077" s="21"/>
      <c r="AK2077" s="21"/>
      <c r="AL2077" s="21"/>
      <c r="AM2077" s="21"/>
      <c r="AN2077" s="21"/>
      <c r="AO2077" s="21"/>
      <c r="AP2077" s="21"/>
      <c r="AQ2077" s="21"/>
      <c r="AR2077" s="21">
        <v>30</v>
      </c>
      <c r="AS2077" s="21"/>
      <c r="AT2077" s="12" t="str">
        <f>HYPERLINK("http://www.openstreetmap.org/?mlat=36.3134&amp;mlon=43.1158&amp;zoom=12#map=12/36.3134/43.1158","Maplink1")</f>
        <v>Maplink1</v>
      </c>
      <c r="AU2077" s="12" t="str">
        <f>HYPERLINK("https://www.google.iq/maps/search/+36.3134,43.1158/@36.3134,43.1158,14z?hl=en","Maplink2")</f>
        <v>Maplink2</v>
      </c>
      <c r="AV2077" s="12" t="str">
        <f>HYPERLINK("http://www.bing.com/maps/?lvl=14&amp;sty=h&amp;cp=36.3134~43.1158&amp;sp=point.36.3134_43.1158","Maplink3")</f>
        <v>Maplink3</v>
      </c>
    </row>
    <row r="2078" spans="1:48" ht="15" customHeight="1" x14ac:dyDescent="0.25">
      <c r="A2078" s="19">
        <v>18357</v>
      </c>
      <c r="B2078" s="20" t="s">
        <v>21</v>
      </c>
      <c r="C2078" s="20" t="s">
        <v>3671</v>
      </c>
      <c r="D2078" s="20" t="s">
        <v>3756</v>
      </c>
      <c r="E2078" s="20" t="s">
        <v>3757</v>
      </c>
      <c r="F2078" s="20">
        <v>36.38989866</v>
      </c>
      <c r="G2078" s="20">
        <v>43.169087099999999</v>
      </c>
      <c r="H2078" s="22">
        <v>964</v>
      </c>
      <c r="I2078" s="22">
        <v>5784</v>
      </c>
      <c r="J2078" s="21"/>
      <c r="K2078" s="21"/>
      <c r="L2078" s="21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>
        <v>964</v>
      </c>
      <c r="W2078" s="21"/>
      <c r="X2078" s="21"/>
      <c r="Y2078" s="21"/>
      <c r="Z2078" s="21"/>
      <c r="AA2078" s="21"/>
      <c r="AB2078" s="21"/>
      <c r="AC2078" s="21">
        <v>344</v>
      </c>
      <c r="AD2078" s="21"/>
      <c r="AE2078" s="21"/>
      <c r="AF2078" s="21"/>
      <c r="AG2078" s="21"/>
      <c r="AH2078" s="21">
        <v>603</v>
      </c>
      <c r="AI2078" s="21">
        <v>17</v>
      </c>
      <c r="AJ2078" s="21"/>
      <c r="AK2078" s="21"/>
      <c r="AL2078" s="21"/>
      <c r="AM2078" s="21"/>
      <c r="AN2078" s="21">
        <v>17</v>
      </c>
      <c r="AO2078" s="21"/>
      <c r="AP2078" s="21"/>
      <c r="AQ2078" s="21"/>
      <c r="AR2078" s="21">
        <v>947</v>
      </c>
      <c r="AS2078" s="21"/>
      <c r="AT2078" s="12" t="str">
        <f>HYPERLINK("http://www.openstreetmap.org/?mlat=36.3899&amp;mlon=43.1691&amp;zoom=12#map=12/36.3899/43.1691","Maplink1")</f>
        <v>Maplink1</v>
      </c>
      <c r="AU2078" s="12" t="str">
        <f>HYPERLINK("https://www.google.iq/maps/search/+36.3899,43.1691/@36.3899,43.1691,14z?hl=en","Maplink2")</f>
        <v>Maplink2</v>
      </c>
      <c r="AV2078" s="12" t="str">
        <f>HYPERLINK("http://www.bing.com/maps/?lvl=14&amp;sty=h&amp;cp=36.3899~43.1691&amp;sp=point.36.3899_43.1691","Maplink3")</f>
        <v>Maplink3</v>
      </c>
    </row>
    <row r="2079" spans="1:48" ht="15" customHeight="1" x14ac:dyDescent="0.25">
      <c r="A2079" s="19">
        <v>18397</v>
      </c>
      <c r="B2079" s="20" t="s">
        <v>21</v>
      </c>
      <c r="C2079" s="20" t="s">
        <v>3671</v>
      </c>
      <c r="D2079" s="20" t="s">
        <v>3758</v>
      </c>
      <c r="E2079" s="20" t="s">
        <v>3759</v>
      </c>
      <c r="F2079" s="20">
        <v>36.358053069999997</v>
      </c>
      <c r="G2079" s="20">
        <v>43.15981713</v>
      </c>
      <c r="H2079" s="22">
        <v>114</v>
      </c>
      <c r="I2079" s="22">
        <v>684</v>
      </c>
      <c r="J2079" s="21"/>
      <c r="K2079" s="21"/>
      <c r="L2079" s="21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>
        <v>114</v>
      </c>
      <c r="W2079" s="21"/>
      <c r="X2079" s="21"/>
      <c r="Y2079" s="21"/>
      <c r="Z2079" s="21"/>
      <c r="AA2079" s="21"/>
      <c r="AB2079" s="21"/>
      <c r="AC2079" s="21">
        <v>34</v>
      </c>
      <c r="AD2079" s="21"/>
      <c r="AE2079" s="21"/>
      <c r="AF2079" s="21"/>
      <c r="AG2079" s="21"/>
      <c r="AH2079" s="21">
        <v>80</v>
      </c>
      <c r="AI2079" s="21"/>
      <c r="AJ2079" s="21"/>
      <c r="AK2079" s="21"/>
      <c r="AL2079" s="21"/>
      <c r="AM2079" s="21"/>
      <c r="AN2079" s="21"/>
      <c r="AO2079" s="21"/>
      <c r="AP2079" s="21"/>
      <c r="AQ2079" s="21"/>
      <c r="AR2079" s="21">
        <v>114</v>
      </c>
      <c r="AS2079" s="21"/>
      <c r="AT2079" s="12" t="str">
        <f>HYPERLINK("http://www.openstreetmap.org/?mlat=36.3581&amp;mlon=43.1598&amp;zoom=12#map=12/36.3581/43.1598","Maplink1")</f>
        <v>Maplink1</v>
      </c>
      <c r="AU2079" s="12" t="str">
        <f>HYPERLINK("https://www.google.iq/maps/search/+36.3581,43.1598/@36.3581,43.1598,14z?hl=en","Maplink2")</f>
        <v>Maplink2</v>
      </c>
      <c r="AV2079" s="12" t="str">
        <f>HYPERLINK("http://www.bing.com/maps/?lvl=14&amp;sty=h&amp;cp=36.3581~43.1598&amp;sp=point.36.3581_43.1598","Maplink3")</f>
        <v>Maplink3</v>
      </c>
    </row>
    <row r="2080" spans="1:48" ht="15" customHeight="1" x14ac:dyDescent="0.25">
      <c r="A2080" s="19">
        <v>20933</v>
      </c>
      <c r="B2080" s="20" t="s">
        <v>21</v>
      </c>
      <c r="C2080" s="20" t="s">
        <v>3671</v>
      </c>
      <c r="D2080" s="20" t="s">
        <v>6175</v>
      </c>
      <c r="E2080" s="20" t="s">
        <v>6176</v>
      </c>
      <c r="F2080" s="20">
        <v>36.373930000000001</v>
      </c>
      <c r="G2080" s="20">
        <v>42.932499999999997</v>
      </c>
      <c r="H2080" s="22">
        <v>4</v>
      </c>
      <c r="I2080" s="22">
        <v>24</v>
      </c>
      <c r="J2080" s="21"/>
      <c r="K2080" s="21"/>
      <c r="L2080" s="21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>
        <v>4</v>
      </c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21"/>
      <c r="AH2080" s="21">
        <v>4</v>
      </c>
      <c r="AI2080" s="21"/>
      <c r="AJ2080" s="21"/>
      <c r="AK2080" s="21"/>
      <c r="AL2080" s="21"/>
      <c r="AM2080" s="21"/>
      <c r="AN2080" s="21">
        <v>4</v>
      </c>
      <c r="AO2080" s="21"/>
      <c r="AP2080" s="21"/>
      <c r="AQ2080" s="21"/>
      <c r="AR2080" s="21"/>
      <c r="AS2080" s="21"/>
      <c r="AT2080" s="12" t="str">
        <f>HYPERLINK("http://www.openstreetmap.org/?mlat=36.3739&amp;mlon=42.9325&amp;zoom=12#map=12/36.3739/42.9325","Maplink1")</f>
        <v>Maplink1</v>
      </c>
      <c r="AU2080" s="12" t="str">
        <f>HYPERLINK("https://www.google.iq/maps/search/+36.3739,42.9325/@36.3739,42.9325,14z?hl=en","Maplink2")</f>
        <v>Maplink2</v>
      </c>
      <c r="AV2080" s="12" t="str">
        <f>HYPERLINK("http://www.bing.com/maps/?lvl=14&amp;sty=h&amp;cp=36.3739~42.9325&amp;sp=point.36.3739_42.9325","Maplink3")</f>
        <v>Maplink3</v>
      </c>
    </row>
    <row r="2081" spans="1:48" ht="15" customHeight="1" x14ac:dyDescent="0.25">
      <c r="A2081" s="19">
        <v>18372</v>
      </c>
      <c r="B2081" s="20" t="s">
        <v>21</v>
      </c>
      <c r="C2081" s="20" t="s">
        <v>3671</v>
      </c>
      <c r="D2081" s="20" t="s">
        <v>3760</v>
      </c>
      <c r="E2081" s="20" t="s">
        <v>380</v>
      </c>
      <c r="F2081" s="20">
        <v>36.326349290000003</v>
      </c>
      <c r="G2081" s="20">
        <v>43.195602379999997</v>
      </c>
      <c r="H2081" s="22">
        <v>1145</v>
      </c>
      <c r="I2081" s="22">
        <v>6870</v>
      </c>
      <c r="J2081" s="21"/>
      <c r="K2081" s="21"/>
      <c r="L2081" s="21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>
        <v>1145</v>
      </c>
      <c r="W2081" s="21"/>
      <c r="X2081" s="21"/>
      <c r="Y2081" s="21"/>
      <c r="Z2081" s="21"/>
      <c r="AA2081" s="21"/>
      <c r="AB2081" s="21"/>
      <c r="AC2081" s="21">
        <v>85</v>
      </c>
      <c r="AD2081" s="21"/>
      <c r="AE2081" s="21"/>
      <c r="AF2081" s="21"/>
      <c r="AG2081" s="21"/>
      <c r="AH2081" s="21">
        <v>1060</v>
      </c>
      <c r="AI2081" s="21"/>
      <c r="AJ2081" s="21"/>
      <c r="AK2081" s="21"/>
      <c r="AL2081" s="21"/>
      <c r="AM2081" s="21"/>
      <c r="AN2081" s="21"/>
      <c r="AO2081" s="21"/>
      <c r="AP2081" s="21"/>
      <c r="AQ2081" s="21"/>
      <c r="AR2081" s="21">
        <v>1145</v>
      </c>
      <c r="AS2081" s="21"/>
      <c r="AT2081" s="12" t="str">
        <f>HYPERLINK("http://www.openstreetmap.org/?mlat=36.3263&amp;mlon=43.1956&amp;zoom=12#map=12/36.3263/43.1956","Maplink1")</f>
        <v>Maplink1</v>
      </c>
      <c r="AU2081" s="12" t="str">
        <f>HYPERLINK("https://www.google.iq/maps/search/+36.3263,43.1956/@36.3263,43.1956,14z?hl=en","Maplink2")</f>
        <v>Maplink2</v>
      </c>
      <c r="AV2081" s="12" t="str">
        <f>HYPERLINK("http://www.bing.com/maps/?lvl=14&amp;sty=h&amp;cp=36.3263~43.1956&amp;sp=point.36.3263_43.1956","Maplink3")</f>
        <v>Maplink3</v>
      </c>
    </row>
    <row r="2082" spans="1:48" ht="15" customHeight="1" x14ac:dyDescent="0.25">
      <c r="A2082" s="19">
        <v>18367</v>
      </c>
      <c r="B2082" s="20" t="s">
        <v>21</v>
      </c>
      <c r="C2082" s="20" t="s">
        <v>3671</v>
      </c>
      <c r="D2082" s="20" t="s">
        <v>3761</v>
      </c>
      <c r="E2082" s="20" t="s">
        <v>3762</v>
      </c>
      <c r="F2082" s="20">
        <v>36.3367</v>
      </c>
      <c r="G2082" s="20">
        <v>43.083634000000004</v>
      </c>
      <c r="H2082" s="22">
        <v>50</v>
      </c>
      <c r="I2082" s="22">
        <v>300</v>
      </c>
      <c r="J2082" s="21"/>
      <c r="K2082" s="21"/>
      <c r="L2082" s="21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>
        <v>50</v>
      </c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21"/>
      <c r="AH2082" s="21">
        <v>50</v>
      </c>
      <c r="AI2082" s="21"/>
      <c r="AJ2082" s="21"/>
      <c r="AK2082" s="21"/>
      <c r="AL2082" s="21"/>
      <c r="AM2082" s="21"/>
      <c r="AN2082" s="21"/>
      <c r="AO2082" s="21"/>
      <c r="AP2082" s="21"/>
      <c r="AQ2082" s="21"/>
      <c r="AR2082" s="21">
        <v>50</v>
      </c>
      <c r="AS2082" s="21"/>
      <c r="AT2082" s="12" t="str">
        <f>HYPERLINK("http://www.openstreetmap.org/?mlat=36.3367&amp;mlon=43.0836&amp;zoom=12#map=12/36.3367/43.0836","Maplink1")</f>
        <v>Maplink1</v>
      </c>
      <c r="AU2082" s="12" t="str">
        <f>HYPERLINK("https://www.google.iq/maps/search/+36.3367,43.0836/@36.3367,43.0836,14z?hl=en","Maplink2")</f>
        <v>Maplink2</v>
      </c>
      <c r="AV2082" s="12" t="str">
        <f>HYPERLINK("http://www.bing.com/maps/?lvl=14&amp;sty=h&amp;cp=36.3367~43.0836&amp;sp=point.36.3367_43.0836","Maplink3")</f>
        <v>Maplink3</v>
      </c>
    </row>
    <row r="2083" spans="1:48" ht="15" customHeight="1" x14ac:dyDescent="0.25">
      <c r="A2083" s="19">
        <v>23545</v>
      </c>
      <c r="B2083" s="20" t="s">
        <v>21</v>
      </c>
      <c r="C2083" s="20" t="s">
        <v>3671</v>
      </c>
      <c r="D2083" s="20" t="s">
        <v>3763</v>
      </c>
      <c r="E2083" s="20" t="s">
        <v>3764</v>
      </c>
      <c r="F2083" s="20">
        <v>36.252636000000003</v>
      </c>
      <c r="G2083" s="20">
        <v>43.176934000000003</v>
      </c>
      <c r="H2083" s="22">
        <v>3</v>
      </c>
      <c r="I2083" s="22">
        <v>18</v>
      </c>
      <c r="J2083" s="21"/>
      <c r="K2083" s="21"/>
      <c r="L2083" s="21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>
        <v>3</v>
      </c>
      <c r="W2083" s="21"/>
      <c r="X2083" s="21"/>
      <c r="Y2083" s="21"/>
      <c r="Z2083" s="21"/>
      <c r="AA2083" s="21"/>
      <c r="AB2083" s="21"/>
      <c r="AC2083" s="21">
        <v>3</v>
      </c>
      <c r="AD2083" s="21"/>
      <c r="AE2083" s="21"/>
      <c r="AF2083" s="21"/>
      <c r="AG2083" s="21"/>
      <c r="AH2083" s="21"/>
      <c r="AI2083" s="21"/>
      <c r="AJ2083" s="21"/>
      <c r="AK2083" s="21"/>
      <c r="AL2083" s="21"/>
      <c r="AM2083" s="21"/>
      <c r="AN2083" s="21"/>
      <c r="AO2083" s="21"/>
      <c r="AP2083" s="21"/>
      <c r="AQ2083" s="21"/>
      <c r="AR2083" s="21">
        <v>3</v>
      </c>
      <c r="AS2083" s="21"/>
      <c r="AT2083" s="12" t="str">
        <f>HYPERLINK("http://www.openstreetmap.org/?mlat=36.2526&amp;mlon=43.1769&amp;zoom=12#map=12/36.2526/43.1769","Maplink1")</f>
        <v>Maplink1</v>
      </c>
      <c r="AU2083" s="12" t="str">
        <f>HYPERLINK("https://www.google.iq/maps/search/+36.2526,43.1769/@36.2526,43.1769,14z?hl=en","Maplink2")</f>
        <v>Maplink2</v>
      </c>
      <c r="AV2083" s="12" t="str">
        <f>HYPERLINK("http://www.bing.com/maps/?lvl=14&amp;sty=h&amp;cp=36.2526~43.1769&amp;sp=point.36.2526_43.1769","Maplink3")</f>
        <v>Maplink3</v>
      </c>
    </row>
    <row r="2084" spans="1:48" ht="15" customHeight="1" x14ac:dyDescent="0.25">
      <c r="A2084" s="19">
        <v>18327</v>
      </c>
      <c r="B2084" s="20" t="s">
        <v>21</v>
      </c>
      <c r="C2084" s="20" t="s">
        <v>3671</v>
      </c>
      <c r="D2084" s="20" t="s">
        <v>3765</v>
      </c>
      <c r="E2084" s="20" t="s">
        <v>2986</v>
      </c>
      <c r="F2084" s="20">
        <v>36.378132999999998</v>
      </c>
      <c r="G2084" s="20">
        <v>43.184111999999999</v>
      </c>
      <c r="H2084" s="22">
        <v>110</v>
      </c>
      <c r="I2084" s="22">
        <v>660</v>
      </c>
      <c r="J2084" s="21"/>
      <c r="K2084" s="21"/>
      <c r="L2084" s="21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>
        <v>110</v>
      </c>
      <c r="W2084" s="21"/>
      <c r="X2084" s="21"/>
      <c r="Y2084" s="21"/>
      <c r="Z2084" s="21"/>
      <c r="AA2084" s="21"/>
      <c r="AB2084" s="21"/>
      <c r="AC2084" s="21">
        <v>45</v>
      </c>
      <c r="AD2084" s="21"/>
      <c r="AE2084" s="21"/>
      <c r="AF2084" s="21"/>
      <c r="AG2084" s="21"/>
      <c r="AH2084" s="21">
        <v>65</v>
      </c>
      <c r="AI2084" s="21"/>
      <c r="AJ2084" s="21"/>
      <c r="AK2084" s="21"/>
      <c r="AL2084" s="21"/>
      <c r="AM2084" s="21"/>
      <c r="AN2084" s="21"/>
      <c r="AO2084" s="21"/>
      <c r="AP2084" s="21"/>
      <c r="AQ2084" s="21"/>
      <c r="AR2084" s="21">
        <v>110</v>
      </c>
      <c r="AS2084" s="21"/>
      <c r="AT2084" s="12" t="str">
        <f>HYPERLINK("http://www.openstreetmap.org/?mlat=36.3781&amp;mlon=43.1841&amp;zoom=12#map=12/36.3781/43.1841","Maplink1")</f>
        <v>Maplink1</v>
      </c>
      <c r="AU2084" s="12" t="str">
        <f>HYPERLINK("https://www.google.iq/maps/search/+36.3781,43.1841/@36.3781,43.1841,14z?hl=en","Maplink2")</f>
        <v>Maplink2</v>
      </c>
      <c r="AV2084" s="12" t="str">
        <f>HYPERLINK("http://www.bing.com/maps/?lvl=14&amp;sty=h&amp;cp=36.3781~43.1841&amp;sp=point.36.3781_43.1841","Maplink3")</f>
        <v>Maplink3</v>
      </c>
    </row>
    <row r="2085" spans="1:48" ht="15" customHeight="1" x14ac:dyDescent="0.25">
      <c r="A2085" s="19">
        <v>18388</v>
      </c>
      <c r="B2085" s="20" t="s">
        <v>21</v>
      </c>
      <c r="C2085" s="20" t="s">
        <v>3671</v>
      </c>
      <c r="D2085" s="20" t="s">
        <v>3766</v>
      </c>
      <c r="E2085" s="20" t="s">
        <v>3767</v>
      </c>
      <c r="F2085" s="20">
        <v>36.378098999999999</v>
      </c>
      <c r="G2085" s="20">
        <v>43.196961000000002</v>
      </c>
      <c r="H2085" s="22">
        <v>359</v>
      </c>
      <c r="I2085" s="22">
        <v>2154</v>
      </c>
      <c r="J2085" s="21"/>
      <c r="K2085" s="21"/>
      <c r="L2085" s="21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>
        <v>359</v>
      </c>
      <c r="W2085" s="21"/>
      <c r="X2085" s="21"/>
      <c r="Y2085" s="21"/>
      <c r="Z2085" s="21"/>
      <c r="AA2085" s="21"/>
      <c r="AB2085" s="21"/>
      <c r="AC2085" s="21">
        <v>133</v>
      </c>
      <c r="AD2085" s="21"/>
      <c r="AE2085" s="21"/>
      <c r="AF2085" s="21"/>
      <c r="AG2085" s="21"/>
      <c r="AH2085" s="21">
        <v>220</v>
      </c>
      <c r="AI2085" s="21">
        <v>6</v>
      </c>
      <c r="AJ2085" s="21"/>
      <c r="AK2085" s="21"/>
      <c r="AL2085" s="21"/>
      <c r="AM2085" s="21"/>
      <c r="AN2085" s="21"/>
      <c r="AO2085" s="21"/>
      <c r="AP2085" s="21"/>
      <c r="AQ2085" s="21"/>
      <c r="AR2085" s="21">
        <v>359</v>
      </c>
      <c r="AS2085" s="21"/>
      <c r="AT2085" s="12" t="str">
        <f>HYPERLINK("http://www.openstreetmap.org/?mlat=36.3781&amp;mlon=43.197&amp;zoom=12#map=12/36.3781/43.197","Maplink1")</f>
        <v>Maplink1</v>
      </c>
      <c r="AU2085" s="12" t="str">
        <f>HYPERLINK("https://www.google.iq/maps/search/+36.3781,43.197/@36.3781,43.197,14z?hl=en","Maplink2")</f>
        <v>Maplink2</v>
      </c>
      <c r="AV2085" s="12" t="str">
        <f>HYPERLINK("http://www.bing.com/maps/?lvl=14&amp;sty=h&amp;cp=36.3781~43.197&amp;sp=point.36.3781_43.197","Maplink3")</f>
        <v>Maplink3</v>
      </c>
    </row>
    <row r="2086" spans="1:48" ht="15" customHeight="1" x14ac:dyDescent="0.25">
      <c r="A2086" s="19">
        <v>18384</v>
      </c>
      <c r="B2086" s="20" t="s">
        <v>21</v>
      </c>
      <c r="C2086" s="20" t="s">
        <v>3671</v>
      </c>
      <c r="D2086" s="20" t="s">
        <v>3768</v>
      </c>
      <c r="E2086" s="20" t="s">
        <v>121</v>
      </c>
      <c r="F2086" s="20">
        <v>36.317590000000003</v>
      </c>
      <c r="G2086" s="20">
        <v>43.098782</v>
      </c>
      <c r="H2086" s="22">
        <v>60</v>
      </c>
      <c r="I2086" s="22">
        <v>360</v>
      </c>
      <c r="J2086" s="21"/>
      <c r="K2086" s="21"/>
      <c r="L2086" s="21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>
        <v>60</v>
      </c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21"/>
      <c r="AH2086" s="21">
        <v>60</v>
      </c>
      <c r="AI2086" s="21"/>
      <c r="AJ2086" s="21"/>
      <c r="AK2086" s="21"/>
      <c r="AL2086" s="21"/>
      <c r="AM2086" s="21"/>
      <c r="AN2086" s="21"/>
      <c r="AO2086" s="21"/>
      <c r="AP2086" s="21"/>
      <c r="AQ2086" s="21"/>
      <c r="AR2086" s="21">
        <v>60</v>
      </c>
      <c r="AS2086" s="21"/>
      <c r="AT2086" s="12" t="str">
        <f>HYPERLINK("http://www.openstreetmap.org/?mlat=36.3176&amp;mlon=43.0988&amp;zoom=12#map=12/36.3176/43.0988","Maplink1")</f>
        <v>Maplink1</v>
      </c>
      <c r="AU2086" s="12" t="str">
        <f>HYPERLINK("https://www.google.iq/maps/search/+36.3176,43.0988/@36.3176,43.0988,14z?hl=en","Maplink2")</f>
        <v>Maplink2</v>
      </c>
      <c r="AV2086" s="12" t="str">
        <f>HYPERLINK("http://www.bing.com/maps/?lvl=14&amp;sty=h&amp;cp=36.3176~43.0988&amp;sp=point.36.3176_43.0988","Maplink3")</f>
        <v>Maplink3</v>
      </c>
    </row>
    <row r="2087" spans="1:48" ht="15" customHeight="1" x14ac:dyDescent="0.25">
      <c r="A2087" s="19">
        <v>28434</v>
      </c>
      <c r="B2087" s="20" t="s">
        <v>21</v>
      </c>
      <c r="C2087" s="20" t="s">
        <v>3671</v>
      </c>
      <c r="D2087" s="20" t="s">
        <v>6177</v>
      </c>
      <c r="E2087" s="20" t="s">
        <v>6178</v>
      </c>
      <c r="F2087" s="20">
        <v>36.434800000000003</v>
      </c>
      <c r="G2087" s="20">
        <v>42.799199999999999</v>
      </c>
      <c r="H2087" s="22">
        <v>2</v>
      </c>
      <c r="I2087" s="22">
        <v>12</v>
      </c>
      <c r="J2087" s="21"/>
      <c r="K2087" s="21"/>
      <c r="L2087" s="21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>
        <v>2</v>
      </c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21"/>
      <c r="AH2087" s="21">
        <v>2</v>
      </c>
      <c r="AI2087" s="21"/>
      <c r="AJ2087" s="21"/>
      <c r="AK2087" s="21"/>
      <c r="AL2087" s="21"/>
      <c r="AM2087" s="21"/>
      <c r="AN2087" s="21">
        <v>2</v>
      </c>
      <c r="AO2087" s="21"/>
      <c r="AP2087" s="21"/>
      <c r="AQ2087" s="21"/>
      <c r="AR2087" s="21"/>
      <c r="AS2087" s="21"/>
      <c r="AT2087" s="12" t="str">
        <f>HYPERLINK("http://www.openstreetmap.org/?mlat=36.4348&amp;mlon=42.7992&amp;zoom=12#map=12/36.4348/42.7992","Maplink1")</f>
        <v>Maplink1</v>
      </c>
      <c r="AU2087" s="12" t="str">
        <f>HYPERLINK("https://www.google.iq/maps/search/+36.4348,42.7992/@36.4348,42.7992,14z?hl=en","Maplink2")</f>
        <v>Maplink2</v>
      </c>
      <c r="AV2087" s="12" t="str">
        <f>HYPERLINK("http://www.bing.com/maps/?lvl=14&amp;sty=h&amp;cp=36.4348~42.7992&amp;sp=point.36.4348_42.7992","Maplink3")</f>
        <v>Maplink3</v>
      </c>
    </row>
    <row r="2088" spans="1:48" ht="15" customHeight="1" x14ac:dyDescent="0.25">
      <c r="A2088" s="19">
        <v>31914</v>
      </c>
      <c r="B2088" s="20" t="s">
        <v>21</v>
      </c>
      <c r="C2088" s="20" t="s">
        <v>3671</v>
      </c>
      <c r="D2088" s="20" t="s">
        <v>3769</v>
      </c>
      <c r="E2088" s="20" t="s">
        <v>3770</v>
      </c>
      <c r="F2088" s="20">
        <v>36.373275</v>
      </c>
      <c r="G2088" s="20">
        <v>43.202886999999997</v>
      </c>
      <c r="H2088" s="22">
        <v>930</v>
      </c>
      <c r="I2088" s="22">
        <v>5580</v>
      </c>
      <c r="J2088" s="21"/>
      <c r="K2088" s="21"/>
      <c r="L2088" s="21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>
        <v>930</v>
      </c>
      <c r="W2088" s="21"/>
      <c r="X2088" s="21"/>
      <c r="Y2088" s="21"/>
      <c r="Z2088" s="21"/>
      <c r="AA2088" s="21"/>
      <c r="AB2088" s="21"/>
      <c r="AC2088" s="21">
        <v>150</v>
      </c>
      <c r="AD2088" s="21"/>
      <c r="AE2088" s="21"/>
      <c r="AF2088" s="21"/>
      <c r="AG2088" s="21"/>
      <c r="AH2088" s="21">
        <v>780</v>
      </c>
      <c r="AI2088" s="21"/>
      <c r="AJ2088" s="21"/>
      <c r="AK2088" s="21"/>
      <c r="AL2088" s="21"/>
      <c r="AM2088" s="21"/>
      <c r="AN2088" s="21"/>
      <c r="AO2088" s="21"/>
      <c r="AP2088" s="21"/>
      <c r="AQ2088" s="21"/>
      <c r="AR2088" s="21">
        <v>930</v>
      </c>
      <c r="AS2088" s="21"/>
      <c r="AT2088" s="12" t="str">
        <f>HYPERLINK("http://www.openstreetmap.org/?mlat=36.3733&amp;mlon=43.2029&amp;zoom=12#map=12/36.3733/43.2029","Maplink1")</f>
        <v>Maplink1</v>
      </c>
      <c r="AU2088" s="12" t="str">
        <f>HYPERLINK("https://www.google.iq/maps/search/+36.3733,43.2029/@36.3733,43.2029,14z?hl=en","Maplink2")</f>
        <v>Maplink2</v>
      </c>
      <c r="AV2088" s="12" t="str">
        <f>HYPERLINK("http://www.bing.com/maps/?lvl=14&amp;sty=h&amp;cp=36.3733~43.2029&amp;sp=point.36.3733_43.2029","Maplink3")</f>
        <v>Maplink3</v>
      </c>
    </row>
    <row r="2089" spans="1:48" ht="15" customHeight="1" x14ac:dyDescent="0.25">
      <c r="A2089" s="19">
        <v>31704</v>
      </c>
      <c r="B2089" s="20" t="s">
        <v>21</v>
      </c>
      <c r="C2089" s="20" t="s">
        <v>3671</v>
      </c>
      <c r="D2089" s="20" t="s">
        <v>3771</v>
      </c>
      <c r="E2089" s="20" t="s">
        <v>3772</v>
      </c>
      <c r="F2089" s="20">
        <v>35.742093329699998</v>
      </c>
      <c r="G2089" s="20">
        <v>43.2743917166</v>
      </c>
      <c r="H2089" s="22">
        <v>10</v>
      </c>
      <c r="I2089" s="22">
        <v>60</v>
      </c>
      <c r="J2089" s="21"/>
      <c r="K2089" s="21"/>
      <c r="L2089" s="21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>
        <v>10</v>
      </c>
      <c r="Y2089" s="21"/>
      <c r="Z2089" s="21"/>
      <c r="AA2089" s="21"/>
      <c r="AB2089" s="21"/>
      <c r="AC2089" s="21"/>
      <c r="AD2089" s="21"/>
      <c r="AE2089" s="21"/>
      <c r="AF2089" s="21"/>
      <c r="AG2089" s="21"/>
      <c r="AH2089" s="21">
        <v>10</v>
      </c>
      <c r="AI2089" s="21"/>
      <c r="AJ2089" s="21"/>
      <c r="AK2089" s="21"/>
      <c r="AL2089" s="21"/>
      <c r="AM2089" s="21"/>
      <c r="AN2089" s="21"/>
      <c r="AO2089" s="21"/>
      <c r="AP2089" s="21"/>
      <c r="AQ2089" s="21"/>
      <c r="AR2089" s="21">
        <v>10</v>
      </c>
      <c r="AS2089" s="21"/>
      <c r="AT2089" s="12" t="str">
        <f>HYPERLINK("http://www.openstreetmap.org/?mlat=35.7421&amp;mlon=43.2744&amp;zoom=12#map=12/35.7421/43.2744","Maplink1")</f>
        <v>Maplink1</v>
      </c>
      <c r="AU2089" s="12" t="str">
        <f>HYPERLINK("https://www.google.iq/maps/search/+35.7421,43.2744/@35.7421,43.2744,14z?hl=en","Maplink2")</f>
        <v>Maplink2</v>
      </c>
      <c r="AV2089" s="12" t="str">
        <f>HYPERLINK("http://www.bing.com/maps/?lvl=14&amp;sty=h&amp;cp=35.7421~43.2744&amp;sp=point.35.7421_43.2744","Maplink3")</f>
        <v>Maplink3</v>
      </c>
    </row>
    <row r="2090" spans="1:48" ht="15" customHeight="1" x14ac:dyDescent="0.25">
      <c r="A2090" s="19">
        <v>31919</v>
      </c>
      <c r="B2090" s="20" t="s">
        <v>21</v>
      </c>
      <c r="C2090" s="20" t="s">
        <v>3671</v>
      </c>
      <c r="D2090" s="20" t="s">
        <v>3773</v>
      </c>
      <c r="E2090" s="20" t="s">
        <v>3774</v>
      </c>
      <c r="F2090" s="20">
        <v>36.372233443200003</v>
      </c>
      <c r="G2090" s="20">
        <v>43.146085785899899</v>
      </c>
      <c r="H2090" s="22">
        <v>50</v>
      </c>
      <c r="I2090" s="22">
        <v>300</v>
      </c>
      <c r="J2090" s="21"/>
      <c r="K2090" s="21"/>
      <c r="L2090" s="21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>
        <v>50</v>
      </c>
      <c r="W2090" s="21"/>
      <c r="X2090" s="21"/>
      <c r="Y2090" s="21"/>
      <c r="Z2090" s="21"/>
      <c r="AA2090" s="21"/>
      <c r="AB2090" s="21"/>
      <c r="AC2090" s="21">
        <v>12</v>
      </c>
      <c r="AD2090" s="21"/>
      <c r="AE2090" s="21"/>
      <c r="AF2090" s="21"/>
      <c r="AG2090" s="21"/>
      <c r="AH2090" s="21">
        <v>30</v>
      </c>
      <c r="AI2090" s="21"/>
      <c r="AJ2090" s="21">
        <v>8</v>
      </c>
      <c r="AK2090" s="21"/>
      <c r="AL2090" s="21"/>
      <c r="AM2090" s="21"/>
      <c r="AN2090" s="21"/>
      <c r="AO2090" s="21"/>
      <c r="AP2090" s="21"/>
      <c r="AQ2090" s="21"/>
      <c r="AR2090" s="21">
        <v>50</v>
      </c>
      <c r="AS2090" s="21"/>
      <c r="AT2090" s="12" t="str">
        <f>HYPERLINK("http://www.openstreetmap.org/?mlat=36.3722&amp;mlon=43.1461&amp;zoom=12#map=12/36.3722/43.1461","Maplink1")</f>
        <v>Maplink1</v>
      </c>
      <c r="AU2090" s="12" t="str">
        <f>HYPERLINK("https://www.google.iq/maps/search/+36.3722,43.1461/@36.3722,43.1461,14z?hl=en","Maplink2")</f>
        <v>Maplink2</v>
      </c>
      <c r="AV2090" s="12" t="str">
        <f>HYPERLINK("http://www.bing.com/maps/?lvl=14&amp;sty=h&amp;cp=36.3722~43.1461&amp;sp=point.36.3722_43.1461","Maplink3")</f>
        <v>Maplink3</v>
      </c>
    </row>
    <row r="2091" spans="1:48" ht="15" customHeight="1" x14ac:dyDescent="0.25">
      <c r="A2091" s="19">
        <v>33166</v>
      </c>
      <c r="B2091" s="20" t="s">
        <v>21</v>
      </c>
      <c r="C2091" s="20" t="s">
        <v>3671</v>
      </c>
      <c r="D2091" s="20" t="s">
        <v>5609</v>
      </c>
      <c r="E2091" s="20" t="s">
        <v>5610</v>
      </c>
      <c r="F2091" s="20">
        <v>36.143732999999997</v>
      </c>
      <c r="G2091" s="20">
        <v>42.958674000000002</v>
      </c>
      <c r="H2091" s="22">
        <v>80</v>
      </c>
      <c r="I2091" s="22">
        <v>480</v>
      </c>
      <c r="J2091" s="21"/>
      <c r="K2091" s="21"/>
      <c r="L2091" s="21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>
        <v>80</v>
      </c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21"/>
      <c r="AH2091" s="21">
        <v>80</v>
      </c>
      <c r="AI2091" s="21"/>
      <c r="AJ2091" s="21"/>
      <c r="AK2091" s="21"/>
      <c r="AL2091" s="21"/>
      <c r="AM2091" s="21"/>
      <c r="AN2091" s="21"/>
      <c r="AO2091" s="21"/>
      <c r="AP2091" s="21"/>
      <c r="AQ2091" s="21"/>
      <c r="AR2091" s="21"/>
      <c r="AS2091" s="21">
        <v>80</v>
      </c>
      <c r="AT2091" s="12" t="str">
        <f>HYPERLINK("http://www.openstreetmap.org/?mlat=36.1437&amp;mlon=42.9587&amp;zoom=12#map=12/36.1437/42.9587","Maplink1")</f>
        <v>Maplink1</v>
      </c>
      <c r="AU2091" s="12" t="str">
        <f>HYPERLINK("https://www.google.iq/maps/search/+36.1437,42.9587/@36.1437,42.9587,14z?hl=en","Maplink2")</f>
        <v>Maplink2</v>
      </c>
      <c r="AV2091" s="12" t="str">
        <f>HYPERLINK("http://www.bing.com/maps/?lvl=14&amp;sty=h&amp;cp=36.1437~42.9587&amp;sp=point.36.1437_42.9587","Maplink3")</f>
        <v>Maplink3</v>
      </c>
    </row>
    <row r="2092" spans="1:48" ht="15" customHeight="1" x14ac:dyDescent="0.25">
      <c r="A2092" s="19">
        <v>31948</v>
      </c>
      <c r="B2092" s="20" t="s">
        <v>21</v>
      </c>
      <c r="C2092" s="20" t="s">
        <v>3671</v>
      </c>
      <c r="D2092" s="20" t="s">
        <v>3775</v>
      </c>
      <c r="E2092" s="20" t="s">
        <v>3776</v>
      </c>
      <c r="F2092" s="20">
        <v>36.107259999999997</v>
      </c>
      <c r="G2092" s="20">
        <v>43.123356000000001</v>
      </c>
      <c r="H2092" s="22">
        <v>5</v>
      </c>
      <c r="I2092" s="22">
        <v>30</v>
      </c>
      <c r="J2092" s="21"/>
      <c r="K2092" s="21"/>
      <c r="L2092" s="21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>
        <v>5</v>
      </c>
      <c r="W2092" s="21"/>
      <c r="X2092" s="21"/>
      <c r="Y2092" s="21"/>
      <c r="Z2092" s="21"/>
      <c r="AA2092" s="21"/>
      <c r="AB2092" s="21"/>
      <c r="AC2092" s="21">
        <v>5</v>
      </c>
      <c r="AD2092" s="21"/>
      <c r="AE2092" s="21"/>
      <c r="AF2092" s="21"/>
      <c r="AG2092" s="21"/>
      <c r="AH2092" s="21"/>
      <c r="AI2092" s="21"/>
      <c r="AJ2092" s="21"/>
      <c r="AK2092" s="21"/>
      <c r="AL2092" s="21"/>
      <c r="AM2092" s="21"/>
      <c r="AN2092" s="21"/>
      <c r="AO2092" s="21"/>
      <c r="AP2092" s="21"/>
      <c r="AQ2092" s="21"/>
      <c r="AR2092" s="21">
        <v>5</v>
      </c>
      <c r="AS2092" s="21"/>
      <c r="AT2092" s="12" t="str">
        <f>HYPERLINK("http://www.openstreetmap.org/?mlat=36.1073&amp;mlon=43.1234&amp;zoom=12#map=12/36.1073/43.1234","Maplink1")</f>
        <v>Maplink1</v>
      </c>
      <c r="AU2092" s="12" t="str">
        <f>HYPERLINK("https://www.google.iq/maps/search/+36.1073,43.1234/@36.1073,43.1234,14z?hl=en","Maplink2")</f>
        <v>Maplink2</v>
      </c>
      <c r="AV2092" s="12" t="str">
        <f>HYPERLINK("http://www.bing.com/maps/?lvl=14&amp;sty=h&amp;cp=36.1073~43.1234&amp;sp=point.36.1073_43.1234","Maplink3")</f>
        <v>Maplink3</v>
      </c>
    </row>
    <row r="2093" spans="1:48" ht="15" customHeight="1" x14ac:dyDescent="0.25">
      <c r="A2093" s="19">
        <v>20796</v>
      </c>
      <c r="B2093" s="20" t="s">
        <v>21</v>
      </c>
      <c r="C2093" s="20" t="s">
        <v>3671</v>
      </c>
      <c r="D2093" s="20" t="s">
        <v>3777</v>
      </c>
      <c r="E2093" s="20" t="s">
        <v>3778</v>
      </c>
      <c r="F2093" s="20">
        <v>36.407325999999998</v>
      </c>
      <c r="G2093" s="20">
        <v>43.097658000000003</v>
      </c>
      <c r="H2093" s="22">
        <v>286</v>
      </c>
      <c r="I2093" s="22">
        <v>1716</v>
      </c>
      <c r="J2093" s="21"/>
      <c r="K2093" s="21"/>
      <c r="L2093" s="21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>
        <v>286</v>
      </c>
      <c r="W2093" s="21"/>
      <c r="X2093" s="21"/>
      <c r="Y2093" s="21"/>
      <c r="Z2093" s="21"/>
      <c r="AA2093" s="21"/>
      <c r="AB2093" s="21"/>
      <c r="AC2093" s="21">
        <v>68</v>
      </c>
      <c r="AD2093" s="21"/>
      <c r="AE2093" s="21"/>
      <c r="AF2093" s="21"/>
      <c r="AG2093" s="21">
        <v>1</v>
      </c>
      <c r="AH2093" s="21">
        <v>190</v>
      </c>
      <c r="AI2093" s="21">
        <v>27</v>
      </c>
      <c r="AJ2093" s="21"/>
      <c r="AK2093" s="21"/>
      <c r="AL2093" s="21"/>
      <c r="AM2093" s="21"/>
      <c r="AN2093" s="21"/>
      <c r="AO2093" s="21"/>
      <c r="AP2093" s="21"/>
      <c r="AQ2093" s="21"/>
      <c r="AR2093" s="21">
        <v>286</v>
      </c>
      <c r="AS2093" s="21"/>
      <c r="AT2093" s="12" t="str">
        <f>HYPERLINK("http://www.openstreetmap.org/?mlat=36.4073&amp;mlon=43.0977&amp;zoom=12#map=12/36.4073/43.0977","Maplink1")</f>
        <v>Maplink1</v>
      </c>
      <c r="AU2093" s="12" t="str">
        <f>HYPERLINK("https://www.google.iq/maps/search/+36.4073,43.0977/@36.4073,43.0977,14z?hl=en","Maplink2")</f>
        <v>Maplink2</v>
      </c>
      <c r="AV2093" s="12" t="str">
        <f>HYPERLINK("http://www.bing.com/maps/?lvl=14&amp;sty=h&amp;cp=36.4073~43.0977&amp;sp=point.36.4073_43.0977","Maplink3")</f>
        <v>Maplink3</v>
      </c>
    </row>
    <row r="2094" spans="1:48" ht="15" customHeight="1" x14ac:dyDescent="0.25">
      <c r="A2094" s="19">
        <v>31944</v>
      </c>
      <c r="B2094" s="20" t="s">
        <v>21</v>
      </c>
      <c r="C2094" s="20" t="s">
        <v>3671</v>
      </c>
      <c r="D2094" s="20" t="s">
        <v>3779</v>
      </c>
      <c r="E2094" s="20" t="s">
        <v>3780</v>
      </c>
      <c r="F2094" s="20">
        <v>36.038870000000003</v>
      </c>
      <c r="G2094" s="20">
        <v>43.035899999999998</v>
      </c>
      <c r="H2094" s="22">
        <v>5</v>
      </c>
      <c r="I2094" s="22">
        <v>30</v>
      </c>
      <c r="J2094" s="21"/>
      <c r="K2094" s="21"/>
      <c r="L2094" s="21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>
        <v>5</v>
      </c>
      <c r="W2094" s="21"/>
      <c r="X2094" s="21"/>
      <c r="Y2094" s="21"/>
      <c r="Z2094" s="21"/>
      <c r="AA2094" s="21"/>
      <c r="AB2094" s="21"/>
      <c r="AC2094" s="21">
        <v>5</v>
      </c>
      <c r="AD2094" s="21"/>
      <c r="AE2094" s="21"/>
      <c r="AF2094" s="21"/>
      <c r="AG2094" s="21"/>
      <c r="AH2094" s="21"/>
      <c r="AI2094" s="21"/>
      <c r="AJ2094" s="21"/>
      <c r="AK2094" s="21"/>
      <c r="AL2094" s="21"/>
      <c r="AM2094" s="21"/>
      <c r="AN2094" s="21"/>
      <c r="AO2094" s="21"/>
      <c r="AP2094" s="21"/>
      <c r="AQ2094" s="21"/>
      <c r="AR2094" s="21">
        <v>5</v>
      </c>
      <c r="AS2094" s="21"/>
      <c r="AT2094" s="12" t="str">
        <f>HYPERLINK("http://www.openstreetmap.org/?mlat=36.0389&amp;mlon=43.0359&amp;zoom=12#map=12/36.0389/43.0359","Maplink1")</f>
        <v>Maplink1</v>
      </c>
      <c r="AU2094" s="12" t="str">
        <f>HYPERLINK("https://www.google.iq/maps/search/+36.0389,43.0359/@36.0389,43.0359,14z?hl=en","Maplink2")</f>
        <v>Maplink2</v>
      </c>
      <c r="AV2094" s="12" t="str">
        <f>HYPERLINK("http://www.bing.com/maps/?lvl=14&amp;sty=h&amp;cp=36.0389~43.0359&amp;sp=point.36.0389_43.0359","Maplink3")</f>
        <v>Maplink3</v>
      </c>
    </row>
    <row r="2095" spans="1:48" ht="15" customHeight="1" x14ac:dyDescent="0.25">
      <c r="A2095" s="19">
        <v>18330</v>
      </c>
      <c r="B2095" s="20" t="s">
        <v>21</v>
      </c>
      <c r="C2095" s="20" t="s">
        <v>3671</v>
      </c>
      <c r="D2095" s="20" t="s">
        <v>5748</v>
      </c>
      <c r="E2095" s="20" t="s">
        <v>5749</v>
      </c>
      <c r="F2095" s="20">
        <v>36.316088000000001</v>
      </c>
      <c r="G2095" s="20">
        <v>43.119950000000003</v>
      </c>
      <c r="H2095" s="22">
        <v>100</v>
      </c>
      <c r="I2095" s="22">
        <v>600</v>
      </c>
      <c r="J2095" s="21"/>
      <c r="K2095" s="21"/>
      <c r="L2095" s="21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>
        <v>100</v>
      </c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21"/>
      <c r="AH2095" s="21">
        <v>100</v>
      </c>
      <c r="AI2095" s="21"/>
      <c r="AJ2095" s="21"/>
      <c r="AK2095" s="21"/>
      <c r="AL2095" s="21"/>
      <c r="AM2095" s="21"/>
      <c r="AN2095" s="21"/>
      <c r="AO2095" s="21"/>
      <c r="AP2095" s="21"/>
      <c r="AQ2095" s="21"/>
      <c r="AR2095" s="21">
        <v>100</v>
      </c>
      <c r="AS2095" s="21"/>
      <c r="AT2095" s="12" t="str">
        <f>HYPERLINK("http://www.openstreetmap.org/?mlat=36.3161&amp;mlon=43.12&amp;zoom=12#map=12/36.3161/43.12","Maplink1")</f>
        <v>Maplink1</v>
      </c>
      <c r="AU2095" s="12" t="str">
        <f>HYPERLINK("https://www.google.iq/maps/search/+36.3161,43.12/@36.3161,43.12,14z?hl=en","Maplink2")</f>
        <v>Maplink2</v>
      </c>
      <c r="AV2095" s="12" t="str">
        <f>HYPERLINK("http://www.bing.com/maps/?lvl=14&amp;sty=h&amp;cp=36.3161~43.12&amp;sp=point.36.3161_43.12","Maplink3")</f>
        <v>Maplink3</v>
      </c>
    </row>
    <row r="2096" spans="1:48" ht="15" customHeight="1" x14ac:dyDescent="0.25">
      <c r="A2096" s="19">
        <v>31735</v>
      </c>
      <c r="B2096" s="20" t="s">
        <v>21</v>
      </c>
      <c r="C2096" s="20" t="s">
        <v>3671</v>
      </c>
      <c r="D2096" s="20" t="s">
        <v>3781</v>
      </c>
      <c r="E2096" s="20" t="s">
        <v>3782</v>
      </c>
      <c r="F2096" s="20">
        <v>35.732157000000001</v>
      </c>
      <c r="G2096" s="20">
        <v>43.284418000000002</v>
      </c>
      <c r="H2096" s="22">
        <v>10</v>
      </c>
      <c r="I2096" s="22">
        <v>60</v>
      </c>
      <c r="J2096" s="21"/>
      <c r="K2096" s="21"/>
      <c r="L2096" s="21"/>
      <c r="M2096" s="21"/>
      <c r="N2096" s="21"/>
      <c r="O2096" s="21"/>
      <c r="P2096" s="21"/>
      <c r="Q2096" s="21"/>
      <c r="R2096" s="21">
        <v>10</v>
      </c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>
        <v>4</v>
      </c>
      <c r="AD2096" s="21"/>
      <c r="AE2096" s="21"/>
      <c r="AF2096" s="21"/>
      <c r="AG2096" s="21"/>
      <c r="AH2096" s="21">
        <v>6</v>
      </c>
      <c r="AI2096" s="21"/>
      <c r="AJ2096" s="21"/>
      <c r="AK2096" s="21"/>
      <c r="AL2096" s="21"/>
      <c r="AM2096" s="21"/>
      <c r="AN2096" s="21"/>
      <c r="AO2096" s="21"/>
      <c r="AP2096" s="21"/>
      <c r="AQ2096" s="21"/>
      <c r="AR2096" s="21">
        <v>10</v>
      </c>
      <c r="AS2096" s="21"/>
      <c r="AT2096" s="12" t="str">
        <f>HYPERLINK("http://www.openstreetmap.org/?mlat=35.7322&amp;mlon=43.2844&amp;zoom=12#map=12/35.7322/43.2844","Maplink1")</f>
        <v>Maplink1</v>
      </c>
      <c r="AU2096" s="12" t="str">
        <f>HYPERLINK("https://www.google.iq/maps/search/+35.7322,43.2844/@35.7322,43.2844,14z?hl=en","Maplink2")</f>
        <v>Maplink2</v>
      </c>
      <c r="AV2096" s="12" t="str">
        <f>HYPERLINK("http://www.bing.com/maps/?lvl=14&amp;sty=h&amp;cp=35.7322~43.2844&amp;sp=point.35.7322_43.2844","Maplink3")</f>
        <v>Maplink3</v>
      </c>
    </row>
    <row r="2097" spans="1:48" ht="15" customHeight="1" x14ac:dyDescent="0.25">
      <c r="A2097" s="19">
        <v>29702</v>
      </c>
      <c r="B2097" s="20" t="s">
        <v>21</v>
      </c>
      <c r="C2097" s="20" t="s">
        <v>3671</v>
      </c>
      <c r="D2097" s="20" t="s">
        <v>6179</v>
      </c>
      <c r="E2097" s="20" t="s">
        <v>3783</v>
      </c>
      <c r="F2097" s="20">
        <v>35.749130000000001</v>
      </c>
      <c r="G2097" s="20">
        <v>43.326054999999997</v>
      </c>
      <c r="H2097" s="22">
        <v>3537</v>
      </c>
      <c r="I2097" s="22">
        <v>21222</v>
      </c>
      <c r="J2097" s="21">
        <v>13</v>
      </c>
      <c r="K2097" s="21"/>
      <c r="L2097" s="21"/>
      <c r="M2097" s="21"/>
      <c r="N2097" s="21"/>
      <c r="O2097" s="21"/>
      <c r="P2097" s="21">
        <v>477</v>
      </c>
      <c r="Q2097" s="21"/>
      <c r="R2097" s="21">
        <v>385</v>
      </c>
      <c r="S2097" s="21"/>
      <c r="T2097" s="21"/>
      <c r="U2097" s="21"/>
      <c r="V2097" s="21">
        <v>2347</v>
      </c>
      <c r="W2097" s="21"/>
      <c r="X2097" s="21">
        <v>315</v>
      </c>
      <c r="Y2097" s="21"/>
      <c r="Z2097" s="21"/>
      <c r="AA2097" s="21"/>
      <c r="AB2097" s="21">
        <v>3537</v>
      </c>
      <c r="AC2097" s="21"/>
      <c r="AD2097" s="21"/>
      <c r="AE2097" s="21"/>
      <c r="AF2097" s="21"/>
      <c r="AG2097" s="21"/>
      <c r="AH2097" s="21"/>
      <c r="AI2097" s="21"/>
      <c r="AJ2097" s="21"/>
      <c r="AK2097" s="21"/>
      <c r="AL2097" s="21"/>
      <c r="AM2097" s="21"/>
      <c r="AN2097" s="21"/>
      <c r="AO2097" s="21"/>
      <c r="AP2097" s="21"/>
      <c r="AQ2097" s="21"/>
      <c r="AR2097" s="21">
        <v>1345</v>
      </c>
      <c r="AS2097" s="21">
        <v>2192</v>
      </c>
      <c r="AT2097" s="12" t="str">
        <f>HYPERLINK("http://www.openstreetmap.org/?mlat=35.7491&amp;mlon=43.3261&amp;zoom=12#map=12/35.7491/43.3261","Maplink1")</f>
        <v>Maplink1</v>
      </c>
      <c r="AU2097" s="12" t="str">
        <f>HYPERLINK("https://www.google.iq/maps/search/+35.7491,43.3261/@35.7491,43.3261,14z?hl=en","Maplink2")</f>
        <v>Maplink2</v>
      </c>
      <c r="AV2097" s="12" t="str">
        <f>HYPERLINK("http://www.bing.com/maps/?lvl=14&amp;sty=h&amp;cp=35.7491~43.3261&amp;sp=point.35.7491_43.3261","Maplink3")</f>
        <v>Maplink3</v>
      </c>
    </row>
    <row r="2098" spans="1:48" ht="15" customHeight="1" x14ac:dyDescent="0.25">
      <c r="A2098" s="19">
        <v>31707</v>
      </c>
      <c r="B2098" s="20" t="s">
        <v>21</v>
      </c>
      <c r="C2098" s="20" t="s">
        <v>3671</v>
      </c>
      <c r="D2098" s="20" t="s">
        <v>6180</v>
      </c>
      <c r="E2098" s="20" t="s">
        <v>6181</v>
      </c>
      <c r="F2098" s="20">
        <v>36.161892999999999</v>
      </c>
      <c r="G2098" s="20">
        <v>43.246417000000001</v>
      </c>
      <c r="H2098" s="22">
        <v>3759</v>
      </c>
      <c r="I2098" s="22">
        <v>22554</v>
      </c>
      <c r="J2098" s="21"/>
      <c r="K2098" s="21"/>
      <c r="L2098" s="21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>
        <v>3759</v>
      </c>
      <c r="W2098" s="21"/>
      <c r="X2098" s="21"/>
      <c r="Y2098" s="21"/>
      <c r="Z2098" s="21"/>
      <c r="AA2098" s="21"/>
      <c r="AB2098" s="21">
        <v>3759</v>
      </c>
      <c r="AC2098" s="21"/>
      <c r="AD2098" s="21"/>
      <c r="AE2098" s="21"/>
      <c r="AF2098" s="21"/>
      <c r="AG2098" s="21"/>
      <c r="AH2098" s="21"/>
      <c r="AI2098" s="21"/>
      <c r="AJ2098" s="21"/>
      <c r="AK2098" s="21"/>
      <c r="AL2098" s="21"/>
      <c r="AM2098" s="21"/>
      <c r="AN2098" s="21"/>
      <c r="AO2098" s="21"/>
      <c r="AP2098" s="21"/>
      <c r="AQ2098" s="21"/>
      <c r="AR2098" s="21">
        <v>2659</v>
      </c>
      <c r="AS2098" s="21">
        <v>1100</v>
      </c>
      <c r="AT2098" s="12" t="str">
        <f>HYPERLINK("http://www.openstreetmap.org/?mlat=36.1619&amp;mlon=43.2464&amp;zoom=12#map=12/36.1619/43.2464","Maplink1")</f>
        <v>Maplink1</v>
      </c>
      <c r="AU2098" s="12" t="str">
        <f>HYPERLINK("https://www.google.iq/maps/search/+36.1619,43.2464/@36.1619,43.2464,14z?hl=en","Maplink2")</f>
        <v>Maplink2</v>
      </c>
      <c r="AV2098" s="12" t="str">
        <f>HYPERLINK("http://www.bing.com/maps/?lvl=14&amp;sty=h&amp;cp=36.1619~43.2464&amp;sp=point.36.1619_43.2464","Maplink3")</f>
        <v>Maplink3</v>
      </c>
    </row>
    <row r="2099" spans="1:48" ht="15" customHeight="1" x14ac:dyDescent="0.25">
      <c r="A2099" s="19">
        <v>31743</v>
      </c>
      <c r="B2099" s="20" t="s">
        <v>21</v>
      </c>
      <c r="C2099" s="20" t="s">
        <v>3671</v>
      </c>
      <c r="D2099" s="20" t="s">
        <v>6182</v>
      </c>
      <c r="E2099" s="20" t="s">
        <v>3786</v>
      </c>
      <c r="F2099" s="20">
        <v>36.1616</v>
      </c>
      <c r="G2099" s="20">
        <v>43.231499999999997</v>
      </c>
      <c r="H2099" s="22">
        <v>4126</v>
      </c>
      <c r="I2099" s="22">
        <v>24756</v>
      </c>
      <c r="J2099" s="21"/>
      <c r="K2099" s="21"/>
      <c r="L2099" s="21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>
        <v>4126</v>
      </c>
      <c r="W2099" s="21"/>
      <c r="X2099" s="21"/>
      <c r="Y2099" s="21"/>
      <c r="Z2099" s="21"/>
      <c r="AA2099" s="21"/>
      <c r="AB2099" s="21">
        <v>4126</v>
      </c>
      <c r="AC2099" s="21"/>
      <c r="AD2099" s="21"/>
      <c r="AE2099" s="21"/>
      <c r="AF2099" s="21"/>
      <c r="AG2099" s="21"/>
      <c r="AH2099" s="21"/>
      <c r="AI2099" s="21"/>
      <c r="AJ2099" s="21"/>
      <c r="AK2099" s="21"/>
      <c r="AL2099" s="21"/>
      <c r="AM2099" s="21"/>
      <c r="AN2099" s="21"/>
      <c r="AO2099" s="21"/>
      <c r="AP2099" s="21"/>
      <c r="AQ2099" s="21"/>
      <c r="AR2099" s="21">
        <v>3066</v>
      </c>
      <c r="AS2099" s="21">
        <v>1060</v>
      </c>
      <c r="AT2099" s="12" t="str">
        <f>HYPERLINK("http://www.openstreetmap.org/?mlat=36.1616&amp;mlon=43.2315&amp;zoom=12#map=12/36.1616/43.2315","Maplink1")</f>
        <v>Maplink1</v>
      </c>
      <c r="AU2099" s="12" t="str">
        <f>HYPERLINK("https://www.google.iq/maps/search/+36.1616,43.2315/@36.1616,43.2315,14z?hl=en","Maplink2")</f>
        <v>Maplink2</v>
      </c>
      <c r="AV2099" s="12" t="str">
        <f>HYPERLINK("http://www.bing.com/maps/?lvl=14&amp;sty=h&amp;cp=36.1616~43.2315&amp;sp=point.36.1616_43.2315","Maplink3")</f>
        <v>Maplink3</v>
      </c>
    </row>
    <row r="2100" spans="1:48" ht="15" customHeight="1" x14ac:dyDescent="0.25">
      <c r="A2100" s="19">
        <v>17128</v>
      </c>
      <c r="B2100" s="20" t="s">
        <v>21</v>
      </c>
      <c r="C2100" s="20" t="s">
        <v>3671</v>
      </c>
      <c r="D2100" s="20" t="s">
        <v>3784</v>
      </c>
      <c r="E2100" s="20" t="s">
        <v>3785</v>
      </c>
      <c r="F2100" s="20">
        <v>36.167099999999998</v>
      </c>
      <c r="G2100" s="20">
        <v>43.257899999999999</v>
      </c>
      <c r="H2100" s="22">
        <v>190</v>
      </c>
      <c r="I2100" s="22">
        <v>1140</v>
      </c>
      <c r="J2100" s="21"/>
      <c r="K2100" s="21"/>
      <c r="L2100" s="21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>
        <v>190</v>
      </c>
      <c r="W2100" s="21"/>
      <c r="X2100" s="21"/>
      <c r="Y2100" s="21"/>
      <c r="Z2100" s="21"/>
      <c r="AA2100" s="21"/>
      <c r="AB2100" s="21"/>
      <c r="AC2100" s="21">
        <v>5</v>
      </c>
      <c r="AD2100" s="21"/>
      <c r="AE2100" s="21"/>
      <c r="AF2100" s="21"/>
      <c r="AG2100" s="21"/>
      <c r="AH2100" s="21">
        <v>185</v>
      </c>
      <c r="AI2100" s="21"/>
      <c r="AJ2100" s="21"/>
      <c r="AK2100" s="21"/>
      <c r="AL2100" s="21"/>
      <c r="AM2100" s="21"/>
      <c r="AN2100" s="21"/>
      <c r="AO2100" s="21"/>
      <c r="AP2100" s="21"/>
      <c r="AQ2100" s="21"/>
      <c r="AR2100" s="21">
        <v>190</v>
      </c>
      <c r="AS2100" s="21"/>
      <c r="AT2100" s="12" t="str">
        <f>HYPERLINK("http://www.openstreetmap.org/?mlat=36.1671&amp;mlon=43.2579&amp;zoom=12#map=12/36.1671/43.2579","Maplink1")</f>
        <v>Maplink1</v>
      </c>
      <c r="AU2100" s="12" t="str">
        <f>HYPERLINK("https://www.google.iq/maps/search/+36.1671,43.2579/@36.1671,43.2579,14z?hl=en","Maplink2")</f>
        <v>Maplink2</v>
      </c>
      <c r="AV2100" s="12" t="str">
        <f>HYPERLINK("http://www.bing.com/maps/?lvl=14&amp;sty=h&amp;cp=36.1671~43.2579&amp;sp=point.36.1671_43.2579","Maplink3")</f>
        <v>Maplink3</v>
      </c>
    </row>
    <row r="2101" spans="1:48" ht="15" customHeight="1" x14ac:dyDescent="0.25">
      <c r="A2101" s="19">
        <v>24636</v>
      </c>
      <c r="B2101" s="20" t="s">
        <v>21</v>
      </c>
      <c r="C2101" s="20" t="s">
        <v>3671</v>
      </c>
      <c r="D2101" s="20" t="s">
        <v>3787</v>
      </c>
      <c r="E2101" s="20" t="s">
        <v>3788</v>
      </c>
      <c r="F2101" s="20">
        <v>36.385199999999998</v>
      </c>
      <c r="G2101" s="20">
        <v>43.204700000000003</v>
      </c>
      <c r="H2101" s="22">
        <v>200</v>
      </c>
      <c r="I2101" s="22">
        <v>1200</v>
      </c>
      <c r="J2101" s="21"/>
      <c r="K2101" s="21"/>
      <c r="L2101" s="21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>
        <v>200</v>
      </c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21"/>
      <c r="AH2101" s="21">
        <v>200</v>
      </c>
      <c r="AI2101" s="21"/>
      <c r="AJ2101" s="21"/>
      <c r="AK2101" s="21"/>
      <c r="AL2101" s="21"/>
      <c r="AM2101" s="21"/>
      <c r="AN2101" s="21"/>
      <c r="AO2101" s="21"/>
      <c r="AP2101" s="21"/>
      <c r="AQ2101" s="21"/>
      <c r="AR2101" s="21">
        <v>200</v>
      </c>
      <c r="AS2101" s="21"/>
      <c r="AT2101" s="12" t="str">
        <f>HYPERLINK("http://www.openstreetmap.org/?mlat=36.3852&amp;mlon=43.2047&amp;zoom=12#map=12/36.3852/43.2047","Maplink1")</f>
        <v>Maplink1</v>
      </c>
      <c r="AU2101" s="12" t="str">
        <f>HYPERLINK("https://www.google.iq/maps/search/+36.3852,43.2047/@36.3852,43.2047,14z?hl=en","Maplink2")</f>
        <v>Maplink2</v>
      </c>
      <c r="AV2101" s="12" t="str">
        <f>HYPERLINK("http://www.bing.com/maps/?lvl=14&amp;sty=h&amp;cp=36.3852~43.2047&amp;sp=point.36.3852_43.2047","Maplink3")</f>
        <v>Maplink3</v>
      </c>
    </row>
    <row r="2102" spans="1:48" ht="15" customHeight="1" x14ac:dyDescent="0.25">
      <c r="A2102" s="19">
        <v>18383</v>
      </c>
      <c r="B2102" s="20" t="s">
        <v>21</v>
      </c>
      <c r="C2102" s="20" t="s">
        <v>3671</v>
      </c>
      <c r="D2102" s="20" t="s">
        <v>3165</v>
      </c>
      <c r="E2102" s="20" t="s">
        <v>3166</v>
      </c>
      <c r="F2102" s="20">
        <v>36.353959000000003</v>
      </c>
      <c r="G2102" s="20">
        <v>43.211905000000002</v>
      </c>
      <c r="H2102" s="22">
        <v>335</v>
      </c>
      <c r="I2102" s="22">
        <v>2010</v>
      </c>
      <c r="J2102" s="21"/>
      <c r="K2102" s="21"/>
      <c r="L2102" s="21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>
        <v>335</v>
      </c>
      <c r="W2102" s="21"/>
      <c r="X2102" s="21"/>
      <c r="Y2102" s="21"/>
      <c r="Z2102" s="21"/>
      <c r="AA2102" s="21"/>
      <c r="AB2102" s="21"/>
      <c r="AC2102" s="21">
        <v>20</v>
      </c>
      <c r="AD2102" s="21"/>
      <c r="AE2102" s="21"/>
      <c r="AF2102" s="21"/>
      <c r="AG2102" s="21"/>
      <c r="AH2102" s="21">
        <v>315</v>
      </c>
      <c r="AI2102" s="21"/>
      <c r="AJ2102" s="21"/>
      <c r="AK2102" s="21"/>
      <c r="AL2102" s="21"/>
      <c r="AM2102" s="21"/>
      <c r="AN2102" s="21"/>
      <c r="AO2102" s="21"/>
      <c r="AP2102" s="21"/>
      <c r="AQ2102" s="21"/>
      <c r="AR2102" s="21">
        <v>335</v>
      </c>
      <c r="AS2102" s="21"/>
      <c r="AT2102" s="12" t="str">
        <f>HYPERLINK("http://www.openstreetmap.org/?mlat=36.354&amp;mlon=43.2119&amp;zoom=12#map=12/36.354/43.2119","Maplink1")</f>
        <v>Maplink1</v>
      </c>
      <c r="AU2102" s="12" t="str">
        <f>HYPERLINK("https://www.google.iq/maps/search/+36.354,43.2119/@36.354,43.2119,14z?hl=en","Maplink2")</f>
        <v>Maplink2</v>
      </c>
      <c r="AV2102" s="12" t="str">
        <f>HYPERLINK("http://www.bing.com/maps/?lvl=14&amp;sty=h&amp;cp=36.354~43.2119&amp;sp=point.36.354_43.2119","Maplink3")</f>
        <v>Maplink3</v>
      </c>
    </row>
    <row r="2103" spans="1:48" ht="15" customHeight="1" x14ac:dyDescent="0.25">
      <c r="A2103" s="19">
        <v>18306</v>
      </c>
      <c r="B2103" s="20" t="s">
        <v>21</v>
      </c>
      <c r="C2103" s="20" t="s">
        <v>3671</v>
      </c>
      <c r="D2103" s="20" t="s">
        <v>3789</v>
      </c>
      <c r="E2103" s="20" t="s">
        <v>3790</v>
      </c>
      <c r="F2103" s="20">
        <v>36.402900000000002</v>
      </c>
      <c r="G2103" s="20">
        <v>43.121600000000001</v>
      </c>
      <c r="H2103" s="22">
        <v>280</v>
      </c>
      <c r="I2103" s="22">
        <v>1680</v>
      </c>
      <c r="J2103" s="21"/>
      <c r="K2103" s="21"/>
      <c r="L2103" s="21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>
        <v>280</v>
      </c>
      <c r="W2103" s="21"/>
      <c r="X2103" s="21"/>
      <c r="Y2103" s="21"/>
      <c r="Z2103" s="21"/>
      <c r="AA2103" s="21"/>
      <c r="AB2103" s="21"/>
      <c r="AC2103" s="21">
        <v>60</v>
      </c>
      <c r="AD2103" s="21"/>
      <c r="AE2103" s="21"/>
      <c r="AF2103" s="21"/>
      <c r="AG2103" s="21"/>
      <c r="AH2103" s="21">
        <v>220</v>
      </c>
      <c r="AI2103" s="21"/>
      <c r="AJ2103" s="21"/>
      <c r="AK2103" s="21"/>
      <c r="AL2103" s="21"/>
      <c r="AM2103" s="21"/>
      <c r="AN2103" s="21"/>
      <c r="AO2103" s="21"/>
      <c r="AP2103" s="21"/>
      <c r="AQ2103" s="21"/>
      <c r="AR2103" s="21">
        <v>280</v>
      </c>
      <c r="AS2103" s="21"/>
      <c r="AT2103" s="12" t="str">
        <f>HYPERLINK("http://www.openstreetmap.org/?mlat=36.4029&amp;mlon=43.1216&amp;zoom=12#map=12/36.4029/43.1216","Maplink1")</f>
        <v>Maplink1</v>
      </c>
      <c r="AU2103" s="12" t="str">
        <f>HYPERLINK("https://www.google.iq/maps/search/+36.4029,43.1216/@36.4029,43.1216,14z?hl=en","Maplink2")</f>
        <v>Maplink2</v>
      </c>
      <c r="AV2103" s="12" t="str">
        <f>HYPERLINK("http://www.bing.com/maps/?lvl=14&amp;sty=h&amp;cp=36.4029~43.1216&amp;sp=point.36.4029_43.1216","Maplink3")</f>
        <v>Maplink3</v>
      </c>
    </row>
    <row r="2104" spans="1:48" ht="15" customHeight="1" x14ac:dyDescent="0.25">
      <c r="A2104" s="19">
        <v>18314</v>
      </c>
      <c r="B2104" s="20" t="s">
        <v>21</v>
      </c>
      <c r="C2104" s="20" t="s">
        <v>3671</v>
      </c>
      <c r="D2104" s="20" t="s">
        <v>3791</v>
      </c>
      <c r="E2104" s="20" t="s">
        <v>3792</v>
      </c>
      <c r="F2104" s="20">
        <v>36.325499999999998</v>
      </c>
      <c r="G2104" s="20">
        <v>43.216700000000003</v>
      </c>
      <c r="H2104" s="22">
        <v>1449</v>
      </c>
      <c r="I2104" s="22">
        <v>8694</v>
      </c>
      <c r="J2104" s="21"/>
      <c r="K2104" s="21"/>
      <c r="L2104" s="21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>
        <v>1449</v>
      </c>
      <c r="W2104" s="21"/>
      <c r="X2104" s="21"/>
      <c r="Y2104" s="21"/>
      <c r="Z2104" s="21"/>
      <c r="AA2104" s="21"/>
      <c r="AB2104" s="21"/>
      <c r="AC2104" s="21">
        <v>75</v>
      </c>
      <c r="AD2104" s="21"/>
      <c r="AE2104" s="21"/>
      <c r="AF2104" s="21"/>
      <c r="AG2104" s="21"/>
      <c r="AH2104" s="21">
        <v>1334</v>
      </c>
      <c r="AI2104" s="21"/>
      <c r="AJ2104" s="21">
        <v>40</v>
      </c>
      <c r="AK2104" s="21"/>
      <c r="AL2104" s="21"/>
      <c r="AM2104" s="21"/>
      <c r="AN2104" s="21"/>
      <c r="AO2104" s="21"/>
      <c r="AP2104" s="21"/>
      <c r="AQ2104" s="21"/>
      <c r="AR2104" s="21">
        <v>1449</v>
      </c>
      <c r="AS2104" s="21"/>
      <c r="AT2104" s="12" t="str">
        <f>HYPERLINK("http://www.openstreetmap.org/?mlat=36.3255&amp;mlon=43.2167&amp;zoom=12#map=12/36.3255/43.2167","Maplink1")</f>
        <v>Maplink1</v>
      </c>
      <c r="AU2104" s="12" t="str">
        <f>HYPERLINK("https://www.google.iq/maps/search/+36.3255,43.2167/@36.3255,43.2167,14z?hl=en","Maplink2")</f>
        <v>Maplink2</v>
      </c>
      <c r="AV2104" s="12" t="str">
        <f>HYPERLINK("http://www.bing.com/maps/?lvl=14&amp;sty=h&amp;cp=36.3255~43.2167&amp;sp=point.36.3255_43.2167","Maplink3")</f>
        <v>Maplink3</v>
      </c>
    </row>
    <row r="2105" spans="1:48" ht="15" customHeight="1" x14ac:dyDescent="0.25">
      <c r="A2105" s="19">
        <v>18313</v>
      </c>
      <c r="B2105" s="20" t="s">
        <v>21</v>
      </c>
      <c r="C2105" s="20" t="s">
        <v>3671</v>
      </c>
      <c r="D2105" s="20" t="s">
        <v>3793</v>
      </c>
      <c r="E2105" s="20" t="s">
        <v>3794</v>
      </c>
      <c r="F2105" s="20">
        <v>36.3506</v>
      </c>
      <c r="G2105" s="20">
        <v>43.0886</v>
      </c>
      <c r="H2105" s="22">
        <v>302</v>
      </c>
      <c r="I2105" s="22">
        <v>1812</v>
      </c>
      <c r="J2105" s="21"/>
      <c r="K2105" s="21"/>
      <c r="L2105" s="21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>
        <v>302</v>
      </c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21"/>
      <c r="AH2105" s="21">
        <v>302</v>
      </c>
      <c r="AI2105" s="21"/>
      <c r="AJ2105" s="21"/>
      <c r="AK2105" s="21"/>
      <c r="AL2105" s="21"/>
      <c r="AM2105" s="21"/>
      <c r="AN2105" s="21"/>
      <c r="AO2105" s="21"/>
      <c r="AP2105" s="21"/>
      <c r="AQ2105" s="21"/>
      <c r="AR2105" s="21">
        <v>302</v>
      </c>
      <c r="AS2105" s="21"/>
      <c r="AT2105" s="12" t="str">
        <f>HYPERLINK("http://www.openstreetmap.org/?mlat=36.3506&amp;mlon=43.0886&amp;zoom=12#map=12/36.3506/43.0886","Maplink1")</f>
        <v>Maplink1</v>
      </c>
      <c r="AU2105" s="12" t="str">
        <f>HYPERLINK("https://www.google.iq/maps/search/+36.3506,43.0886/@36.3506,43.0886,14z?hl=en","Maplink2")</f>
        <v>Maplink2</v>
      </c>
      <c r="AV2105" s="12" t="str">
        <f>HYPERLINK("http://www.bing.com/maps/?lvl=14&amp;sty=h&amp;cp=36.3506~43.0886&amp;sp=point.36.3506_43.0886","Maplink3")</f>
        <v>Maplink3</v>
      </c>
    </row>
    <row r="2106" spans="1:48" ht="15" customHeight="1" x14ac:dyDescent="0.25">
      <c r="A2106" s="19">
        <v>23934</v>
      </c>
      <c r="B2106" s="20" t="s">
        <v>21</v>
      </c>
      <c r="C2106" s="20" t="s">
        <v>3671</v>
      </c>
      <c r="D2106" s="20" t="s">
        <v>3795</v>
      </c>
      <c r="E2106" s="20" t="s">
        <v>3796</v>
      </c>
      <c r="F2106" s="20">
        <v>36.331522999999997</v>
      </c>
      <c r="G2106" s="20">
        <v>43.066661000000003</v>
      </c>
      <c r="H2106" s="22">
        <v>114</v>
      </c>
      <c r="I2106" s="22">
        <v>684</v>
      </c>
      <c r="J2106" s="21">
        <v>10</v>
      </c>
      <c r="K2106" s="21"/>
      <c r="L2106" s="21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>
        <v>104</v>
      </c>
      <c r="W2106" s="21"/>
      <c r="X2106" s="21"/>
      <c r="Y2106" s="21"/>
      <c r="Z2106" s="21"/>
      <c r="AA2106" s="21"/>
      <c r="AB2106" s="21"/>
      <c r="AC2106" s="21">
        <v>41</v>
      </c>
      <c r="AD2106" s="21"/>
      <c r="AE2106" s="21"/>
      <c r="AF2106" s="21"/>
      <c r="AG2106" s="21"/>
      <c r="AH2106" s="21">
        <v>27</v>
      </c>
      <c r="AI2106" s="21"/>
      <c r="AJ2106" s="21">
        <v>33</v>
      </c>
      <c r="AK2106" s="21">
        <v>13</v>
      </c>
      <c r="AL2106" s="21">
        <v>10</v>
      </c>
      <c r="AM2106" s="21"/>
      <c r="AN2106" s="21"/>
      <c r="AO2106" s="21">
        <v>57</v>
      </c>
      <c r="AP2106" s="21">
        <v>31</v>
      </c>
      <c r="AQ2106" s="21">
        <v>16</v>
      </c>
      <c r="AR2106" s="21"/>
      <c r="AS2106" s="21"/>
      <c r="AT2106" s="12" t="str">
        <f>HYPERLINK("http://www.openstreetmap.org/?mlat=36.3315&amp;mlon=43.0667&amp;zoom=12#map=12/36.3315/43.0667","Maplink1")</f>
        <v>Maplink1</v>
      </c>
      <c r="AU2106" s="12" t="str">
        <f>HYPERLINK("https://www.google.iq/maps/search/+36.3315,43.0667/@36.3315,43.0667,14z?hl=en","Maplink2")</f>
        <v>Maplink2</v>
      </c>
      <c r="AV2106" s="12" t="str">
        <f>HYPERLINK("http://www.bing.com/maps/?lvl=14&amp;sty=h&amp;cp=36.3315~43.0667&amp;sp=point.36.3315_43.0667","Maplink3")</f>
        <v>Maplink3</v>
      </c>
    </row>
    <row r="2107" spans="1:48" ht="15" customHeight="1" x14ac:dyDescent="0.25">
      <c r="A2107" s="19">
        <v>23933</v>
      </c>
      <c r="B2107" s="20" t="s">
        <v>21</v>
      </c>
      <c r="C2107" s="20" t="s">
        <v>3671</v>
      </c>
      <c r="D2107" s="20" t="s">
        <v>3797</v>
      </c>
      <c r="E2107" s="20" t="s">
        <v>3798</v>
      </c>
      <c r="F2107" s="20">
        <v>36.363736000000003</v>
      </c>
      <c r="G2107" s="20">
        <v>43.218418999999997</v>
      </c>
      <c r="H2107" s="22">
        <v>562</v>
      </c>
      <c r="I2107" s="22">
        <v>3372</v>
      </c>
      <c r="J2107" s="21"/>
      <c r="K2107" s="21"/>
      <c r="L2107" s="21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>
        <v>562</v>
      </c>
      <c r="W2107" s="21"/>
      <c r="X2107" s="21"/>
      <c r="Y2107" s="21"/>
      <c r="Z2107" s="21"/>
      <c r="AA2107" s="21"/>
      <c r="AB2107" s="21"/>
      <c r="AC2107" s="21">
        <v>129</v>
      </c>
      <c r="AD2107" s="21"/>
      <c r="AE2107" s="21"/>
      <c r="AF2107" s="21"/>
      <c r="AG2107" s="21"/>
      <c r="AH2107" s="21">
        <v>420</v>
      </c>
      <c r="AI2107" s="21">
        <v>13</v>
      </c>
      <c r="AJ2107" s="21"/>
      <c r="AK2107" s="21"/>
      <c r="AL2107" s="21"/>
      <c r="AM2107" s="21"/>
      <c r="AN2107" s="21"/>
      <c r="AO2107" s="21"/>
      <c r="AP2107" s="21"/>
      <c r="AQ2107" s="21"/>
      <c r="AR2107" s="21">
        <v>562</v>
      </c>
      <c r="AS2107" s="21"/>
      <c r="AT2107" s="12" t="str">
        <f>HYPERLINK("http://www.openstreetmap.org/?mlat=36.3637&amp;mlon=43.2184&amp;zoom=12#map=12/36.3637/43.2184","Maplink1")</f>
        <v>Maplink1</v>
      </c>
      <c r="AU2107" s="12" t="str">
        <f>HYPERLINK("https://www.google.iq/maps/search/+36.3637,43.2184/@36.3637,43.2184,14z?hl=en","Maplink2")</f>
        <v>Maplink2</v>
      </c>
      <c r="AV2107" s="12" t="str">
        <f>HYPERLINK("http://www.bing.com/maps/?lvl=14&amp;sty=h&amp;cp=36.3637~43.2184&amp;sp=point.36.3637_43.2184","Maplink3")</f>
        <v>Maplink3</v>
      </c>
    </row>
    <row r="2108" spans="1:48" ht="15" customHeight="1" x14ac:dyDescent="0.25">
      <c r="A2108" s="19">
        <v>18370</v>
      </c>
      <c r="B2108" s="20" t="s">
        <v>21</v>
      </c>
      <c r="C2108" s="20" t="s">
        <v>3671</v>
      </c>
      <c r="D2108" s="20" t="s">
        <v>3799</v>
      </c>
      <c r="E2108" s="20" t="s">
        <v>3800</v>
      </c>
      <c r="F2108" s="20">
        <v>36.353563999999999</v>
      </c>
      <c r="G2108" s="20">
        <v>43.189557999999998</v>
      </c>
      <c r="H2108" s="22">
        <v>436</v>
      </c>
      <c r="I2108" s="22">
        <v>2616</v>
      </c>
      <c r="J2108" s="21"/>
      <c r="K2108" s="21"/>
      <c r="L2108" s="21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>
        <v>436</v>
      </c>
      <c r="W2108" s="21"/>
      <c r="X2108" s="21"/>
      <c r="Y2108" s="21"/>
      <c r="Z2108" s="21"/>
      <c r="AA2108" s="21"/>
      <c r="AB2108" s="21"/>
      <c r="AC2108" s="21">
        <v>110</v>
      </c>
      <c r="AD2108" s="21"/>
      <c r="AE2108" s="21"/>
      <c r="AF2108" s="21"/>
      <c r="AG2108" s="21"/>
      <c r="AH2108" s="21">
        <v>314</v>
      </c>
      <c r="AI2108" s="21">
        <v>12</v>
      </c>
      <c r="AJ2108" s="21"/>
      <c r="AK2108" s="21"/>
      <c r="AL2108" s="21"/>
      <c r="AM2108" s="21"/>
      <c r="AN2108" s="21"/>
      <c r="AO2108" s="21"/>
      <c r="AP2108" s="21"/>
      <c r="AQ2108" s="21"/>
      <c r="AR2108" s="21">
        <v>436</v>
      </c>
      <c r="AS2108" s="21"/>
      <c r="AT2108" s="12" t="str">
        <f>HYPERLINK("http://www.openstreetmap.org/?mlat=36.3536&amp;mlon=43.1896&amp;zoom=12#map=12/36.3536/43.1896","Maplink1")</f>
        <v>Maplink1</v>
      </c>
      <c r="AU2108" s="12" t="str">
        <f>HYPERLINK("https://www.google.iq/maps/search/+36.3536,43.1896/@36.3536,43.1896,14z?hl=en","Maplink2")</f>
        <v>Maplink2</v>
      </c>
      <c r="AV2108" s="12" t="str">
        <f>HYPERLINK("http://www.bing.com/maps/?lvl=14&amp;sty=h&amp;cp=36.3536~43.1896&amp;sp=point.36.3536_43.1896","Maplink3")</f>
        <v>Maplink3</v>
      </c>
    </row>
    <row r="2109" spans="1:48" ht="15" customHeight="1" x14ac:dyDescent="0.25">
      <c r="A2109" s="19">
        <v>21647</v>
      </c>
      <c r="B2109" s="20" t="s">
        <v>21</v>
      </c>
      <c r="C2109" s="20" t="s">
        <v>3671</v>
      </c>
      <c r="D2109" s="20" t="s">
        <v>217</v>
      </c>
      <c r="E2109" s="20" t="s">
        <v>1416</v>
      </c>
      <c r="F2109" s="20">
        <v>36.385599999999997</v>
      </c>
      <c r="G2109" s="20">
        <v>43.211199999999998</v>
      </c>
      <c r="H2109" s="22">
        <v>551</v>
      </c>
      <c r="I2109" s="22">
        <v>3306</v>
      </c>
      <c r="J2109" s="21"/>
      <c r="K2109" s="21"/>
      <c r="L2109" s="21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>
        <v>551</v>
      </c>
      <c r="W2109" s="21"/>
      <c r="X2109" s="21"/>
      <c r="Y2109" s="21"/>
      <c r="Z2109" s="21"/>
      <c r="AA2109" s="21"/>
      <c r="AB2109" s="21"/>
      <c r="AC2109" s="21">
        <v>188</v>
      </c>
      <c r="AD2109" s="21"/>
      <c r="AE2109" s="21"/>
      <c r="AF2109" s="21"/>
      <c r="AG2109" s="21"/>
      <c r="AH2109" s="21">
        <v>342</v>
      </c>
      <c r="AI2109" s="21">
        <v>21</v>
      </c>
      <c r="AJ2109" s="21"/>
      <c r="AK2109" s="21"/>
      <c r="AL2109" s="21"/>
      <c r="AM2109" s="21"/>
      <c r="AN2109" s="21"/>
      <c r="AO2109" s="21"/>
      <c r="AP2109" s="21"/>
      <c r="AQ2109" s="21"/>
      <c r="AR2109" s="21">
        <v>551</v>
      </c>
      <c r="AS2109" s="21"/>
      <c r="AT2109" s="12" t="str">
        <f>HYPERLINK("http://www.openstreetmap.org/?mlat=36.3856&amp;mlon=43.2112&amp;zoom=12#map=12/36.3856/43.2112","Maplink1")</f>
        <v>Maplink1</v>
      </c>
      <c r="AU2109" s="12" t="str">
        <f>HYPERLINK("https://www.google.iq/maps/search/+36.3856,43.2112/@36.3856,43.2112,14z?hl=en","Maplink2")</f>
        <v>Maplink2</v>
      </c>
      <c r="AV2109" s="12" t="str">
        <f>HYPERLINK("http://www.bing.com/maps/?lvl=14&amp;sty=h&amp;cp=36.3856~43.2112&amp;sp=point.36.3856_43.2112","Maplink3")</f>
        <v>Maplink3</v>
      </c>
    </row>
    <row r="2110" spans="1:48" ht="15" customHeight="1" x14ac:dyDescent="0.25">
      <c r="A2110" s="19">
        <v>18362</v>
      </c>
      <c r="B2110" s="20" t="s">
        <v>21</v>
      </c>
      <c r="C2110" s="20" t="s">
        <v>3671</v>
      </c>
      <c r="D2110" s="20" t="s">
        <v>3801</v>
      </c>
      <c r="E2110" s="20" t="s">
        <v>2417</v>
      </c>
      <c r="F2110" s="20">
        <v>36.366667</v>
      </c>
      <c r="G2110" s="20">
        <v>43.200277999999997</v>
      </c>
      <c r="H2110" s="22">
        <v>70</v>
      </c>
      <c r="I2110" s="22">
        <v>420</v>
      </c>
      <c r="J2110" s="21"/>
      <c r="K2110" s="21"/>
      <c r="L2110" s="21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>
        <v>70</v>
      </c>
      <c r="W2110" s="21"/>
      <c r="X2110" s="21"/>
      <c r="Y2110" s="21"/>
      <c r="Z2110" s="21"/>
      <c r="AA2110" s="21"/>
      <c r="AB2110" s="21"/>
      <c r="AC2110" s="21">
        <v>15</v>
      </c>
      <c r="AD2110" s="21"/>
      <c r="AE2110" s="21"/>
      <c r="AF2110" s="21"/>
      <c r="AG2110" s="21"/>
      <c r="AH2110" s="21">
        <v>55</v>
      </c>
      <c r="AI2110" s="21"/>
      <c r="AJ2110" s="21"/>
      <c r="AK2110" s="21"/>
      <c r="AL2110" s="21"/>
      <c r="AM2110" s="21"/>
      <c r="AN2110" s="21"/>
      <c r="AO2110" s="21"/>
      <c r="AP2110" s="21"/>
      <c r="AQ2110" s="21"/>
      <c r="AR2110" s="21">
        <v>70</v>
      </c>
      <c r="AS2110" s="21"/>
      <c r="AT2110" s="12" t="str">
        <f>HYPERLINK("http://www.openstreetmap.org/?mlat=36.3667&amp;mlon=43.2003&amp;zoom=12#map=12/36.3667/43.2003","Maplink1")</f>
        <v>Maplink1</v>
      </c>
      <c r="AU2110" s="12" t="str">
        <f>HYPERLINK("https://www.google.iq/maps/search/+36.3667,43.2003/@36.3667,43.2003,14z?hl=en","Maplink2")</f>
        <v>Maplink2</v>
      </c>
      <c r="AV2110" s="12" t="str">
        <f>HYPERLINK("http://www.bing.com/maps/?lvl=14&amp;sty=h&amp;cp=36.3667~43.2003&amp;sp=point.36.3667_43.2003","Maplink3")</f>
        <v>Maplink3</v>
      </c>
    </row>
    <row r="2111" spans="1:48" ht="15" customHeight="1" x14ac:dyDescent="0.25">
      <c r="A2111" s="19">
        <v>20998</v>
      </c>
      <c r="B2111" s="20" t="s">
        <v>21</v>
      </c>
      <c r="C2111" s="20" t="s">
        <v>3671</v>
      </c>
      <c r="D2111" s="20" t="s">
        <v>3802</v>
      </c>
      <c r="E2111" s="20" t="s">
        <v>3803</v>
      </c>
      <c r="F2111" s="20">
        <v>36.360472999999999</v>
      </c>
      <c r="G2111" s="20">
        <v>43.193643999999999</v>
      </c>
      <c r="H2111" s="22">
        <v>71</v>
      </c>
      <c r="I2111" s="22">
        <v>426</v>
      </c>
      <c r="J2111" s="21"/>
      <c r="K2111" s="21"/>
      <c r="L2111" s="21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>
        <v>71</v>
      </c>
      <c r="W2111" s="21"/>
      <c r="X2111" s="21"/>
      <c r="Y2111" s="21"/>
      <c r="Z2111" s="21"/>
      <c r="AA2111" s="21"/>
      <c r="AB2111" s="21"/>
      <c r="AC2111" s="21">
        <v>10</v>
      </c>
      <c r="AD2111" s="21"/>
      <c r="AE2111" s="21"/>
      <c r="AF2111" s="21"/>
      <c r="AG2111" s="21"/>
      <c r="AH2111" s="21">
        <v>61</v>
      </c>
      <c r="AI2111" s="21"/>
      <c r="AJ2111" s="21"/>
      <c r="AK2111" s="21"/>
      <c r="AL2111" s="21"/>
      <c r="AM2111" s="21"/>
      <c r="AN2111" s="21"/>
      <c r="AO2111" s="21"/>
      <c r="AP2111" s="21"/>
      <c r="AQ2111" s="21"/>
      <c r="AR2111" s="21">
        <v>71</v>
      </c>
      <c r="AS2111" s="21"/>
      <c r="AT2111" s="12" t="str">
        <f>HYPERLINK("http://www.openstreetmap.org/?mlat=36.3605&amp;mlon=43.1936&amp;zoom=12#map=12/36.3605/43.1936","Maplink1")</f>
        <v>Maplink1</v>
      </c>
      <c r="AU2111" s="12" t="str">
        <f>HYPERLINK("https://www.google.iq/maps/search/+36.3605,43.1936/@36.3605,43.1936,14z?hl=en","Maplink2")</f>
        <v>Maplink2</v>
      </c>
      <c r="AV2111" s="12" t="str">
        <f>HYPERLINK("http://www.bing.com/maps/?lvl=14&amp;sty=h&amp;cp=36.3605~43.1936&amp;sp=point.36.3605_43.1936","Maplink3")</f>
        <v>Maplink3</v>
      </c>
    </row>
    <row r="2112" spans="1:48" ht="15" customHeight="1" x14ac:dyDescent="0.25">
      <c r="A2112" s="19">
        <v>18363</v>
      </c>
      <c r="B2112" s="20" t="s">
        <v>21</v>
      </c>
      <c r="C2112" s="20" t="s">
        <v>3671</v>
      </c>
      <c r="D2112" s="20" t="s">
        <v>3804</v>
      </c>
      <c r="E2112" s="20" t="s">
        <v>571</v>
      </c>
      <c r="F2112" s="20">
        <v>36.392293950000003</v>
      </c>
      <c r="G2112" s="20">
        <v>43.159130750000003</v>
      </c>
      <c r="H2112" s="22">
        <v>161</v>
      </c>
      <c r="I2112" s="22">
        <v>966</v>
      </c>
      <c r="J2112" s="21"/>
      <c r="K2112" s="21"/>
      <c r="L2112" s="21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>
        <v>161</v>
      </c>
      <c r="W2112" s="21"/>
      <c r="X2112" s="21"/>
      <c r="Y2112" s="21"/>
      <c r="Z2112" s="21"/>
      <c r="AA2112" s="21"/>
      <c r="AB2112" s="21"/>
      <c r="AC2112" s="21">
        <v>49</v>
      </c>
      <c r="AD2112" s="21"/>
      <c r="AE2112" s="21"/>
      <c r="AF2112" s="21"/>
      <c r="AG2112" s="21"/>
      <c r="AH2112" s="21">
        <v>90</v>
      </c>
      <c r="AI2112" s="21">
        <v>22</v>
      </c>
      <c r="AJ2112" s="21"/>
      <c r="AK2112" s="21"/>
      <c r="AL2112" s="21"/>
      <c r="AM2112" s="21"/>
      <c r="AN2112" s="21"/>
      <c r="AO2112" s="21"/>
      <c r="AP2112" s="21"/>
      <c r="AQ2112" s="21"/>
      <c r="AR2112" s="21">
        <v>161</v>
      </c>
      <c r="AS2112" s="21"/>
      <c r="AT2112" s="12" t="str">
        <f>HYPERLINK("http://www.openstreetmap.org/?mlat=36.3923&amp;mlon=43.1591&amp;zoom=12#map=12/36.3923/43.1591","Maplink1")</f>
        <v>Maplink1</v>
      </c>
      <c r="AU2112" s="12" t="str">
        <f>HYPERLINK("https://www.google.iq/maps/search/+36.3923,43.1591/@36.3923,43.1591,14z?hl=en","Maplink2")</f>
        <v>Maplink2</v>
      </c>
      <c r="AV2112" s="12" t="str">
        <f>HYPERLINK("http://www.bing.com/maps/?lvl=14&amp;sty=h&amp;cp=36.3923~43.1591&amp;sp=point.36.3923_43.1591","Maplink3")</f>
        <v>Maplink3</v>
      </c>
    </row>
    <row r="2113" spans="1:48" ht="15" customHeight="1" x14ac:dyDescent="0.25">
      <c r="A2113" s="19">
        <v>24635</v>
      </c>
      <c r="B2113" s="20" t="s">
        <v>21</v>
      </c>
      <c r="C2113" s="20" t="s">
        <v>3671</v>
      </c>
      <c r="D2113" s="20" t="s">
        <v>3805</v>
      </c>
      <c r="E2113" s="20" t="s">
        <v>3806</v>
      </c>
      <c r="F2113" s="20">
        <v>36.328299999999999</v>
      </c>
      <c r="G2113" s="20">
        <v>43.082000000000001</v>
      </c>
      <c r="H2113" s="22">
        <v>65</v>
      </c>
      <c r="I2113" s="22">
        <v>390</v>
      </c>
      <c r="J2113" s="21"/>
      <c r="K2113" s="21"/>
      <c r="L2113" s="21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>
        <v>65</v>
      </c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21"/>
      <c r="AH2113" s="21">
        <v>60</v>
      </c>
      <c r="AI2113" s="21"/>
      <c r="AJ2113" s="21">
        <v>5</v>
      </c>
      <c r="AK2113" s="21"/>
      <c r="AL2113" s="21"/>
      <c r="AM2113" s="21"/>
      <c r="AN2113" s="21"/>
      <c r="AO2113" s="21"/>
      <c r="AP2113" s="21">
        <v>30</v>
      </c>
      <c r="AQ2113" s="21"/>
      <c r="AR2113" s="21">
        <v>35</v>
      </c>
      <c r="AS2113" s="21"/>
      <c r="AT2113" s="12" t="str">
        <f>HYPERLINK("http://www.openstreetmap.org/?mlat=36.3283&amp;mlon=43.082&amp;zoom=12#map=12/36.3283/43.082","Maplink1")</f>
        <v>Maplink1</v>
      </c>
      <c r="AU2113" s="12" t="str">
        <f>HYPERLINK("https://www.google.iq/maps/search/+36.3283,43.082/@36.3283,43.082,14z?hl=en","Maplink2")</f>
        <v>Maplink2</v>
      </c>
      <c r="AV2113" s="12" t="str">
        <f>HYPERLINK("http://www.bing.com/maps/?lvl=14&amp;sty=h&amp;cp=36.3283~43.082&amp;sp=point.36.3283_43.082","Maplink3")</f>
        <v>Maplink3</v>
      </c>
    </row>
    <row r="2114" spans="1:48" ht="15" customHeight="1" x14ac:dyDescent="0.25">
      <c r="A2114" s="19">
        <v>21332</v>
      </c>
      <c r="B2114" s="20" t="s">
        <v>21</v>
      </c>
      <c r="C2114" s="20" t="s">
        <v>3671</v>
      </c>
      <c r="D2114" s="20" t="s">
        <v>3807</v>
      </c>
      <c r="E2114" s="20" t="s">
        <v>3808</v>
      </c>
      <c r="F2114" s="20">
        <v>36.310881999999999</v>
      </c>
      <c r="G2114" s="20">
        <v>43.193669999999997</v>
      </c>
      <c r="H2114" s="22">
        <v>1392</v>
      </c>
      <c r="I2114" s="22">
        <v>8352</v>
      </c>
      <c r="J2114" s="21"/>
      <c r="K2114" s="21"/>
      <c r="L2114" s="21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>
        <v>1392</v>
      </c>
      <c r="W2114" s="21"/>
      <c r="X2114" s="21"/>
      <c r="Y2114" s="21"/>
      <c r="Z2114" s="21"/>
      <c r="AA2114" s="21"/>
      <c r="AB2114" s="21"/>
      <c r="AC2114" s="21">
        <v>240</v>
      </c>
      <c r="AD2114" s="21"/>
      <c r="AE2114" s="21"/>
      <c r="AF2114" s="21"/>
      <c r="AG2114" s="21"/>
      <c r="AH2114" s="21">
        <v>1152</v>
      </c>
      <c r="AI2114" s="21"/>
      <c r="AJ2114" s="21"/>
      <c r="AK2114" s="21"/>
      <c r="AL2114" s="21"/>
      <c r="AM2114" s="21"/>
      <c r="AN2114" s="21"/>
      <c r="AO2114" s="21"/>
      <c r="AP2114" s="21"/>
      <c r="AQ2114" s="21"/>
      <c r="AR2114" s="21">
        <v>1392</v>
      </c>
      <c r="AS2114" s="21"/>
      <c r="AT2114" s="12" t="str">
        <f>HYPERLINK("http://www.openstreetmap.org/?mlat=36.3109&amp;mlon=43.1937&amp;zoom=12#map=12/36.3109/43.1937","Maplink1")</f>
        <v>Maplink1</v>
      </c>
      <c r="AU2114" s="12" t="str">
        <f>HYPERLINK("https://www.google.iq/maps/search/+36.3109,43.1937/@36.3109,43.1937,14z?hl=en","Maplink2")</f>
        <v>Maplink2</v>
      </c>
      <c r="AV2114" s="12" t="str">
        <f>HYPERLINK("http://www.bing.com/maps/?lvl=14&amp;sty=h&amp;cp=36.3109~43.1937&amp;sp=point.36.3109_43.1937","Maplink3")</f>
        <v>Maplink3</v>
      </c>
    </row>
    <row r="2115" spans="1:48" ht="15" customHeight="1" x14ac:dyDescent="0.25">
      <c r="A2115" s="19">
        <v>21336</v>
      </c>
      <c r="B2115" s="20" t="s">
        <v>21</v>
      </c>
      <c r="C2115" s="20" t="s">
        <v>3671</v>
      </c>
      <c r="D2115" s="20" t="s">
        <v>3809</v>
      </c>
      <c r="E2115" s="20" t="s">
        <v>3810</v>
      </c>
      <c r="F2115" s="20">
        <v>36.3215</v>
      </c>
      <c r="G2115" s="20">
        <v>43.125999999999998</v>
      </c>
      <c r="H2115" s="22">
        <v>965</v>
      </c>
      <c r="I2115" s="22">
        <v>5790</v>
      </c>
      <c r="J2115" s="21"/>
      <c r="K2115" s="21"/>
      <c r="L2115" s="21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>
        <v>965</v>
      </c>
      <c r="W2115" s="21"/>
      <c r="X2115" s="21"/>
      <c r="Y2115" s="21"/>
      <c r="Z2115" s="21"/>
      <c r="AA2115" s="21"/>
      <c r="AB2115" s="21"/>
      <c r="AC2115" s="21">
        <v>120</v>
      </c>
      <c r="AD2115" s="21"/>
      <c r="AE2115" s="21"/>
      <c r="AF2115" s="21"/>
      <c r="AG2115" s="21"/>
      <c r="AH2115" s="21">
        <v>845</v>
      </c>
      <c r="AI2115" s="21"/>
      <c r="AJ2115" s="21"/>
      <c r="AK2115" s="21"/>
      <c r="AL2115" s="21"/>
      <c r="AM2115" s="21"/>
      <c r="AN2115" s="21"/>
      <c r="AO2115" s="21"/>
      <c r="AP2115" s="21"/>
      <c r="AQ2115" s="21"/>
      <c r="AR2115" s="21">
        <v>965</v>
      </c>
      <c r="AS2115" s="21"/>
      <c r="AT2115" s="12" t="str">
        <f>HYPERLINK("http://www.openstreetmap.org/?mlat=36.3215&amp;mlon=43.126&amp;zoom=12#map=12/36.3215/43.126","Maplink1")</f>
        <v>Maplink1</v>
      </c>
      <c r="AU2115" s="12" t="str">
        <f>HYPERLINK("https://www.google.iq/maps/search/+36.3215,43.126/@36.3215,43.126,14z?hl=en","Maplink2")</f>
        <v>Maplink2</v>
      </c>
      <c r="AV2115" s="12" t="str">
        <f>HYPERLINK("http://www.bing.com/maps/?lvl=14&amp;sty=h&amp;cp=36.3215~43.126&amp;sp=point.36.3215_43.126","Maplink3")</f>
        <v>Maplink3</v>
      </c>
    </row>
    <row r="2116" spans="1:48" ht="15" customHeight="1" x14ac:dyDescent="0.25">
      <c r="A2116" s="19">
        <v>32085</v>
      </c>
      <c r="B2116" s="20" t="s">
        <v>21</v>
      </c>
      <c r="C2116" s="20" t="s">
        <v>3671</v>
      </c>
      <c r="D2116" s="20" t="s">
        <v>3811</v>
      </c>
      <c r="E2116" s="20" t="s">
        <v>3812</v>
      </c>
      <c r="F2116" s="20">
        <v>35.692684</v>
      </c>
      <c r="G2116" s="20">
        <v>43.283152000000001</v>
      </c>
      <c r="H2116" s="22">
        <v>10</v>
      </c>
      <c r="I2116" s="22">
        <v>60</v>
      </c>
      <c r="J2116" s="21"/>
      <c r="K2116" s="21"/>
      <c r="L2116" s="21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>
        <v>10</v>
      </c>
      <c r="W2116" s="21"/>
      <c r="X2116" s="21"/>
      <c r="Y2116" s="21"/>
      <c r="Z2116" s="21"/>
      <c r="AA2116" s="21"/>
      <c r="AB2116" s="21"/>
      <c r="AC2116" s="21">
        <v>10</v>
      </c>
      <c r="AD2116" s="21"/>
      <c r="AE2116" s="21"/>
      <c r="AF2116" s="21"/>
      <c r="AG2116" s="21"/>
      <c r="AH2116" s="21"/>
      <c r="AI2116" s="21"/>
      <c r="AJ2116" s="21"/>
      <c r="AK2116" s="21"/>
      <c r="AL2116" s="21"/>
      <c r="AM2116" s="21"/>
      <c r="AN2116" s="21"/>
      <c r="AO2116" s="21"/>
      <c r="AP2116" s="21"/>
      <c r="AQ2116" s="21"/>
      <c r="AR2116" s="21"/>
      <c r="AS2116" s="21">
        <v>10</v>
      </c>
      <c r="AT2116" s="12" t="str">
        <f>HYPERLINK("http://www.openstreetmap.org/?mlat=35.6927&amp;mlon=43.2832&amp;zoom=12#map=12/35.6927/43.2832","Maplink1")</f>
        <v>Maplink1</v>
      </c>
      <c r="AU2116" s="12" t="str">
        <f>HYPERLINK("https://www.google.iq/maps/search/+35.6927,43.2832/@35.6927,43.2832,14z?hl=en","Maplink2")</f>
        <v>Maplink2</v>
      </c>
      <c r="AV2116" s="12" t="str">
        <f>HYPERLINK("http://www.bing.com/maps/?lvl=14&amp;sty=h&amp;cp=35.6927~43.2832&amp;sp=point.35.6927_43.2832","Maplink3")</f>
        <v>Maplink3</v>
      </c>
    </row>
    <row r="2117" spans="1:48" ht="15" customHeight="1" x14ac:dyDescent="0.25">
      <c r="A2117" s="19">
        <v>31731</v>
      </c>
      <c r="B2117" s="20" t="s">
        <v>21</v>
      </c>
      <c r="C2117" s="20" t="s">
        <v>3671</v>
      </c>
      <c r="D2117" s="20" t="s">
        <v>3813</v>
      </c>
      <c r="E2117" s="20" t="s">
        <v>3814</v>
      </c>
      <c r="F2117" s="20">
        <v>36.112130000000001</v>
      </c>
      <c r="G2117" s="20">
        <v>43.276150000000001</v>
      </c>
      <c r="H2117" s="22">
        <v>3</v>
      </c>
      <c r="I2117" s="22">
        <v>18</v>
      </c>
      <c r="J2117" s="21"/>
      <c r="K2117" s="21"/>
      <c r="L2117" s="21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>
        <v>3</v>
      </c>
      <c r="W2117" s="21"/>
      <c r="X2117" s="21"/>
      <c r="Y2117" s="21"/>
      <c r="Z2117" s="21"/>
      <c r="AA2117" s="21"/>
      <c r="AB2117" s="21"/>
      <c r="AC2117" s="21">
        <v>3</v>
      </c>
      <c r="AD2117" s="21"/>
      <c r="AE2117" s="21"/>
      <c r="AF2117" s="21"/>
      <c r="AG2117" s="21"/>
      <c r="AH2117" s="21"/>
      <c r="AI2117" s="21"/>
      <c r="AJ2117" s="21"/>
      <c r="AK2117" s="21"/>
      <c r="AL2117" s="21"/>
      <c r="AM2117" s="21"/>
      <c r="AN2117" s="21"/>
      <c r="AO2117" s="21"/>
      <c r="AP2117" s="21"/>
      <c r="AQ2117" s="21"/>
      <c r="AR2117" s="21">
        <v>3</v>
      </c>
      <c r="AS2117" s="21"/>
      <c r="AT2117" s="12" t="str">
        <f>HYPERLINK("http://www.openstreetmap.org/?mlat=36.1121&amp;mlon=43.2762&amp;zoom=12#map=12/36.1121/43.2762","Maplink1")</f>
        <v>Maplink1</v>
      </c>
      <c r="AU2117" s="12" t="str">
        <f>HYPERLINK("https://www.google.iq/maps/search/+36.1121,43.2762/@36.1121,43.2762,14z?hl=en","Maplink2")</f>
        <v>Maplink2</v>
      </c>
      <c r="AV2117" s="12" t="str">
        <f>HYPERLINK("http://www.bing.com/maps/?lvl=14&amp;sty=h&amp;cp=36.1121~43.2762&amp;sp=point.36.1121_43.2762","Maplink3")</f>
        <v>Maplink3</v>
      </c>
    </row>
    <row r="2118" spans="1:48" ht="15" customHeight="1" x14ac:dyDescent="0.25">
      <c r="A2118" s="19">
        <v>18343</v>
      </c>
      <c r="B2118" s="20" t="s">
        <v>21</v>
      </c>
      <c r="C2118" s="20" t="s">
        <v>3671</v>
      </c>
      <c r="D2118" s="20" t="s">
        <v>3815</v>
      </c>
      <c r="E2118" s="20" t="s">
        <v>3816</v>
      </c>
      <c r="F2118" s="20">
        <v>36.351430999999998</v>
      </c>
      <c r="G2118" s="20">
        <v>43.170262000000001</v>
      </c>
      <c r="H2118" s="22">
        <v>1271</v>
      </c>
      <c r="I2118" s="22">
        <v>7626</v>
      </c>
      <c r="J2118" s="21"/>
      <c r="K2118" s="21"/>
      <c r="L2118" s="21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>
        <v>1271</v>
      </c>
      <c r="W2118" s="21"/>
      <c r="X2118" s="21"/>
      <c r="Y2118" s="21"/>
      <c r="Z2118" s="21"/>
      <c r="AA2118" s="21"/>
      <c r="AB2118" s="21"/>
      <c r="AC2118" s="21">
        <v>75</v>
      </c>
      <c r="AD2118" s="21"/>
      <c r="AE2118" s="21"/>
      <c r="AF2118" s="21"/>
      <c r="AG2118" s="21"/>
      <c r="AH2118" s="21">
        <v>1196</v>
      </c>
      <c r="AI2118" s="21"/>
      <c r="AJ2118" s="21"/>
      <c r="AK2118" s="21"/>
      <c r="AL2118" s="21"/>
      <c r="AM2118" s="21"/>
      <c r="AN2118" s="21"/>
      <c r="AO2118" s="21"/>
      <c r="AP2118" s="21"/>
      <c r="AQ2118" s="21"/>
      <c r="AR2118" s="21">
        <v>1271</v>
      </c>
      <c r="AS2118" s="21"/>
      <c r="AT2118" s="12" t="str">
        <f>HYPERLINK("http://www.openstreetmap.org/?mlat=36.3514&amp;mlon=43.1703&amp;zoom=12#map=12/36.3514/43.1703","Maplink1")</f>
        <v>Maplink1</v>
      </c>
      <c r="AU2118" s="12" t="str">
        <f>HYPERLINK("https://www.google.iq/maps/search/+36.3514,43.1703/@36.3514,43.1703,14z?hl=en","Maplink2")</f>
        <v>Maplink2</v>
      </c>
      <c r="AV2118" s="12" t="str">
        <f>HYPERLINK("http://www.bing.com/maps/?lvl=14&amp;sty=h&amp;cp=36.3514~43.1703&amp;sp=point.36.3514_43.1703","Maplink3")</f>
        <v>Maplink3</v>
      </c>
    </row>
    <row r="2119" spans="1:48" ht="15" customHeight="1" x14ac:dyDescent="0.25">
      <c r="A2119" s="19">
        <v>31938</v>
      </c>
      <c r="B2119" s="20" t="s">
        <v>21</v>
      </c>
      <c r="C2119" s="20" t="s">
        <v>3671</v>
      </c>
      <c r="D2119" s="20" t="s">
        <v>3817</v>
      </c>
      <c r="E2119" s="20" t="s">
        <v>3818</v>
      </c>
      <c r="F2119" s="20">
        <v>35.725707</v>
      </c>
      <c r="G2119" s="20">
        <v>43.326013000000003</v>
      </c>
      <c r="H2119" s="22">
        <v>1</v>
      </c>
      <c r="I2119" s="22">
        <v>6</v>
      </c>
      <c r="J2119" s="21"/>
      <c r="K2119" s="21"/>
      <c r="L2119" s="21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>
        <v>1</v>
      </c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21"/>
      <c r="AH2119" s="21">
        <v>1</v>
      </c>
      <c r="AI2119" s="21"/>
      <c r="AJ2119" s="21"/>
      <c r="AK2119" s="21"/>
      <c r="AL2119" s="21"/>
      <c r="AM2119" s="21"/>
      <c r="AN2119" s="21"/>
      <c r="AO2119" s="21"/>
      <c r="AP2119" s="21"/>
      <c r="AQ2119" s="21"/>
      <c r="AR2119" s="21">
        <v>1</v>
      </c>
      <c r="AS2119" s="21"/>
      <c r="AT2119" s="12" t="str">
        <f>HYPERLINK("http://www.openstreetmap.org/?mlat=35.7257&amp;mlon=43.326&amp;zoom=12#map=12/35.7257/43.326","Maplink1")</f>
        <v>Maplink1</v>
      </c>
      <c r="AU2119" s="12" t="str">
        <f>HYPERLINK("https://www.google.iq/maps/search/+35.7257,43.326/@35.7257,43.326,14z?hl=en","Maplink2")</f>
        <v>Maplink2</v>
      </c>
      <c r="AV2119" s="12" t="str">
        <f>HYPERLINK("http://www.bing.com/maps/?lvl=14&amp;sty=h&amp;cp=35.7257~43.326&amp;sp=point.35.7257_43.326","Maplink3")</f>
        <v>Maplink3</v>
      </c>
    </row>
    <row r="2120" spans="1:48" ht="15" customHeight="1" x14ac:dyDescent="0.25">
      <c r="A2120" s="19">
        <v>31771</v>
      </c>
      <c r="B2120" s="20" t="s">
        <v>21</v>
      </c>
      <c r="C2120" s="20" t="s">
        <v>3671</v>
      </c>
      <c r="D2120" s="20" t="s">
        <v>3819</v>
      </c>
      <c r="E2120" s="20" t="s">
        <v>3820</v>
      </c>
      <c r="F2120" s="20">
        <v>36.238390000000003</v>
      </c>
      <c r="G2120" s="20">
        <v>43.178159999999998</v>
      </c>
      <c r="H2120" s="22">
        <v>10</v>
      </c>
      <c r="I2120" s="22">
        <v>60</v>
      </c>
      <c r="J2120" s="21"/>
      <c r="K2120" s="21"/>
      <c r="L2120" s="21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>
        <v>10</v>
      </c>
      <c r="W2120" s="21"/>
      <c r="X2120" s="21"/>
      <c r="Y2120" s="21"/>
      <c r="Z2120" s="21"/>
      <c r="AA2120" s="21"/>
      <c r="AB2120" s="21"/>
      <c r="AC2120" s="21">
        <v>10</v>
      </c>
      <c r="AD2120" s="21"/>
      <c r="AE2120" s="21"/>
      <c r="AF2120" s="21"/>
      <c r="AG2120" s="21"/>
      <c r="AH2120" s="21"/>
      <c r="AI2120" s="21"/>
      <c r="AJ2120" s="21"/>
      <c r="AK2120" s="21"/>
      <c r="AL2120" s="21"/>
      <c r="AM2120" s="21"/>
      <c r="AN2120" s="21"/>
      <c r="AO2120" s="21"/>
      <c r="AP2120" s="21"/>
      <c r="AQ2120" s="21"/>
      <c r="AR2120" s="21">
        <v>10</v>
      </c>
      <c r="AS2120" s="21"/>
      <c r="AT2120" s="12" t="str">
        <f>HYPERLINK("http://www.openstreetmap.org/?mlat=36.2384&amp;mlon=43.1782&amp;zoom=12#map=12/36.2384/43.1782","Maplink1")</f>
        <v>Maplink1</v>
      </c>
      <c r="AU2120" s="12" t="str">
        <f>HYPERLINK("https://www.google.iq/maps/search/+36.2384,43.1782/@36.2384,43.1782,14z?hl=en","Maplink2")</f>
        <v>Maplink2</v>
      </c>
      <c r="AV2120" s="12" t="str">
        <f>HYPERLINK("http://www.bing.com/maps/?lvl=14&amp;sty=h&amp;cp=36.2384~43.1782&amp;sp=point.36.2384_43.1782","Maplink3")</f>
        <v>Maplink3</v>
      </c>
    </row>
    <row r="2121" spans="1:48" ht="15" customHeight="1" x14ac:dyDescent="0.25">
      <c r="A2121" s="19">
        <v>18376</v>
      </c>
      <c r="B2121" s="20" t="s">
        <v>21</v>
      </c>
      <c r="C2121" s="20" t="s">
        <v>3671</v>
      </c>
      <c r="D2121" s="20" t="s">
        <v>5885</v>
      </c>
      <c r="E2121" s="20" t="s">
        <v>5886</v>
      </c>
      <c r="F2121" s="20">
        <v>36.3646065306</v>
      </c>
      <c r="G2121" s="20">
        <v>43.253451653399999</v>
      </c>
      <c r="H2121" s="22">
        <v>270</v>
      </c>
      <c r="I2121" s="22">
        <v>1620</v>
      </c>
      <c r="J2121" s="21"/>
      <c r="K2121" s="21"/>
      <c r="L2121" s="21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>
        <v>270</v>
      </c>
      <c r="W2121" s="21"/>
      <c r="X2121" s="21"/>
      <c r="Y2121" s="21"/>
      <c r="Z2121" s="21"/>
      <c r="AA2121" s="21"/>
      <c r="AB2121" s="21"/>
      <c r="AC2121" s="21">
        <v>200</v>
      </c>
      <c r="AD2121" s="21"/>
      <c r="AE2121" s="21"/>
      <c r="AF2121" s="21"/>
      <c r="AG2121" s="21"/>
      <c r="AH2121" s="21">
        <v>70</v>
      </c>
      <c r="AI2121" s="21"/>
      <c r="AJ2121" s="21"/>
      <c r="AK2121" s="21"/>
      <c r="AL2121" s="21"/>
      <c r="AM2121" s="21"/>
      <c r="AN2121" s="21"/>
      <c r="AO2121" s="21"/>
      <c r="AP2121" s="21"/>
      <c r="AQ2121" s="21"/>
      <c r="AR2121" s="21">
        <v>270</v>
      </c>
      <c r="AS2121" s="21"/>
      <c r="AT2121" s="12" t="str">
        <f>HYPERLINK("http://www.openstreetmap.org/?mlat=36.3646&amp;mlon=43.2535&amp;zoom=12#map=12/36.3646/43.2535","Maplink1")</f>
        <v>Maplink1</v>
      </c>
      <c r="AU2121" s="12" t="str">
        <f>HYPERLINK("https://www.google.iq/maps/search/+36.3646,43.2535/@36.3646,43.2535,14z?hl=en","Maplink2")</f>
        <v>Maplink2</v>
      </c>
      <c r="AV2121" s="12" t="str">
        <f>HYPERLINK("http://www.bing.com/maps/?lvl=14&amp;sty=h&amp;cp=36.3646~43.2535&amp;sp=point.36.3646_43.2535","Maplink3")</f>
        <v>Maplink3</v>
      </c>
    </row>
    <row r="2122" spans="1:48" ht="15" customHeight="1" x14ac:dyDescent="0.25">
      <c r="A2122" s="19">
        <v>17471</v>
      </c>
      <c r="B2122" s="20" t="s">
        <v>21</v>
      </c>
      <c r="C2122" s="20" t="s">
        <v>3671</v>
      </c>
      <c r="D2122" s="20" t="s">
        <v>3821</v>
      </c>
      <c r="E2122" s="20" t="s">
        <v>3822</v>
      </c>
      <c r="F2122" s="20">
        <v>36.332751999999999</v>
      </c>
      <c r="G2122" s="20">
        <v>43.107658000000001</v>
      </c>
      <c r="H2122" s="22">
        <v>150</v>
      </c>
      <c r="I2122" s="22">
        <v>900</v>
      </c>
      <c r="J2122" s="21"/>
      <c r="K2122" s="21"/>
      <c r="L2122" s="21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>
        <v>150</v>
      </c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21"/>
      <c r="AH2122" s="21">
        <v>150</v>
      </c>
      <c r="AI2122" s="21"/>
      <c r="AJ2122" s="21"/>
      <c r="AK2122" s="21"/>
      <c r="AL2122" s="21"/>
      <c r="AM2122" s="21"/>
      <c r="AN2122" s="21"/>
      <c r="AO2122" s="21"/>
      <c r="AP2122" s="21">
        <v>30</v>
      </c>
      <c r="AQ2122" s="21"/>
      <c r="AR2122" s="21">
        <v>120</v>
      </c>
      <c r="AS2122" s="21"/>
      <c r="AT2122" s="12" t="str">
        <f>HYPERLINK("http://www.openstreetmap.org/?mlat=36.3328&amp;mlon=43.1077&amp;zoom=12#map=12/36.3328/43.1077","Maplink1")</f>
        <v>Maplink1</v>
      </c>
      <c r="AU2122" s="12" t="str">
        <f>HYPERLINK("https://www.google.iq/maps/search/+36.3328,43.1077/@36.3328,43.1077,14z?hl=en","Maplink2")</f>
        <v>Maplink2</v>
      </c>
      <c r="AV2122" s="12" t="str">
        <f>HYPERLINK("http://www.bing.com/maps/?lvl=14&amp;sty=h&amp;cp=36.3328~43.1077&amp;sp=point.36.3328_43.1077","Maplink3")</f>
        <v>Maplink3</v>
      </c>
    </row>
    <row r="2123" spans="1:48" ht="15" customHeight="1" x14ac:dyDescent="0.25">
      <c r="A2123" s="19">
        <v>33254</v>
      </c>
      <c r="B2123" s="20" t="s">
        <v>21</v>
      </c>
      <c r="C2123" s="20" t="s">
        <v>3671</v>
      </c>
      <c r="D2123" s="20" t="s">
        <v>5750</v>
      </c>
      <c r="E2123" s="20" t="s">
        <v>5751</v>
      </c>
      <c r="F2123" s="20">
        <v>36.382159999999999</v>
      </c>
      <c r="G2123" s="20">
        <v>43.077491999999999</v>
      </c>
      <c r="H2123" s="22">
        <v>150</v>
      </c>
      <c r="I2123" s="22">
        <v>900</v>
      </c>
      <c r="J2123" s="21"/>
      <c r="K2123" s="21"/>
      <c r="L2123" s="21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>
        <v>150</v>
      </c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21"/>
      <c r="AH2123" s="21">
        <v>150</v>
      </c>
      <c r="AI2123" s="21"/>
      <c r="AJ2123" s="21"/>
      <c r="AK2123" s="21"/>
      <c r="AL2123" s="21"/>
      <c r="AM2123" s="21"/>
      <c r="AN2123" s="21"/>
      <c r="AO2123" s="21"/>
      <c r="AP2123" s="21"/>
      <c r="AQ2123" s="21"/>
      <c r="AR2123" s="21">
        <v>150</v>
      </c>
      <c r="AS2123" s="21"/>
      <c r="AT2123" s="12" t="str">
        <f>HYPERLINK("http://www.openstreetmap.org/?mlat=36.3822&amp;mlon=43.0775&amp;zoom=12#map=12/36.3822/43.0775","Maplink1")</f>
        <v>Maplink1</v>
      </c>
      <c r="AU2123" s="12" t="str">
        <f>HYPERLINK("https://www.google.iq/maps/search/+36.3822,43.0775/@36.3822,43.0775,14z?hl=en","Maplink2")</f>
        <v>Maplink2</v>
      </c>
      <c r="AV2123" s="12" t="str">
        <f>HYPERLINK("http://www.bing.com/maps/?lvl=14&amp;sty=h&amp;cp=36.3822~43.0775&amp;sp=point.36.3822_43.0775","Maplink3")</f>
        <v>Maplink3</v>
      </c>
    </row>
    <row r="2124" spans="1:48" ht="15" customHeight="1" x14ac:dyDescent="0.25">
      <c r="A2124" s="19">
        <v>33257</v>
      </c>
      <c r="B2124" s="20" t="s">
        <v>21</v>
      </c>
      <c r="C2124" s="20" t="s">
        <v>3671</v>
      </c>
      <c r="D2124" s="20" t="s">
        <v>5752</v>
      </c>
      <c r="E2124" s="20" t="s">
        <v>5753</v>
      </c>
      <c r="F2124" s="20">
        <v>36.379559999999998</v>
      </c>
      <c r="G2124" s="20">
        <v>43.072875000000003</v>
      </c>
      <c r="H2124" s="22">
        <v>63</v>
      </c>
      <c r="I2124" s="22">
        <v>378</v>
      </c>
      <c r="J2124" s="21"/>
      <c r="K2124" s="21"/>
      <c r="L2124" s="21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>
        <v>63</v>
      </c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21"/>
      <c r="AH2124" s="21">
        <v>63</v>
      </c>
      <c r="AI2124" s="21"/>
      <c r="AJ2124" s="21"/>
      <c r="AK2124" s="21"/>
      <c r="AL2124" s="21"/>
      <c r="AM2124" s="21"/>
      <c r="AN2124" s="21"/>
      <c r="AO2124" s="21"/>
      <c r="AP2124" s="21"/>
      <c r="AQ2124" s="21"/>
      <c r="AR2124" s="21">
        <v>63</v>
      </c>
      <c r="AS2124" s="21"/>
      <c r="AT2124" s="12" t="str">
        <f>HYPERLINK("http://www.openstreetmap.org/?mlat=36.3796&amp;mlon=43.0729&amp;zoom=12#map=12/36.3796/43.0729","Maplink1")</f>
        <v>Maplink1</v>
      </c>
      <c r="AU2124" s="12" t="str">
        <f>HYPERLINK("https://www.google.iq/maps/search/+36.3796,43.0729/@36.3796,43.0729,14z?hl=en","Maplink2")</f>
        <v>Maplink2</v>
      </c>
      <c r="AV2124" s="12" t="str">
        <f>HYPERLINK("http://www.bing.com/maps/?lvl=14&amp;sty=h&amp;cp=36.3796~43.0729&amp;sp=point.36.3796_43.0729","Maplink3")</f>
        <v>Maplink3</v>
      </c>
    </row>
    <row r="2125" spans="1:48" ht="15" customHeight="1" x14ac:dyDescent="0.25">
      <c r="A2125" s="19">
        <v>18332</v>
      </c>
      <c r="B2125" s="20" t="s">
        <v>21</v>
      </c>
      <c r="C2125" s="20" t="s">
        <v>3671</v>
      </c>
      <c r="D2125" s="20" t="s">
        <v>3823</v>
      </c>
      <c r="E2125" s="20" t="s">
        <v>3824</v>
      </c>
      <c r="F2125" s="20">
        <v>36.346417000000002</v>
      </c>
      <c r="G2125" s="20">
        <v>43.164434</v>
      </c>
      <c r="H2125" s="22">
        <v>515</v>
      </c>
      <c r="I2125" s="22">
        <v>3090</v>
      </c>
      <c r="J2125" s="21"/>
      <c r="K2125" s="21"/>
      <c r="L2125" s="21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>
        <v>515</v>
      </c>
      <c r="W2125" s="21"/>
      <c r="X2125" s="21"/>
      <c r="Y2125" s="21"/>
      <c r="Z2125" s="21"/>
      <c r="AA2125" s="21"/>
      <c r="AB2125" s="21"/>
      <c r="AC2125" s="21">
        <v>25</v>
      </c>
      <c r="AD2125" s="21"/>
      <c r="AE2125" s="21"/>
      <c r="AF2125" s="21"/>
      <c r="AG2125" s="21"/>
      <c r="AH2125" s="21">
        <v>490</v>
      </c>
      <c r="AI2125" s="21"/>
      <c r="AJ2125" s="21"/>
      <c r="AK2125" s="21"/>
      <c r="AL2125" s="21"/>
      <c r="AM2125" s="21"/>
      <c r="AN2125" s="21"/>
      <c r="AO2125" s="21"/>
      <c r="AP2125" s="21"/>
      <c r="AQ2125" s="21"/>
      <c r="AR2125" s="21">
        <v>515</v>
      </c>
      <c r="AS2125" s="21"/>
      <c r="AT2125" s="12" t="str">
        <f>HYPERLINK("http://www.openstreetmap.org/?mlat=36.3464&amp;mlon=43.1644&amp;zoom=12#map=12/36.3464/43.1644","Maplink1")</f>
        <v>Maplink1</v>
      </c>
      <c r="AU2125" s="12" t="str">
        <f>HYPERLINK("https://www.google.iq/maps/search/+36.3464,43.1644/@36.3464,43.1644,14z?hl=en","Maplink2")</f>
        <v>Maplink2</v>
      </c>
      <c r="AV2125" s="12" t="str">
        <f>HYPERLINK("http://www.bing.com/maps/?lvl=14&amp;sty=h&amp;cp=36.3464~43.1644&amp;sp=point.36.3464_43.1644","Maplink3")</f>
        <v>Maplink3</v>
      </c>
    </row>
    <row r="2126" spans="1:48" ht="15" customHeight="1" x14ac:dyDescent="0.25">
      <c r="A2126" s="19">
        <v>29670</v>
      </c>
      <c r="B2126" s="20" t="s">
        <v>21</v>
      </c>
      <c r="C2126" s="20" t="s">
        <v>3671</v>
      </c>
      <c r="D2126" s="20" t="s">
        <v>3825</v>
      </c>
      <c r="E2126" s="20" t="s">
        <v>3826</v>
      </c>
      <c r="F2126" s="20">
        <v>35.768211000000001</v>
      </c>
      <c r="G2126" s="20">
        <v>43.267873000000002</v>
      </c>
      <c r="H2126" s="22">
        <v>7226</v>
      </c>
      <c r="I2126" s="22">
        <v>43356</v>
      </c>
      <c r="J2126" s="21">
        <v>28</v>
      </c>
      <c r="K2126" s="21"/>
      <c r="L2126" s="21"/>
      <c r="M2126" s="21"/>
      <c r="N2126" s="21"/>
      <c r="O2126" s="21"/>
      <c r="P2126" s="21">
        <v>343</v>
      </c>
      <c r="Q2126" s="21"/>
      <c r="R2126" s="21">
        <v>157</v>
      </c>
      <c r="S2126" s="21"/>
      <c r="T2126" s="21"/>
      <c r="U2126" s="21"/>
      <c r="V2126" s="21">
        <v>4649</v>
      </c>
      <c r="W2126" s="21"/>
      <c r="X2126" s="21">
        <v>2049</v>
      </c>
      <c r="Y2126" s="21"/>
      <c r="Z2126" s="21"/>
      <c r="AA2126" s="21"/>
      <c r="AB2126" s="21">
        <v>7226</v>
      </c>
      <c r="AC2126" s="21"/>
      <c r="AD2126" s="21"/>
      <c r="AE2126" s="21"/>
      <c r="AF2126" s="21"/>
      <c r="AG2126" s="21"/>
      <c r="AH2126" s="21"/>
      <c r="AI2126" s="21"/>
      <c r="AJ2126" s="21"/>
      <c r="AK2126" s="21"/>
      <c r="AL2126" s="21"/>
      <c r="AM2126" s="21"/>
      <c r="AN2126" s="21"/>
      <c r="AO2126" s="21"/>
      <c r="AP2126" s="21"/>
      <c r="AQ2126" s="21"/>
      <c r="AR2126" s="21">
        <v>4917</v>
      </c>
      <c r="AS2126" s="21">
        <v>2309</v>
      </c>
      <c r="AT2126" s="12" t="str">
        <f>HYPERLINK("http://www.openstreetmap.org/?mlat=35.7682&amp;mlon=43.2679&amp;zoom=12#map=12/35.7682/43.2679","Maplink1")</f>
        <v>Maplink1</v>
      </c>
      <c r="AU2126" s="12" t="str">
        <f>HYPERLINK("https://www.google.iq/maps/search/+35.7682,43.2679/@35.7682,43.2679,14z?hl=en","Maplink2")</f>
        <v>Maplink2</v>
      </c>
      <c r="AV2126" s="12" t="str">
        <f>HYPERLINK("http://www.bing.com/maps/?lvl=14&amp;sty=h&amp;cp=35.7682~43.2679&amp;sp=point.35.7682_43.2679","Maplink3")</f>
        <v>Maplink3</v>
      </c>
    </row>
    <row r="2127" spans="1:48" ht="15" customHeight="1" x14ac:dyDescent="0.25">
      <c r="A2127" s="19">
        <v>29642</v>
      </c>
      <c r="B2127" s="20" t="s">
        <v>21</v>
      </c>
      <c r="C2127" s="20" t="s">
        <v>3671</v>
      </c>
      <c r="D2127" s="20" t="s">
        <v>6183</v>
      </c>
      <c r="E2127" s="20" t="s">
        <v>6184</v>
      </c>
      <c r="F2127" s="20">
        <v>35.744711000000002</v>
      </c>
      <c r="G2127" s="20">
        <v>43.267578</v>
      </c>
      <c r="H2127" s="22">
        <v>984</v>
      </c>
      <c r="I2127" s="22">
        <v>5904</v>
      </c>
      <c r="J2127" s="21"/>
      <c r="K2127" s="21"/>
      <c r="L2127" s="21"/>
      <c r="M2127" s="21"/>
      <c r="N2127" s="21"/>
      <c r="O2127" s="21"/>
      <c r="P2127" s="21">
        <v>88</v>
      </c>
      <c r="Q2127" s="21"/>
      <c r="R2127" s="21">
        <v>29</v>
      </c>
      <c r="S2127" s="21"/>
      <c r="T2127" s="21"/>
      <c r="U2127" s="21"/>
      <c r="V2127" s="21">
        <v>691</v>
      </c>
      <c r="W2127" s="21"/>
      <c r="X2127" s="21">
        <v>176</v>
      </c>
      <c r="Y2127" s="21"/>
      <c r="Z2127" s="21"/>
      <c r="AA2127" s="21"/>
      <c r="AB2127" s="21">
        <v>984</v>
      </c>
      <c r="AC2127" s="21"/>
      <c r="AD2127" s="21"/>
      <c r="AE2127" s="21"/>
      <c r="AF2127" s="21"/>
      <c r="AG2127" s="21"/>
      <c r="AH2127" s="21"/>
      <c r="AI2127" s="21"/>
      <c r="AJ2127" s="21"/>
      <c r="AK2127" s="21"/>
      <c r="AL2127" s="21"/>
      <c r="AM2127" s="21"/>
      <c r="AN2127" s="21"/>
      <c r="AO2127" s="21"/>
      <c r="AP2127" s="21"/>
      <c r="AQ2127" s="21"/>
      <c r="AR2127" s="21">
        <v>688</v>
      </c>
      <c r="AS2127" s="21">
        <v>296</v>
      </c>
      <c r="AT2127" s="12" t="str">
        <f>HYPERLINK("http://www.openstreetmap.org/?mlat=35.7447&amp;mlon=43.2676&amp;zoom=12#map=12/35.7447/43.2676","Maplink1")</f>
        <v>Maplink1</v>
      </c>
      <c r="AU2127" s="12" t="str">
        <f>HYPERLINK("https://www.google.iq/maps/search/+35.7447,43.2676/@35.7447,43.2676,14z?hl=en","Maplink2")</f>
        <v>Maplink2</v>
      </c>
      <c r="AV2127" s="12" t="str">
        <f>HYPERLINK("http://www.bing.com/maps/?lvl=14&amp;sty=h&amp;cp=35.7447~43.2676&amp;sp=point.35.7447_43.2676","Maplink3")</f>
        <v>Maplink3</v>
      </c>
    </row>
    <row r="2128" spans="1:48" ht="15" customHeight="1" x14ac:dyDescent="0.25">
      <c r="A2128" s="19">
        <v>29669</v>
      </c>
      <c r="B2128" s="20" t="s">
        <v>21</v>
      </c>
      <c r="C2128" s="20" t="s">
        <v>3671</v>
      </c>
      <c r="D2128" s="20" t="s">
        <v>6185</v>
      </c>
      <c r="E2128" s="20" t="s">
        <v>6186</v>
      </c>
      <c r="F2128" s="20">
        <v>35.745247999999997</v>
      </c>
      <c r="G2128" s="20">
        <v>43.265157000000002</v>
      </c>
      <c r="H2128" s="22">
        <v>1401</v>
      </c>
      <c r="I2128" s="22">
        <v>8406</v>
      </c>
      <c r="J2128" s="21"/>
      <c r="K2128" s="21"/>
      <c r="L2128" s="21"/>
      <c r="M2128" s="21"/>
      <c r="N2128" s="21"/>
      <c r="O2128" s="21"/>
      <c r="P2128" s="21">
        <v>112</v>
      </c>
      <c r="Q2128" s="21"/>
      <c r="R2128" s="21">
        <v>42</v>
      </c>
      <c r="S2128" s="21"/>
      <c r="T2128" s="21"/>
      <c r="U2128" s="21"/>
      <c r="V2128" s="21">
        <v>1121</v>
      </c>
      <c r="W2128" s="21"/>
      <c r="X2128" s="21">
        <v>126</v>
      </c>
      <c r="Y2128" s="21"/>
      <c r="Z2128" s="21"/>
      <c r="AA2128" s="21"/>
      <c r="AB2128" s="21">
        <v>1401</v>
      </c>
      <c r="AC2128" s="21"/>
      <c r="AD2128" s="21"/>
      <c r="AE2128" s="21"/>
      <c r="AF2128" s="21"/>
      <c r="AG2128" s="21"/>
      <c r="AH2128" s="21"/>
      <c r="AI2128" s="21"/>
      <c r="AJ2128" s="21"/>
      <c r="AK2128" s="21"/>
      <c r="AL2128" s="21"/>
      <c r="AM2128" s="21"/>
      <c r="AN2128" s="21"/>
      <c r="AO2128" s="21"/>
      <c r="AP2128" s="21"/>
      <c r="AQ2128" s="21"/>
      <c r="AR2128" s="21">
        <v>775</v>
      </c>
      <c r="AS2128" s="21">
        <v>626</v>
      </c>
      <c r="AT2128" s="12" t="str">
        <f>HYPERLINK("http://www.openstreetmap.org/?mlat=35.7452&amp;mlon=43.2652&amp;zoom=12#map=12/35.7452/43.2652","Maplink1")</f>
        <v>Maplink1</v>
      </c>
      <c r="AU2128" s="12" t="str">
        <f>HYPERLINK("https://www.google.iq/maps/search/+35.7452,43.2652/@35.7452,43.2652,14z?hl=en","Maplink2")</f>
        <v>Maplink2</v>
      </c>
      <c r="AV2128" s="12" t="str">
        <f>HYPERLINK("http://www.bing.com/maps/?lvl=14&amp;sty=h&amp;cp=35.7452~43.2652&amp;sp=point.35.7452_43.2652","Maplink3")</f>
        <v>Maplink3</v>
      </c>
    </row>
    <row r="2129" spans="1:48" ht="15" customHeight="1" x14ac:dyDescent="0.25">
      <c r="A2129" s="19">
        <v>29682</v>
      </c>
      <c r="B2129" s="20" t="s">
        <v>21</v>
      </c>
      <c r="C2129" s="20" t="s">
        <v>3671</v>
      </c>
      <c r="D2129" s="20" t="s">
        <v>6187</v>
      </c>
      <c r="E2129" s="20" t="s">
        <v>6188</v>
      </c>
      <c r="F2129" s="20">
        <v>35.751703999999997</v>
      </c>
      <c r="G2129" s="20">
        <v>43.266148999999999</v>
      </c>
      <c r="H2129" s="22">
        <v>1916</v>
      </c>
      <c r="I2129" s="22">
        <v>11496</v>
      </c>
      <c r="J2129" s="21"/>
      <c r="K2129" s="21"/>
      <c r="L2129" s="21"/>
      <c r="M2129" s="21"/>
      <c r="N2129" s="21"/>
      <c r="O2129" s="21"/>
      <c r="P2129" s="21">
        <v>230</v>
      </c>
      <c r="Q2129" s="21"/>
      <c r="R2129" s="21">
        <v>57</v>
      </c>
      <c r="S2129" s="21"/>
      <c r="T2129" s="21"/>
      <c r="U2129" s="21"/>
      <c r="V2129" s="21">
        <v>1304</v>
      </c>
      <c r="W2129" s="21"/>
      <c r="X2129" s="21">
        <v>325</v>
      </c>
      <c r="Y2129" s="21"/>
      <c r="Z2129" s="21"/>
      <c r="AA2129" s="21"/>
      <c r="AB2129" s="21">
        <v>1916</v>
      </c>
      <c r="AC2129" s="21"/>
      <c r="AD2129" s="21"/>
      <c r="AE2129" s="21"/>
      <c r="AF2129" s="21"/>
      <c r="AG2129" s="21"/>
      <c r="AH2129" s="21"/>
      <c r="AI2129" s="21"/>
      <c r="AJ2129" s="21"/>
      <c r="AK2129" s="21"/>
      <c r="AL2129" s="21"/>
      <c r="AM2129" s="21"/>
      <c r="AN2129" s="21"/>
      <c r="AO2129" s="21"/>
      <c r="AP2129" s="21"/>
      <c r="AQ2129" s="21"/>
      <c r="AR2129" s="21">
        <v>1172</v>
      </c>
      <c r="AS2129" s="21">
        <v>744</v>
      </c>
      <c r="AT2129" s="12" t="str">
        <f>HYPERLINK("http://www.openstreetmap.org/?mlat=35.7517&amp;mlon=43.2661&amp;zoom=12#map=12/35.7517/43.2661","Maplink1")</f>
        <v>Maplink1</v>
      </c>
      <c r="AU2129" s="12" t="str">
        <f>HYPERLINK("https://www.google.iq/maps/search/+35.7517,43.2661/@35.7517,43.2661,14z?hl=en","Maplink2")</f>
        <v>Maplink2</v>
      </c>
      <c r="AV2129" s="12" t="str">
        <f>HYPERLINK("http://www.bing.com/maps/?lvl=14&amp;sty=h&amp;cp=35.7517~43.2661&amp;sp=point.35.7517_43.2661","Maplink3")</f>
        <v>Maplink3</v>
      </c>
    </row>
    <row r="2130" spans="1:48" ht="15" customHeight="1" x14ac:dyDescent="0.25">
      <c r="A2130" s="19">
        <v>31709</v>
      </c>
      <c r="B2130" s="20" t="s">
        <v>21</v>
      </c>
      <c r="C2130" s="20" t="s">
        <v>3671</v>
      </c>
      <c r="D2130" s="20" t="s">
        <v>6189</v>
      </c>
      <c r="E2130" s="20" t="s">
        <v>6190</v>
      </c>
      <c r="F2130" s="20">
        <v>35.739972000000002</v>
      </c>
      <c r="G2130" s="20">
        <v>43.267453000000003</v>
      </c>
      <c r="H2130" s="22">
        <v>1414</v>
      </c>
      <c r="I2130" s="22">
        <v>8484</v>
      </c>
      <c r="J2130" s="21"/>
      <c r="K2130" s="21"/>
      <c r="L2130" s="21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>
        <v>1286</v>
      </c>
      <c r="W2130" s="21"/>
      <c r="X2130" s="21">
        <v>128</v>
      </c>
      <c r="Y2130" s="21"/>
      <c r="Z2130" s="21"/>
      <c r="AA2130" s="21"/>
      <c r="AB2130" s="21">
        <v>1414</v>
      </c>
      <c r="AC2130" s="21"/>
      <c r="AD2130" s="21"/>
      <c r="AE2130" s="21"/>
      <c r="AF2130" s="21"/>
      <c r="AG2130" s="21"/>
      <c r="AH2130" s="21"/>
      <c r="AI2130" s="21"/>
      <c r="AJ2130" s="21"/>
      <c r="AK2130" s="21"/>
      <c r="AL2130" s="21"/>
      <c r="AM2130" s="21"/>
      <c r="AN2130" s="21"/>
      <c r="AO2130" s="21"/>
      <c r="AP2130" s="21"/>
      <c r="AQ2130" s="21"/>
      <c r="AR2130" s="21">
        <v>828</v>
      </c>
      <c r="AS2130" s="21">
        <v>586</v>
      </c>
      <c r="AT2130" s="12" t="str">
        <f>HYPERLINK("http://www.openstreetmap.org/?mlat=35.74&amp;mlon=43.2675&amp;zoom=12#map=12/35.74/43.2675","Maplink1")</f>
        <v>Maplink1</v>
      </c>
      <c r="AU2130" s="12" t="str">
        <f>HYPERLINK("https://www.google.iq/maps/search/+35.74,43.2675/@35.74,43.2675,14z?hl=en","Maplink2")</f>
        <v>Maplink2</v>
      </c>
      <c r="AV2130" s="12" t="str">
        <f>HYPERLINK("http://www.bing.com/maps/?lvl=14&amp;sty=h&amp;cp=35.74~43.2675&amp;sp=point.35.74_43.2675","Maplink3")</f>
        <v>Maplink3</v>
      </c>
    </row>
    <row r="2131" spans="1:48" ht="15" customHeight="1" x14ac:dyDescent="0.25">
      <c r="A2131" s="19">
        <v>31737</v>
      </c>
      <c r="B2131" s="20" t="s">
        <v>21</v>
      </c>
      <c r="C2131" s="20" t="s">
        <v>3671</v>
      </c>
      <c r="D2131" s="20" t="s">
        <v>6191</v>
      </c>
      <c r="E2131" s="20" t="s">
        <v>6192</v>
      </c>
      <c r="F2131" s="20">
        <v>35.759045999999998</v>
      </c>
      <c r="G2131" s="20">
        <v>43.267291999999998</v>
      </c>
      <c r="H2131" s="22">
        <v>4450</v>
      </c>
      <c r="I2131" s="22">
        <v>26700</v>
      </c>
      <c r="J2131" s="21"/>
      <c r="K2131" s="21"/>
      <c r="L2131" s="21"/>
      <c r="M2131" s="21"/>
      <c r="N2131" s="21"/>
      <c r="O2131" s="21"/>
      <c r="P2131" s="21">
        <v>357</v>
      </c>
      <c r="Q2131" s="21"/>
      <c r="R2131" s="21">
        <v>133</v>
      </c>
      <c r="S2131" s="21"/>
      <c r="T2131" s="21"/>
      <c r="U2131" s="21"/>
      <c r="V2131" s="21">
        <v>3560</v>
      </c>
      <c r="W2131" s="21"/>
      <c r="X2131" s="21">
        <v>400</v>
      </c>
      <c r="Y2131" s="21"/>
      <c r="Z2131" s="21"/>
      <c r="AA2131" s="21"/>
      <c r="AB2131" s="21">
        <v>4450</v>
      </c>
      <c r="AC2131" s="21"/>
      <c r="AD2131" s="21"/>
      <c r="AE2131" s="21"/>
      <c r="AF2131" s="21"/>
      <c r="AG2131" s="21"/>
      <c r="AH2131" s="21"/>
      <c r="AI2131" s="21"/>
      <c r="AJ2131" s="21"/>
      <c r="AK2131" s="21"/>
      <c r="AL2131" s="21"/>
      <c r="AM2131" s="21"/>
      <c r="AN2131" s="21"/>
      <c r="AO2131" s="21"/>
      <c r="AP2131" s="21"/>
      <c r="AQ2131" s="21"/>
      <c r="AR2131" s="21">
        <v>2292</v>
      </c>
      <c r="AS2131" s="21">
        <v>2158</v>
      </c>
      <c r="AT2131" s="12" t="str">
        <f>HYPERLINK("http://www.openstreetmap.org/?mlat=35.759&amp;mlon=43.2673&amp;zoom=12#map=12/35.759/43.2673","Maplink1")</f>
        <v>Maplink1</v>
      </c>
      <c r="AU2131" s="12" t="str">
        <f>HYPERLINK("https://www.google.iq/maps/search/+35.759,43.2673/@35.759,43.2673,14z?hl=en","Maplink2")</f>
        <v>Maplink2</v>
      </c>
      <c r="AV2131" s="12" t="str">
        <f>HYPERLINK("http://www.bing.com/maps/?lvl=14&amp;sty=h&amp;cp=35.759~43.2673&amp;sp=point.35.759_43.2673","Maplink3")</f>
        <v>Maplink3</v>
      </c>
    </row>
    <row r="2132" spans="1:48" ht="15" customHeight="1" x14ac:dyDescent="0.25">
      <c r="A2132" s="19">
        <v>31826</v>
      </c>
      <c r="B2132" s="20" t="s">
        <v>21</v>
      </c>
      <c r="C2132" s="20" t="s">
        <v>3671</v>
      </c>
      <c r="D2132" s="20" t="s">
        <v>6193</v>
      </c>
      <c r="E2132" s="20" t="s">
        <v>6194</v>
      </c>
      <c r="F2132" s="20">
        <v>35.758020000000002</v>
      </c>
      <c r="G2132" s="20">
        <v>43.248766000000003</v>
      </c>
      <c r="H2132" s="22">
        <v>3347</v>
      </c>
      <c r="I2132" s="22">
        <v>20082</v>
      </c>
      <c r="J2132" s="21"/>
      <c r="K2132" s="21"/>
      <c r="L2132" s="21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>
        <v>3347</v>
      </c>
      <c r="W2132" s="21"/>
      <c r="X2132" s="21"/>
      <c r="Y2132" s="21"/>
      <c r="Z2132" s="21"/>
      <c r="AA2132" s="21"/>
      <c r="AB2132" s="21">
        <v>3347</v>
      </c>
      <c r="AC2132" s="21"/>
      <c r="AD2132" s="21"/>
      <c r="AE2132" s="21"/>
      <c r="AF2132" s="21"/>
      <c r="AG2132" s="21"/>
      <c r="AH2132" s="21"/>
      <c r="AI2132" s="21"/>
      <c r="AJ2132" s="21"/>
      <c r="AK2132" s="21"/>
      <c r="AL2132" s="21"/>
      <c r="AM2132" s="21"/>
      <c r="AN2132" s="21"/>
      <c r="AO2132" s="21"/>
      <c r="AP2132" s="21"/>
      <c r="AQ2132" s="21"/>
      <c r="AR2132" s="21">
        <v>1044</v>
      </c>
      <c r="AS2132" s="21">
        <v>2303</v>
      </c>
      <c r="AT2132" s="12" t="str">
        <f>HYPERLINK("http://www.openstreetmap.org/?mlat=35.758&amp;mlon=43.2488&amp;zoom=12#map=12/35.758/43.2488","Maplink1")</f>
        <v>Maplink1</v>
      </c>
      <c r="AU2132" s="12" t="str">
        <f>HYPERLINK("https://www.google.iq/maps/search/+35.758,43.2488/@35.758,43.2488,14z?hl=en","Maplink2")</f>
        <v>Maplink2</v>
      </c>
      <c r="AV2132" s="12" t="str">
        <f>HYPERLINK("http://www.bing.com/maps/?lvl=14&amp;sty=h&amp;cp=35.758~43.2488&amp;sp=point.35.758_43.2488","Maplink3")</f>
        <v>Maplink3</v>
      </c>
    </row>
    <row r="2133" spans="1:48" ht="15" customHeight="1" x14ac:dyDescent="0.25">
      <c r="A2133" s="19">
        <v>17410</v>
      </c>
      <c r="B2133" s="20" t="s">
        <v>21</v>
      </c>
      <c r="C2133" s="20" t="s">
        <v>3671</v>
      </c>
      <c r="D2133" s="20" t="s">
        <v>3827</v>
      </c>
      <c r="E2133" s="20" t="s">
        <v>3828</v>
      </c>
      <c r="F2133" s="20">
        <v>36.279499999999999</v>
      </c>
      <c r="G2133" s="20">
        <v>42.942700000000002</v>
      </c>
      <c r="H2133" s="22">
        <v>10</v>
      </c>
      <c r="I2133" s="22">
        <v>60</v>
      </c>
      <c r="J2133" s="21"/>
      <c r="K2133" s="21"/>
      <c r="L2133" s="21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>
        <v>10</v>
      </c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21"/>
      <c r="AH2133" s="21">
        <v>10</v>
      </c>
      <c r="AI2133" s="21"/>
      <c r="AJ2133" s="21"/>
      <c r="AK2133" s="21"/>
      <c r="AL2133" s="21"/>
      <c r="AM2133" s="21"/>
      <c r="AN2133" s="21"/>
      <c r="AO2133" s="21"/>
      <c r="AP2133" s="21">
        <v>10</v>
      </c>
      <c r="AQ2133" s="21"/>
      <c r="AR2133" s="21"/>
      <c r="AS2133" s="21"/>
      <c r="AT2133" s="12" t="str">
        <f>HYPERLINK("http://www.openstreetmap.org/?mlat=36.2795&amp;mlon=42.9427&amp;zoom=12#map=12/36.2795/42.9427","Maplink1")</f>
        <v>Maplink1</v>
      </c>
      <c r="AU2133" s="12" t="str">
        <f>HYPERLINK("https://www.google.iq/maps/search/+36.2795,42.9427/@36.2795,42.9427,14z?hl=en","Maplink2")</f>
        <v>Maplink2</v>
      </c>
      <c r="AV2133" s="12" t="str">
        <f>HYPERLINK("http://www.bing.com/maps/?lvl=14&amp;sty=h&amp;cp=36.2795~42.9427&amp;sp=point.36.2795_42.9427","Maplink3")</f>
        <v>Maplink3</v>
      </c>
    </row>
    <row r="2134" spans="1:48" ht="15" customHeight="1" x14ac:dyDescent="0.25">
      <c r="A2134" s="19">
        <v>21258</v>
      </c>
      <c r="B2134" s="20" t="s">
        <v>21</v>
      </c>
      <c r="C2134" s="20" t="s">
        <v>3671</v>
      </c>
      <c r="D2134" s="20" t="s">
        <v>5809</v>
      </c>
      <c r="E2134" s="20" t="s">
        <v>5810</v>
      </c>
      <c r="F2134" s="20">
        <v>36.313099999999999</v>
      </c>
      <c r="G2134" s="20">
        <v>43.093200000000003</v>
      </c>
      <c r="H2134" s="22">
        <v>200</v>
      </c>
      <c r="I2134" s="22">
        <v>1200</v>
      </c>
      <c r="J2134" s="21"/>
      <c r="K2134" s="21"/>
      <c r="L2134" s="21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>
        <v>200</v>
      </c>
      <c r="W2134" s="21"/>
      <c r="X2134" s="21"/>
      <c r="Y2134" s="21"/>
      <c r="Z2134" s="21"/>
      <c r="AA2134" s="21"/>
      <c r="AB2134" s="21"/>
      <c r="AC2134" s="21">
        <v>50</v>
      </c>
      <c r="AD2134" s="21"/>
      <c r="AE2134" s="21"/>
      <c r="AF2134" s="21"/>
      <c r="AG2134" s="21"/>
      <c r="AH2134" s="21">
        <v>150</v>
      </c>
      <c r="AI2134" s="21"/>
      <c r="AJ2134" s="21"/>
      <c r="AK2134" s="21"/>
      <c r="AL2134" s="21"/>
      <c r="AM2134" s="21"/>
      <c r="AN2134" s="21"/>
      <c r="AO2134" s="21"/>
      <c r="AP2134" s="21"/>
      <c r="AQ2134" s="21"/>
      <c r="AR2134" s="21">
        <v>200</v>
      </c>
      <c r="AS2134" s="21"/>
      <c r="AT2134" s="12" t="str">
        <f>HYPERLINK("http://www.openstreetmap.org/?mlat=36.3131&amp;mlon=43.0932&amp;zoom=12#map=12/36.3131/43.0932","Maplink1")</f>
        <v>Maplink1</v>
      </c>
      <c r="AU2134" s="12" t="str">
        <f>HYPERLINK("https://www.google.iq/maps/search/+36.3131,43.0932/@36.3131,43.0932,14z?hl=en","Maplink2")</f>
        <v>Maplink2</v>
      </c>
      <c r="AV2134" s="12" t="str">
        <f>HYPERLINK("http://www.bing.com/maps/?lvl=14&amp;sty=h&amp;cp=36.3131~43.0932&amp;sp=point.36.3131_43.0932","Maplink3")</f>
        <v>Maplink3</v>
      </c>
    </row>
    <row r="2135" spans="1:48" ht="15" customHeight="1" x14ac:dyDescent="0.25">
      <c r="A2135" s="19">
        <v>33242</v>
      </c>
      <c r="B2135" s="20" t="s">
        <v>21</v>
      </c>
      <c r="C2135" s="20" t="s">
        <v>3671</v>
      </c>
      <c r="D2135" s="20" t="s">
        <v>5754</v>
      </c>
      <c r="E2135" s="20" t="s">
        <v>5755</v>
      </c>
      <c r="F2135" s="20">
        <v>36.069800000000001</v>
      </c>
      <c r="G2135" s="20">
        <v>42.686109999999999</v>
      </c>
      <c r="H2135" s="22">
        <v>7</v>
      </c>
      <c r="I2135" s="22">
        <v>42</v>
      </c>
      <c r="J2135" s="21"/>
      <c r="K2135" s="21"/>
      <c r="L2135" s="21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>
        <v>7</v>
      </c>
      <c r="W2135" s="21"/>
      <c r="X2135" s="21"/>
      <c r="Y2135" s="21"/>
      <c r="Z2135" s="21"/>
      <c r="AA2135" s="21"/>
      <c r="AB2135" s="21"/>
      <c r="AC2135" s="21">
        <v>7</v>
      </c>
      <c r="AD2135" s="21"/>
      <c r="AE2135" s="21"/>
      <c r="AF2135" s="21"/>
      <c r="AG2135" s="21"/>
      <c r="AH2135" s="21"/>
      <c r="AI2135" s="21"/>
      <c r="AJ2135" s="21"/>
      <c r="AK2135" s="21"/>
      <c r="AL2135" s="21"/>
      <c r="AM2135" s="21"/>
      <c r="AN2135" s="21"/>
      <c r="AO2135" s="21"/>
      <c r="AP2135" s="21"/>
      <c r="AQ2135" s="21"/>
      <c r="AR2135" s="21"/>
      <c r="AS2135" s="21">
        <v>7</v>
      </c>
      <c r="AT2135" s="12" t="str">
        <f>HYPERLINK("http://www.openstreetmap.org/?mlat=36.0698&amp;mlon=42.6861&amp;zoom=12#map=12/36.0698/42.6861","Maplink1")</f>
        <v>Maplink1</v>
      </c>
      <c r="AU2135" s="12" t="str">
        <f>HYPERLINK("https://www.google.iq/maps/search/+36.0698,42.6861/@36.0698,42.6861,14z?hl=en","Maplink2")</f>
        <v>Maplink2</v>
      </c>
      <c r="AV2135" s="12" t="str">
        <f>HYPERLINK("http://www.bing.com/maps/?lvl=14&amp;sty=h&amp;cp=36.0698~42.6861&amp;sp=point.36.0698_42.6861","Maplink3")</f>
        <v>Maplink3</v>
      </c>
    </row>
    <row r="2136" spans="1:48" ht="15" customHeight="1" x14ac:dyDescent="0.25">
      <c r="A2136" s="19">
        <v>18040</v>
      </c>
      <c r="B2136" s="20" t="s">
        <v>21</v>
      </c>
      <c r="C2136" s="20" t="s">
        <v>3671</v>
      </c>
      <c r="D2136" s="20" t="s">
        <v>5666</v>
      </c>
      <c r="E2136" s="20" t="s">
        <v>5611</v>
      </c>
      <c r="F2136" s="20">
        <v>36.413716000000001</v>
      </c>
      <c r="G2136" s="20">
        <v>42.968387</v>
      </c>
      <c r="H2136" s="22">
        <v>5</v>
      </c>
      <c r="I2136" s="22">
        <v>30</v>
      </c>
      <c r="J2136" s="21"/>
      <c r="K2136" s="21"/>
      <c r="L2136" s="21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>
        <v>5</v>
      </c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21"/>
      <c r="AH2136" s="21">
        <v>5</v>
      </c>
      <c r="AI2136" s="21"/>
      <c r="AJ2136" s="21"/>
      <c r="AK2136" s="21"/>
      <c r="AL2136" s="21"/>
      <c r="AM2136" s="21"/>
      <c r="AN2136" s="21"/>
      <c r="AO2136" s="21"/>
      <c r="AP2136" s="21"/>
      <c r="AQ2136" s="21"/>
      <c r="AR2136" s="21"/>
      <c r="AS2136" s="21">
        <v>5</v>
      </c>
      <c r="AT2136" s="12" t="str">
        <f>HYPERLINK("http://www.openstreetmap.org/?mlat=36.4137&amp;mlon=42.9684&amp;zoom=12#map=12/36.4137/42.9684","Maplink1")</f>
        <v>Maplink1</v>
      </c>
      <c r="AU2136" s="12" t="str">
        <f>HYPERLINK("https://www.google.iq/maps/search/+36.4137,42.9684/@36.4137,42.9684,14z?hl=en","Maplink2")</f>
        <v>Maplink2</v>
      </c>
      <c r="AV2136" s="12" t="str">
        <f>HYPERLINK("http://www.bing.com/maps/?lvl=14&amp;sty=h&amp;cp=36.4137~42.9684&amp;sp=point.36.4137_42.9684","Maplink3")</f>
        <v>Maplink3</v>
      </c>
    </row>
    <row r="2137" spans="1:48" ht="15" customHeight="1" x14ac:dyDescent="0.25">
      <c r="A2137" s="19">
        <v>33249</v>
      </c>
      <c r="B2137" s="20" t="s">
        <v>21</v>
      </c>
      <c r="C2137" s="20" t="s">
        <v>3671</v>
      </c>
      <c r="D2137" s="20" t="s">
        <v>5756</v>
      </c>
      <c r="E2137" s="20" t="s">
        <v>5757</v>
      </c>
      <c r="F2137" s="20">
        <v>36.329636999999998</v>
      </c>
      <c r="G2137" s="20">
        <v>43.107335999999997</v>
      </c>
      <c r="H2137" s="22">
        <v>5</v>
      </c>
      <c r="I2137" s="22">
        <v>30</v>
      </c>
      <c r="J2137" s="21"/>
      <c r="K2137" s="21"/>
      <c r="L2137" s="21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>
        <v>5</v>
      </c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21"/>
      <c r="AH2137" s="21">
        <v>5</v>
      </c>
      <c r="AI2137" s="21"/>
      <c r="AJ2137" s="21"/>
      <c r="AK2137" s="21"/>
      <c r="AL2137" s="21"/>
      <c r="AM2137" s="21"/>
      <c r="AN2137" s="21"/>
      <c r="AO2137" s="21"/>
      <c r="AP2137" s="21"/>
      <c r="AQ2137" s="21"/>
      <c r="AR2137" s="21">
        <v>5</v>
      </c>
      <c r="AS2137" s="21"/>
      <c r="AT2137" s="12" t="str">
        <f>HYPERLINK("http://www.openstreetmap.org/?mlat=36.3296&amp;mlon=43.1073&amp;zoom=12#map=12/36.3296/43.1073","Maplink1")</f>
        <v>Maplink1</v>
      </c>
      <c r="AU2137" s="12" t="str">
        <f>HYPERLINK("https://www.google.iq/maps/search/+36.3296,43.1073/@36.3296,43.1073,14z?hl=en","Maplink2")</f>
        <v>Maplink2</v>
      </c>
      <c r="AV2137" s="12" t="str">
        <f>HYPERLINK("http://www.bing.com/maps/?lvl=14&amp;sty=h&amp;cp=36.3296~43.1073&amp;sp=point.36.3296_43.1073","Maplink3")</f>
        <v>Maplink3</v>
      </c>
    </row>
    <row r="2138" spans="1:48" ht="15" customHeight="1" x14ac:dyDescent="0.25">
      <c r="A2138" s="19">
        <v>18368</v>
      </c>
      <c r="B2138" s="20" t="s">
        <v>21</v>
      </c>
      <c r="C2138" s="20" t="s">
        <v>3671</v>
      </c>
      <c r="D2138" s="20" t="s">
        <v>3829</v>
      </c>
      <c r="E2138" s="20" t="s">
        <v>3830</v>
      </c>
      <c r="F2138" s="20">
        <v>36.320141999999997</v>
      </c>
      <c r="G2138" s="20">
        <v>43.1267</v>
      </c>
      <c r="H2138" s="22">
        <v>210</v>
      </c>
      <c r="I2138" s="22">
        <v>1260</v>
      </c>
      <c r="J2138" s="21"/>
      <c r="K2138" s="21"/>
      <c r="L2138" s="21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>
        <v>210</v>
      </c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21"/>
      <c r="AH2138" s="21">
        <v>210</v>
      </c>
      <c r="AI2138" s="21"/>
      <c r="AJ2138" s="21"/>
      <c r="AK2138" s="21"/>
      <c r="AL2138" s="21"/>
      <c r="AM2138" s="21"/>
      <c r="AN2138" s="21"/>
      <c r="AO2138" s="21"/>
      <c r="AP2138" s="21"/>
      <c r="AQ2138" s="21"/>
      <c r="AR2138" s="21">
        <v>210</v>
      </c>
      <c r="AS2138" s="21"/>
      <c r="AT2138" s="12" t="str">
        <f>HYPERLINK("http://www.openstreetmap.org/?mlat=36.3201&amp;mlon=43.1267&amp;zoom=12#map=12/36.3201/43.1267","Maplink1")</f>
        <v>Maplink1</v>
      </c>
      <c r="AU2138" s="12" t="str">
        <f>HYPERLINK("https://www.google.iq/maps/search/+36.3201,43.1267/@36.3201,43.1267,14z?hl=en","Maplink2")</f>
        <v>Maplink2</v>
      </c>
      <c r="AV2138" s="12" t="str">
        <f>HYPERLINK("http://www.bing.com/maps/?lvl=14&amp;sty=h&amp;cp=36.3201~43.1267&amp;sp=point.36.3201_43.1267","Maplink3")</f>
        <v>Maplink3</v>
      </c>
    </row>
    <row r="2139" spans="1:48" ht="15" customHeight="1" x14ac:dyDescent="0.25">
      <c r="A2139" s="19">
        <v>31916</v>
      </c>
      <c r="B2139" s="20" t="s">
        <v>21</v>
      </c>
      <c r="C2139" s="20" t="s">
        <v>3671</v>
      </c>
      <c r="D2139" s="20" t="s">
        <v>3831</v>
      </c>
      <c r="E2139" s="20" t="s">
        <v>3832</v>
      </c>
      <c r="F2139" s="20">
        <v>36.304149000000002</v>
      </c>
      <c r="G2139" s="20">
        <v>43.175848000000002</v>
      </c>
      <c r="H2139" s="22">
        <v>330</v>
      </c>
      <c r="I2139" s="22">
        <v>1980</v>
      </c>
      <c r="J2139" s="21"/>
      <c r="K2139" s="21"/>
      <c r="L2139" s="21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>
        <v>330</v>
      </c>
      <c r="W2139" s="21"/>
      <c r="X2139" s="21"/>
      <c r="Y2139" s="21"/>
      <c r="Z2139" s="21"/>
      <c r="AA2139" s="21"/>
      <c r="AB2139" s="21"/>
      <c r="AC2139" s="21">
        <v>45</v>
      </c>
      <c r="AD2139" s="21"/>
      <c r="AE2139" s="21"/>
      <c r="AF2139" s="21"/>
      <c r="AG2139" s="21"/>
      <c r="AH2139" s="21">
        <v>285</v>
      </c>
      <c r="AI2139" s="21"/>
      <c r="AJ2139" s="21"/>
      <c r="AK2139" s="21"/>
      <c r="AL2139" s="21"/>
      <c r="AM2139" s="21"/>
      <c r="AN2139" s="21"/>
      <c r="AO2139" s="21"/>
      <c r="AP2139" s="21"/>
      <c r="AQ2139" s="21"/>
      <c r="AR2139" s="21">
        <v>330</v>
      </c>
      <c r="AS2139" s="21"/>
      <c r="AT2139" s="12" t="str">
        <f>HYPERLINK("http://www.openstreetmap.org/?mlat=36.3041&amp;mlon=43.1758&amp;zoom=12#map=12/36.3041/43.1758","Maplink1")</f>
        <v>Maplink1</v>
      </c>
      <c r="AU2139" s="12" t="str">
        <f>HYPERLINK("https://www.google.iq/maps/search/+36.3041,43.1758/@36.3041,43.1758,14z?hl=en","Maplink2")</f>
        <v>Maplink2</v>
      </c>
      <c r="AV2139" s="12" t="str">
        <f>HYPERLINK("http://www.bing.com/maps/?lvl=14&amp;sty=h&amp;cp=36.3041~43.1758&amp;sp=point.36.3041_43.1758","Maplink3")</f>
        <v>Maplink3</v>
      </c>
    </row>
    <row r="2140" spans="1:48" ht="15" customHeight="1" x14ac:dyDescent="0.25">
      <c r="A2140" s="19">
        <v>31917</v>
      </c>
      <c r="B2140" s="20" t="s">
        <v>21</v>
      </c>
      <c r="C2140" s="20" t="s">
        <v>3671</v>
      </c>
      <c r="D2140" s="20" t="s">
        <v>3833</v>
      </c>
      <c r="E2140" s="20" t="s">
        <v>3834</v>
      </c>
      <c r="F2140" s="20">
        <v>36.306820999999999</v>
      </c>
      <c r="G2140" s="20">
        <v>43.184303</v>
      </c>
      <c r="H2140" s="22">
        <v>414</v>
      </c>
      <c r="I2140" s="22">
        <v>2484</v>
      </c>
      <c r="J2140" s="21"/>
      <c r="K2140" s="21"/>
      <c r="L2140" s="21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>
        <v>414</v>
      </c>
      <c r="W2140" s="21"/>
      <c r="X2140" s="21"/>
      <c r="Y2140" s="21"/>
      <c r="Z2140" s="21"/>
      <c r="AA2140" s="21"/>
      <c r="AB2140" s="21"/>
      <c r="AC2140" s="21">
        <v>35</v>
      </c>
      <c r="AD2140" s="21"/>
      <c r="AE2140" s="21"/>
      <c r="AF2140" s="21"/>
      <c r="AG2140" s="21"/>
      <c r="AH2140" s="21">
        <v>339</v>
      </c>
      <c r="AI2140" s="21"/>
      <c r="AJ2140" s="21">
        <v>40</v>
      </c>
      <c r="AK2140" s="21"/>
      <c r="AL2140" s="21"/>
      <c r="AM2140" s="21"/>
      <c r="AN2140" s="21"/>
      <c r="AO2140" s="21"/>
      <c r="AP2140" s="21"/>
      <c r="AQ2140" s="21"/>
      <c r="AR2140" s="21">
        <v>414</v>
      </c>
      <c r="AS2140" s="21"/>
      <c r="AT2140" s="12" t="str">
        <f>HYPERLINK("http://www.openstreetmap.org/?mlat=36.3068&amp;mlon=43.1843&amp;zoom=12#map=12/36.3068/43.1843","Maplink1")</f>
        <v>Maplink1</v>
      </c>
      <c r="AU2140" s="12" t="str">
        <f>HYPERLINK("https://www.google.iq/maps/search/+36.3068,43.1843/@36.3068,43.1843,14z?hl=en","Maplink2")</f>
        <v>Maplink2</v>
      </c>
      <c r="AV2140" s="12" t="str">
        <f>HYPERLINK("http://www.bing.com/maps/?lvl=14&amp;sty=h&amp;cp=36.3068~43.1843&amp;sp=point.36.3068_43.1843","Maplink3")</f>
        <v>Maplink3</v>
      </c>
    </row>
    <row r="2141" spans="1:48" ht="15" customHeight="1" x14ac:dyDescent="0.25">
      <c r="A2141" s="19">
        <v>21007</v>
      </c>
      <c r="B2141" s="20" t="s">
        <v>21</v>
      </c>
      <c r="C2141" s="20" t="s">
        <v>3671</v>
      </c>
      <c r="D2141" s="20" t="s">
        <v>3835</v>
      </c>
      <c r="E2141" s="20" t="s">
        <v>3836</v>
      </c>
      <c r="F2141" s="20">
        <v>36.348591999999996</v>
      </c>
      <c r="G2141" s="20">
        <v>43.112257</v>
      </c>
      <c r="H2141" s="22">
        <v>60</v>
      </c>
      <c r="I2141" s="22">
        <v>360</v>
      </c>
      <c r="J2141" s="21"/>
      <c r="K2141" s="21"/>
      <c r="L2141" s="21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>
        <v>60</v>
      </c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21"/>
      <c r="AH2141" s="21">
        <v>60</v>
      </c>
      <c r="AI2141" s="21"/>
      <c r="AJ2141" s="21"/>
      <c r="AK2141" s="21"/>
      <c r="AL2141" s="21"/>
      <c r="AM2141" s="21"/>
      <c r="AN2141" s="21"/>
      <c r="AO2141" s="21"/>
      <c r="AP2141" s="21">
        <v>10</v>
      </c>
      <c r="AQ2141" s="21"/>
      <c r="AR2141" s="21">
        <v>50</v>
      </c>
      <c r="AS2141" s="21"/>
      <c r="AT2141" s="12" t="str">
        <f>HYPERLINK("http://www.openstreetmap.org/?mlat=36.3486&amp;mlon=43.1123&amp;zoom=12#map=12/36.3486/43.1123","Maplink1")</f>
        <v>Maplink1</v>
      </c>
      <c r="AU2141" s="12" t="str">
        <f>HYPERLINK("https://www.google.iq/maps/search/+36.3486,43.1123/@36.3486,43.1123,14z?hl=en","Maplink2")</f>
        <v>Maplink2</v>
      </c>
      <c r="AV2141" s="12" t="str">
        <f>HYPERLINK("http://www.bing.com/maps/?lvl=14&amp;sty=h&amp;cp=36.3486~43.1123&amp;sp=point.36.3486_43.1123","Maplink3")</f>
        <v>Maplink3</v>
      </c>
    </row>
    <row r="2142" spans="1:48" ht="15" customHeight="1" x14ac:dyDescent="0.25">
      <c r="A2142" s="19">
        <v>27396</v>
      </c>
      <c r="B2142" s="20" t="s">
        <v>21</v>
      </c>
      <c r="C2142" s="20" t="s">
        <v>3837</v>
      </c>
      <c r="D2142" s="20" t="s">
        <v>3838</v>
      </c>
      <c r="E2142" s="20" t="s">
        <v>3839</v>
      </c>
      <c r="F2142" s="20">
        <v>36.442680490000001</v>
      </c>
      <c r="G2142" s="20">
        <v>41.75859475</v>
      </c>
      <c r="H2142" s="22">
        <v>2</v>
      </c>
      <c r="I2142" s="22">
        <v>12</v>
      </c>
      <c r="J2142" s="21"/>
      <c r="K2142" s="21"/>
      <c r="L2142" s="21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>
        <v>2</v>
      </c>
      <c r="W2142" s="21"/>
      <c r="X2142" s="21"/>
      <c r="Y2142" s="21"/>
      <c r="Z2142" s="21"/>
      <c r="AA2142" s="21"/>
      <c r="AB2142" s="21"/>
      <c r="AC2142" s="21">
        <v>2</v>
      </c>
      <c r="AD2142" s="21"/>
      <c r="AE2142" s="21"/>
      <c r="AF2142" s="21"/>
      <c r="AG2142" s="21"/>
      <c r="AH2142" s="21"/>
      <c r="AI2142" s="21"/>
      <c r="AJ2142" s="21"/>
      <c r="AK2142" s="21"/>
      <c r="AL2142" s="21"/>
      <c r="AM2142" s="21"/>
      <c r="AN2142" s="21">
        <v>2</v>
      </c>
      <c r="AO2142" s="21"/>
      <c r="AP2142" s="21"/>
      <c r="AQ2142" s="21"/>
      <c r="AR2142" s="21"/>
      <c r="AS2142" s="21"/>
      <c r="AT2142" s="12" t="str">
        <f>HYPERLINK("http://www.openstreetmap.org/?mlat=36.4427&amp;mlon=41.7586&amp;zoom=12#map=12/36.4427/41.7586","Maplink1")</f>
        <v>Maplink1</v>
      </c>
      <c r="AU2142" s="12" t="str">
        <f>HYPERLINK("https://www.google.iq/maps/search/+36.4427,41.7586/@36.4427,41.7586,14z?hl=en","Maplink2")</f>
        <v>Maplink2</v>
      </c>
      <c r="AV2142" s="12" t="str">
        <f>HYPERLINK("http://www.bing.com/maps/?lvl=14&amp;sty=h&amp;cp=36.4427~41.7586&amp;sp=point.36.4427_41.7586","Maplink3")</f>
        <v>Maplink3</v>
      </c>
    </row>
    <row r="2143" spans="1:48" ht="15" customHeight="1" x14ac:dyDescent="0.25">
      <c r="A2143" s="19">
        <v>27403</v>
      </c>
      <c r="B2143" s="20" t="s">
        <v>21</v>
      </c>
      <c r="C2143" s="20" t="s">
        <v>3837</v>
      </c>
      <c r="D2143" s="20" t="s">
        <v>3840</v>
      </c>
      <c r="E2143" s="20" t="s">
        <v>3841</v>
      </c>
      <c r="F2143" s="20">
        <v>36.451784000000004</v>
      </c>
      <c r="G2143" s="20">
        <v>41.71119736</v>
      </c>
      <c r="H2143" s="22">
        <v>118</v>
      </c>
      <c r="I2143" s="22">
        <v>708</v>
      </c>
      <c r="J2143" s="21"/>
      <c r="K2143" s="21"/>
      <c r="L2143" s="21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>
        <v>118</v>
      </c>
      <c r="W2143" s="21"/>
      <c r="X2143" s="21"/>
      <c r="Y2143" s="21"/>
      <c r="Z2143" s="21"/>
      <c r="AA2143" s="21"/>
      <c r="AB2143" s="21"/>
      <c r="AC2143" s="21">
        <v>118</v>
      </c>
      <c r="AD2143" s="21"/>
      <c r="AE2143" s="21"/>
      <c r="AF2143" s="21"/>
      <c r="AG2143" s="21"/>
      <c r="AH2143" s="21"/>
      <c r="AI2143" s="21"/>
      <c r="AJ2143" s="21"/>
      <c r="AK2143" s="21"/>
      <c r="AL2143" s="21"/>
      <c r="AM2143" s="21"/>
      <c r="AN2143" s="21">
        <v>118</v>
      </c>
      <c r="AO2143" s="21"/>
      <c r="AP2143" s="21"/>
      <c r="AQ2143" s="21"/>
      <c r="AR2143" s="21"/>
      <c r="AS2143" s="21"/>
      <c r="AT2143" s="12" t="str">
        <f>HYPERLINK("http://www.openstreetmap.org/?mlat=36.4518&amp;mlon=41.7112&amp;zoom=12#map=12/36.4518/41.7112","Maplink1")</f>
        <v>Maplink1</v>
      </c>
      <c r="AU2143" s="12" t="str">
        <f>HYPERLINK("https://www.google.iq/maps/search/+36.4518,41.7112/@36.4518,41.7112,14z?hl=en","Maplink2")</f>
        <v>Maplink2</v>
      </c>
      <c r="AV2143" s="12" t="str">
        <f>HYPERLINK("http://www.bing.com/maps/?lvl=14&amp;sty=h&amp;cp=36.4518~41.7112&amp;sp=point.36.4518_41.7112","Maplink3")</f>
        <v>Maplink3</v>
      </c>
    </row>
    <row r="2144" spans="1:48" ht="15" customHeight="1" x14ac:dyDescent="0.25">
      <c r="A2144" s="19">
        <v>28415</v>
      </c>
      <c r="B2144" s="20" t="s">
        <v>21</v>
      </c>
      <c r="C2144" s="20" t="s">
        <v>3837</v>
      </c>
      <c r="D2144" s="20" t="s">
        <v>3842</v>
      </c>
      <c r="E2144" s="20" t="s">
        <v>3843</v>
      </c>
      <c r="F2144" s="20">
        <v>36.416754109999999</v>
      </c>
      <c r="G2144" s="20">
        <v>41.913282879999997</v>
      </c>
      <c r="H2144" s="22">
        <v>12</v>
      </c>
      <c r="I2144" s="22">
        <v>72</v>
      </c>
      <c r="J2144" s="21"/>
      <c r="K2144" s="21"/>
      <c r="L2144" s="21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>
        <v>12</v>
      </c>
      <c r="W2144" s="21"/>
      <c r="X2144" s="21"/>
      <c r="Y2144" s="21"/>
      <c r="Z2144" s="21"/>
      <c r="AA2144" s="21"/>
      <c r="AB2144" s="21"/>
      <c r="AC2144" s="21">
        <v>5</v>
      </c>
      <c r="AD2144" s="21"/>
      <c r="AE2144" s="21"/>
      <c r="AF2144" s="21"/>
      <c r="AG2144" s="21"/>
      <c r="AH2144" s="21"/>
      <c r="AI2144" s="21"/>
      <c r="AJ2144" s="21">
        <v>7</v>
      </c>
      <c r="AK2144" s="21"/>
      <c r="AL2144" s="21"/>
      <c r="AM2144" s="21"/>
      <c r="AN2144" s="21">
        <v>12</v>
      </c>
      <c r="AO2144" s="21"/>
      <c r="AP2144" s="21"/>
      <c r="AQ2144" s="21"/>
      <c r="AR2144" s="21"/>
      <c r="AS2144" s="21"/>
      <c r="AT2144" s="12" t="str">
        <f>HYPERLINK("http://www.openstreetmap.org/?mlat=36.4168&amp;mlon=41.9133&amp;zoom=12#map=12/36.4168/41.9133","Maplink1")</f>
        <v>Maplink1</v>
      </c>
      <c r="AU2144" s="12" t="str">
        <f>HYPERLINK("https://www.google.iq/maps/search/+36.4168,41.9133/@36.4168,41.9133,14z?hl=en","Maplink2")</f>
        <v>Maplink2</v>
      </c>
      <c r="AV2144" s="12" t="str">
        <f>HYPERLINK("http://www.bing.com/maps/?lvl=14&amp;sty=h&amp;cp=36.4168~41.9133&amp;sp=point.36.4168_41.9133","Maplink3")</f>
        <v>Maplink3</v>
      </c>
    </row>
    <row r="2145" spans="1:48" ht="15" customHeight="1" x14ac:dyDescent="0.25">
      <c r="A2145" s="19">
        <v>27366</v>
      </c>
      <c r="B2145" s="20" t="s">
        <v>21</v>
      </c>
      <c r="C2145" s="20" t="s">
        <v>3837</v>
      </c>
      <c r="D2145" s="20" t="s">
        <v>3844</v>
      </c>
      <c r="E2145" s="20" t="s">
        <v>3845</v>
      </c>
      <c r="F2145" s="20">
        <v>36.424752769999998</v>
      </c>
      <c r="G2145" s="20">
        <v>41.698482769999998</v>
      </c>
      <c r="H2145" s="22">
        <v>126</v>
      </c>
      <c r="I2145" s="22">
        <v>756</v>
      </c>
      <c r="J2145" s="21"/>
      <c r="K2145" s="21"/>
      <c r="L2145" s="21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>
        <v>126</v>
      </c>
      <c r="W2145" s="21"/>
      <c r="X2145" s="21"/>
      <c r="Y2145" s="21"/>
      <c r="Z2145" s="21"/>
      <c r="AA2145" s="21"/>
      <c r="AB2145" s="21"/>
      <c r="AC2145" s="21">
        <v>100</v>
      </c>
      <c r="AD2145" s="21"/>
      <c r="AE2145" s="21">
        <v>26</v>
      </c>
      <c r="AF2145" s="21"/>
      <c r="AG2145" s="21"/>
      <c r="AH2145" s="21"/>
      <c r="AI2145" s="21"/>
      <c r="AJ2145" s="21"/>
      <c r="AK2145" s="21"/>
      <c r="AL2145" s="21"/>
      <c r="AM2145" s="21"/>
      <c r="AN2145" s="21">
        <v>126</v>
      </c>
      <c r="AO2145" s="21"/>
      <c r="AP2145" s="21"/>
      <c r="AQ2145" s="21"/>
      <c r="AR2145" s="21"/>
      <c r="AS2145" s="21"/>
      <c r="AT2145" s="12" t="str">
        <f>HYPERLINK("http://www.openstreetmap.org/?mlat=36.4248&amp;mlon=41.6985&amp;zoom=12#map=12/36.4248/41.6985","Maplink1")</f>
        <v>Maplink1</v>
      </c>
      <c r="AU2145" s="12" t="str">
        <f>HYPERLINK("https://www.google.iq/maps/search/+36.4248,41.6985/@36.4248,41.6985,14z?hl=en","Maplink2")</f>
        <v>Maplink2</v>
      </c>
      <c r="AV2145" s="12" t="str">
        <f>HYPERLINK("http://www.bing.com/maps/?lvl=14&amp;sty=h&amp;cp=36.4248~41.6985&amp;sp=point.36.4248_41.6985","Maplink3")</f>
        <v>Maplink3</v>
      </c>
    </row>
    <row r="2146" spans="1:48" ht="15" customHeight="1" x14ac:dyDescent="0.25">
      <c r="A2146" s="19">
        <v>27360</v>
      </c>
      <c r="B2146" s="20" t="s">
        <v>21</v>
      </c>
      <c r="C2146" s="20" t="s">
        <v>3837</v>
      </c>
      <c r="D2146" s="20" t="s">
        <v>3846</v>
      </c>
      <c r="E2146" s="20" t="s">
        <v>3847</v>
      </c>
      <c r="F2146" s="20">
        <v>36.371200000000002</v>
      </c>
      <c r="G2146" s="20">
        <v>41.490699999999997</v>
      </c>
      <c r="H2146" s="22">
        <v>11</v>
      </c>
      <c r="I2146" s="22">
        <v>66</v>
      </c>
      <c r="J2146" s="21"/>
      <c r="K2146" s="21"/>
      <c r="L2146" s="21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>
        <v>11</v>
      </c>
      <c r="W2146" s="21"/>
      <c r="X2146" s="21"/>
      <c r="Y2146" s="21"/>
      <c r="Z2146" s="21"/>
      <c r="AA2146" s="21"/>
      <c r="AB2146" s="21"/>
      <c r="AC2146" s="21">
        <v>11</v>
      </c>
      <c r="AD2146" s="21"/>
      <c r="AE2146" s="21"/>
      <c r="AF2146" s="21"/>
      <c r="AG2146" s="21"/>
      <c r="AH2146" s="21"/>
      <c r="AI2146" s="21"/>
      <c r="AJ2146" s="21"/>
      <c r="AK2146" s="21"/>
      <c r="AL2146" s="21"/>
      <c r="AM2146" s="21"/>
      <c r="AN2146" s="21">
        <v>11</v>
      </c>
      <c r="AO2146" s="21"/>
      <c r="AP2146" s="21"/>
      <c r="AQ2146" s="21"/>
      <c r="AR2146" s="21"/>
      <c r="AS2146" s="21"/>
      <c r="AT2146" s="12" t="str">
        <f>HYPERLINK("http://www.openstreetmap.org/?mlat=36.3712&amp;mlon=41.4907&amp;zoom=12#map=12/36.3712/41.4907","Maplink1")</f>
        <v>Maplink1</v>
      </c>
      <c r="AU2146" s="12" t="str">
        <f>HYPERLINK("https://www.google.iq/maps/search/+36.3712,41.4907/@36.3712,41.4907,14z?hl=en","Maplink2")</f>
        <v>Maplink2</v>
      </c>
      <c r="AV2146" s="12" t="str">
        <f>HYPERLINK("http://www.bing.com/maps/?lvl=14&amp;sty=h&amp;cp=36.3712~41.4907&amp;sp=point.36.3712_41.4907","Maplink3")</f>
        <v>Maplink3</v>
      </c>
    </row>
    <row r="2147" spans="1:48" ht="15" customHeight="1" x14ac:dyDescent="0.25">
      <c r="A2147" s="19">
        <v>27365</v>
      </c>
      <c r="B2147" s="20" t="s">
        <v>21</v>
      </c>
      <c r="C2147" s="20" t="s">
        <v>3837</v>
      </c>
      <c r="D2147" s="20" t="s">
        <v>3848</v>
      </c>
      <c r="E2147" s="20" t="s">
        <v>3849</v>
      </c>
      <c r="F2147" s="20">
        <v>36.435619520000003</v>
      </c>
      <c r="G2147" s="20">
        <v>41.900978129999999</v>
      </c>
      <c r="H2147" s="22">
        <v>4</v>
      </c>
      <c r="I2147" s="22">
        <v>24</v>
      </c>
      <c r="J2147" s="21"/>
      <c r="K2147" s="21"/>
      <c r="L2147" s="21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>
        <v>4</v>
      </c>
      <c r="W2147" s="21"/>
      <c r="X2147" s="21"/>
      <c r="Y2147" s="21"/>
      <c r="Z2147" s="21"/>
      <c r="AA2147" s="21"/>
      <c r="AB2147" s="21"/>
      <c r="AC2147" s="21">
        <v>2</v>
      </c>
      <c r="AD2147" s="21"/>
      <c r="AE2147" s="21">
        <v>2</v>
      </c>
      <c r="AF2147" s="21"/>
      <c r="AG2147" s="21"/>
      <c r="AH2147" s="21"/>
      <c r="AI2147" s="21"/>
      <c r="AJ2147" s="21"/>
      <c r="AK2147" s="21"/>
      <c r="AL2147" s="21"/>
      <c r="AM2147" s="21"/>
      <c r="AN2147" s="21">
        <v>4</v>
      </c>
      <c r="AO2147" s="21"/>
      <c r="AP2147" s="21"/>
      <c r="AQ2147" s="21"/>
      <c r="AR2147" s="21"/>
      <c r="AS2147" s="21"/>
      <c r="AT2147" s="12" t="str">
        <f>HYPERLINK("http://www.openstreetmap.org/?mlat=36.4356&amp;mlon=41.901&amp;zoom=12#map=12/36.4356/41.901","Maplink1")</f>
        <v>Maplink1</v>
      </c>
      <c r="AU2147" s="12" t="str">
        <f>HYPERLINK("https://www.google.iq/maps/search/+36.4356,41.901/@36.4356,41.901,14z?hl=en","Maplink2")</f>
        <v>Maplink2</v>
      </c>
      <c r="AV2147" s="12" t="str">
        <f>HYPERLINK("http://www.bing.com/maps/?lvl=14&amp;sty=h&amp;cp=36.4356~41.901&amp;sp=point.36.4356_41.901","Maplink3")</f>
        <v>Maplink3</v>
      </c>
    </row>
    <row r="2148" spans="1:48" ht="15" customHeight="1" x14ac:dyDescent="0.25">
      <c r="A2148" s="19">
        <v>17720</v>
      </c>
      <c r="B2148" s="20" t="s">
        <v>21</v>
      </c>
      <c r="C2148" s="20" t="s">
        <v>3837</v>
      </c>
      <c r="D2148" s="20" t="s">
        <v>3850</v>
      </c>
      <c r="E2148" s="20" t="s">
        <v>3851</v>
      </c>
      <c r="F2148" s="20">
        <v>36.556369750000002</v>
      </c>
      <c r="G2148" s="20">
        <v>41.765707130000003</v>
      </c>
      <c r="H2148" s="22">
        <v>9</v>
      </c>
      <c r="I2148" s="22">
        <v>54</v>
      </c>
      <c r="J2148" s="21"/>
      <c r="K2148" s="21"/>
      <c r="L2148" s="21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>
        <v>9</v>
      </c>
      <c r="W2148" s="21"/>
      <c r="X2148" s="21"/>
      <c r="Y2148" s="21"/>
      <c r="Z2148" s="21"/>
      <c r="AA2148" s="21"/>
      <c r="AB2148" s="21"/>
      <c r="AC2148" s="21">
        <v>7</v>
      </c>
      <c r="AD2148" s="21"/>
      <c r="AE2148" s="21">
        <v>2</v>
      </c>
      <c r="AF2148" s="21"/>
      <c r="AG2148" s="21"/>
      <c r="AH2148" s="21"/>
      <c r="AI2148" s="21"/>
      <c r="AJ2148" s="21"/>
      <c r="AK2148" s="21"/>
      <c r="AL2148" s="21"/>
      <c r="AM2148" s="21"/>
      <c r="AN2148" s="21">
        <v>9</v>
      </c>
      <c r="AO2148" s="21"/>
      <c r="AP2148" s="21"/>
      <c r="AQ2148" s="21"/>
      <c r="AR2148" s="21"/>
      <c r="AS2148" s="21"/>
      <c r="AT2148" s="12" t="str">
        <f>HYPERLINK("http://www.openstreetmap.org/?mlat=36.5564&amp;mlon=41.7657&amp;zoom=12#map=12/36.5564/41.7657","Maplink1")</f>
        <v>Maplink1</v>
      </c>
      <c r="AU2148" s="12" t="str">
        <f>HYPERLINK("https://www.google.iq/maps/search/+36.5564,41.7657/@36.5564,41.7657,14z?hl=en","Maplink2")</f>
        <v>Maplink2</v>
      </c>
      <c r="AV2148" s="12" t="str">
        <f>HYPERLINK("http://www.bing.com/maps/?lvl=14&amp;sty=h&amp;cp=36.5564~41.7657&amp;sp=point.36.5564_41.7657","Maplink3")</f>
        <v>Maplink3</v>
      </c>
    </row>
    <row r="2149" spans="1:48" ht="15" customHeight="1" x14ac:dyDescent="0.25">
      <c r="A2149" s="19">
        <v>27285</v>
      </c>
      <c r="B2149" s="20" t="s">
        <v>21</v>
      </c>
      <c r="C2149" s="20" t="s">
        <v>3837</v>
      </c>
      <c r="D2149" s="20" t="s">
        <v>5667</v>
      </c>
      <c r="E2149" s="20" t="s">
        <v>3852</v>
      </c>
      <c r="F2149" s="20">
        <v>36.487096229999999</v>
      </c>
      <c r="G2149" s="20">
        <v>41.869738030000001</v>
      </c>
      <c r="H2149" s="22">
        <v>160</v>
      </c>
      <c r="I2149" s="22">
        <v>960</v>
      </c>
      <c r="J2149" s="21"/>
      <c r="K2149" s="21"/>
      <c r="L2149" s="21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>
        <v>160</v>
      </c>
      <c r="W2149" s="21"/>
      <c r="X2149" s="21"/>
      <c r="Y2149" s="21"/>
      <c r="Z2149" s="21"/>
      <c r="AA2149" s="21"/>
      <c r="AB2149" s="21"/>
      <c r="AC2149" s="21">
        <v>160</v>
      </c>
      <c r="AD2149" s="21"/>
      <c r="AE2149" s="21"/>
      <c r="AF2149" s="21"/>
      <c r="AG2149" s="21"/>
      <c r="AH2149" s="21"/>
      <c r="AI2149" s="21"/>
      <c r="AJ2149" s="21"/>
      <c r="AK2149" s="21"/>
      <c r="AL2149" s="21"/>
      <c r="AM2149" s="21"/>
      <c r="AN2149" s="21">
        <v>160</v>
      </c>
      <c r="AO2149" s="21"/>
      <c r="AP2149" s="21"/>
      <c r="AQ2149" s="21"/>
      <c r="AR2149" s="21"/>
      <c r="AS2149" s="21"/>
      <c r="AT2149" s="12" t="str">
        <f>HYPERLINK("http://www.openstreetmap.org/?mlat=36.4871&amp;mlon=41.8697&amp;zoom=12#map=12/36.4871/41.8697","Maplink1")</f>
        <v>Maplink1</v>
      </c>
      <c r="AU2149" s="12" t="str">
        <f>HYPERLINK("https://www.google.iq/maps/search/+36.4871,41.8697/@36.4871,41.8697,14z?hl=en","Maplink2")</f>
        <v>Maplink2</v>
      </c>
      <c r="AV2149" s="12" t="str">
        <f>HYPERLINK("http://www.bing.com/maps/?lvl=14&amp;sty=h&amp;cp=36.4871~41.8697&amp;sp=point.36.4871_41.8697","Maplink3")</f>
        <v>Maplink3</v>
      </c>
    </row>
    <row r="2150" spans="1:48" ht="15" customHeight="1" x14ac:dyDescent="0.25">
      <c r="A2150" s="19">
        <v>27398</v>
      </c>
      <c r="B2150" s="20" t="s">
        <v>21</v>
      </c>
      <c r="C2150" s="20" t="s">
        <v>3837</v>
      </c>
      <c r="D2150" s="20" t="s">
        <v>3853</v>
      </c>
      <c r="E2150" s="20" t="s">
        <v>3854</v>
      </c>
      <c r="F2150" s="20">
        <v>36.394999540000001</v>
      </c>
      <c r="G2150" s="20">
        <v>41.856769030000002</v>
      </c>
      <c r="H2150" s="22">
        <v>37</v>
      </c>
      <c r="I2150" s="22">
        <v>222</v>
      </c>
      <c r="J2150" s="21"/>
      <c r="K2150" s="21"/>
      <c r="L2150" s="21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>
        <v>37</v>
      </c>
      <c r="W2150" s="21"/>
      <c r="X2150" s="21"/>
      <c r="Y2150" s="21"/>
      <c r="Z2150" s="21"/>
      <c r="AA2150" s="21"/>
      <c r="AB2150" s="21"/>
      <c r="AC2150" s="21">
        <v>15</v>
      </c>
      <c r="AD2150" s="21"/>
      <c r="AE2150" s="21">
        <v>17</v>
      </c>
      <c r="AF2150" s="21"/>
      <c r="AG2150" s="21"/>
      <c r="AH2150" s="21"/>
      <c r="AI2150" s="21"/>
      <c r="AJ2150" s="21">
        <v>5</v>
      </c>
      <c r="AK2150" s="21"/>
      <c r="AL2150" s="21"/>
      <c r="AM2150" s="21"/>
      <c r="AN2150" s="21">
        <v>37</v>
      </c>
      <c r="AO2150" s="21"/>
      <c r="AP2150" s="21"/>
      <c r="AQ2150" s="21"/>
      <c r="AR2150" s="21"/>
      <c r="AS2150" s="21"/>
      <c r="AT2150" s="12" t="str">
        <f>HYPERLINK("http://www.openstreetmap.org/?mlat=36.395&amp;mlon=41.8568&amp;zoom=12#map=12/36.395/41.8568","Maplink1")</f>
        <v>Maplink1</v>
      </c>
      <c r="AU2150" s="12" t="str">
        <f>HYPERLINK("https://www.google.iq/maps/search/+36.395,41.8568/@36.395,41.8568,14z?hl=en","Maplink2")</f>
        <v>Maplink2</v>
      </c>
      <c r="AV2150" s="12" t="str">
        <f>HYPERLINK("http://www.bing.com/maps/?lvl=14&amp;sty=h&amp;cp=36.395~41.8568&amp;sp=point.36.395_41.8568","Maplink3")</f>
        <v>Maplink3</v>
      </c>
    </row>
    <row r="2151" spans="1:48" ht="15" customHeight="1" x14ac:dyDescent="0.25">
      <c r="A2151" s="19">
        <v>28418</v>
      </c>
      <c r="B2151" s="20" t="s">
        <v>21</v>
      </c>
      <c r="C2151" s="20" t="s">
        <v>3837</v>
      </c>
      <c r="D2151" s="20" t="s">
        <v>3855</v>
      </c>
      <c r="E2151" s="20" t="s">
        <v>3856</v>
      </c>
      <c r="F2151" s="20">
        <v>36.37538464</v>
      </c>
      <c r="G2151" s="20">
        <v>41.766305989999999</v>
      </c>
      <c r="H2151" s="22">
        <v>63</v>
      </c>
      <c r="I2151" s="22">
        <v>378</v>
      </c>
      <c r="J2151" s="21"/>
      <c r="K2151" s="21"/>
      <c r="L2151" s="21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>
        <v>63</v>
      </c>
      <c r="W2151" s="21"/>
      <c r="X2151" s="21"/>
      <c r="Y2151" s="21"/>
      <c r="Z2151" s="21"/>
      <c r="AA2151" s="21"/>
      <c r="AB2151" s="21"/>
      <c r="AC2151" s="21"/>
      <c r="AD2151" s="21"/>
      <c r="AE2151" s="21">
        <v>63</v>
      </c>
      <c r="AF2151" s="21"/>
      <c r="AG2151" s="21"/>
      <c r="AH2151" s="21"/>
      <c r="AI2151" s="21"/>
      <c r="AJ2151" s="21"/>
      <c r="AK2151" s="21"/>
      <c r="AL2151" s="21"/>
      <c r="AM2151" s="21"/>
      <c r="AN2151" s="21">
        <v>63</v>
      </c>
      <c r="AO2151" s="21"/>
      <c r="AP2151" s="21"/>
      <c r="AQ2151" s="21"/>
      <c r="AR2151" s="21"/>
      <c r="AS2151" s="21"/>
      <c r="AT2151" s="12" t="str">
        <f>HYPERLINK("http://www.openstreetmap.org/?mlat=36.3754&amp;mlon=41.7663&amp;zoom=12#map=12/36.3754/41.7663","Maplink1")</f>
        <v>Maplink1</v>
      </c>
      <c r="AU2151" s="12" t="str">
        <f>HYPERLINK("https://www.google.iq/maps/search/+36.3754,41.7663/@36.3754,41.7663,14z?hl=en","Maplink2")</f>
        <v>Maplink2</v>
      </c>
      <c r="AV2151" s="12" t="str">
        <f>HYPERLINK("http://www.bing.com/maps/?lvl=14&amp;sty=h&amp;cp=36.3754~41.7663&amp;sp=point.36.3754_41.7663","Maplink3")</f>
        <v>Maplink3</v>
      </c>
    </row>
    <row r="2152" spans="1:48" ht="15" customHeight="1" x14ac:dyDescent="0.25">
      <c r="A2152" s="19">
        <v>27283</v>
      </c>
      <c r="B2152" s="20" t="s">
        <v>21</v>
      </c>
      <c r="C2152" s="20" t="s">
        <v>3837</v>
      </c>
      <c r="D2152" s="20" t="s">
        <v>3857</v>
      </c>
      <c r="E2152" s="20" t="s">
        <v>3858</v>
      </c>
      <c r="F2152" s="20">
        <v>36.461001510000003</v>
      </c>
      <c r="G2152" s="20">
        <v>41.738542039999999</v>
      </c>
      <c r="H2152" s="22">
        <v>30</v>
      </c>
      <c r="I2152" s="22">
        <v>180</v>
      </c>
      <c r="J2152" s="21"/>
      <c r="K2152" s="21"/>
      <c r="L2152" s="21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>
        <v>30</v>
      </c>
      <c r="W2152" s="21"/>
      <c r="X2152" s="21"/>
      <c r="Y2152" s="21"/>
      <c r="Z2152" s="21"/>
      <c r="AA2152" s="21"/>
      <c r="AB2152" s="21"/>
      <c r="AC2152" s="21">
        <v>30</v>
      </c>
      <c r="AD2152" s="21"/>
      <c r="AE2152" s="21"/>
      <c r="AF2152" s="21"/>
      <c r="AG2152" s="21"/>
      <c r="AH2152" s="21"/>
      <c r="AI2152" s="21"/>
      <c r="AJ2152" s="21"/>
      <c r="AK2152" s="21"/>
      <c r="AL2152" s="21"/>
      <c r="AM2152" s="21"/>
      <c r="AN2152" s="21">
        <v>30</v>
      </c>
      <c r="AO2152" s="21"/>
      <c r="AP2152" s="21"/>
      <c r="AQ2152" s="21"/>
      <c r="AR2152" s="21"/>
      <c r="AS2152" s="21"/>
      <c r="AT2152" s="12" t="str">
        <f>HYPERLINK("http://www.openstreetmap.org/?mlat=36.461&amp;mlon=41.7385&amp;zoom=12#map=12/36.461/41.7385","Maplink1")</f>
        <v>Maplink1</v>
      </c>
      <c r="AU2152" s="12" t="str">
        <f>HYPERLINK("https://www.google.iq/maps/search/+36.461,41.7385/@36.461,41.7385,14z?hl=en","Maplink2")</f>
        <v>Maplink2</v>
      </c>
      <c r="AV2152" s="12" t="str">
        <f>HYPERLINK("http://www.bing.com/maps/?lvl=14&amp;sty=h&amp;cp=36.461~41.7385&amp;sp=point.36.461_41.7385","Maplink3")</f>
        <v>Maplink3</v>
      </c>
    </row>
    <row r="2153" spans="1:48" ht="15" customHeight="1" x14ac:dyDescent="0.25">
      <c r="A2153" s="19">
        <v>18048</v>
      </c>
      <c r="B2153" s="20" t="s">
        <v>21</v>
      </c>
      <c r="C2153" s="20" t="s">
        <v>3837</v>
      </c>
      <c r="D2153" s="20" t="s">
        <v>3859</v>
      </c>
      <c r="E2153" s="20" t="s">
        <v>3860</v>
      </c>
      <c r="F2153" s="20">
        <v>36.514294509999999</v>
      </c>
      <c r="G2153" s="20">
        <v>41.96182108</v>
      </c>
      <c r="H2153" s="22">
        <v>7</v>
      </c>
      <c r="I2153" s="22">
        <v>42</v>
      </c>
      <c r="J2153" s="21"/>
      <c r="K2153" s="21"/>
      <c r="L2153" s="21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>
        <v>7</v>
      </c>
      <c r="W2153" s="21"/>
      <c r="X2153" s="21"/>
      <c r="Y2153" s="21"/>
      <c r="Z2153" s="21"/>
      <c r="AA2153" s="21"/>
      <c r="AB2153" s="21"/>
      <c r="AC2153" s="21">
        <v>5</v>
      </c>
      <c r="AD2153" s="21"/>
      <c r="AE2153" s="21"/>
      <c r="AF2153" s="21"/>
      <c r="AG2153" s="21"/>
      <c r="AH2153" s="21">
        <v>2</v>
      </c>
      <c r="AI2153" s="21"/>
      <c r="AJ2153" s="21"/>
      <c r="AK2153" s="21"/>
      <c r="AL2153" s="21"/>
      <c r="AM2153" s="21"/>
      <c r="AN2153" s="21">
        <v>5</v>
      </c>
      <c r="AO2153" s="21"/>
      <c r="AP2153" s="21"/>
      <c r="AQ2153" s="21"/>
      <c r="AR2153" s="21">
        <v>2</v>
      </c>
      <c r="AS2153" s="21"/>
      <c r="AT2153" s="12" t="str">
        <f>HYPERLINK("http://www.openstreetmap.org/?mlat=36.5143&amp;mlon=41.9618&amp;zoom=12#map=12/36.5143/41.9618","Maplink1")</f>
        <v>Maplink1</v>
      </c>
      <c r="AU2153" s="12" t="str">
        <f>HYPERLINK("https://www.google.iq/maps/search/+36.5143,41.9618/@36.5143,41.9618,14z?hl=en","Maplink2")</f>
        <v>Maplink2</v>
      </c>
      <c r="AV2153" s="12" t="str">
        <f>HYPERLINK("http://www.bing.com/maps/?lvl=14&amp;sty=h&amp;cp=36.5143~41.9618&amp;sp=point.36.5143_41.9618","Maplink3")</f>
        <v>Maplink3</v>
      </c>
    </row>
    <row r="2154" spans="1:48" ht="15" customHeight="1" x14ac:dyDescent="0.25">
      <c r="A2154" s="19">
        <v>27401</v>
      </c>
      <c r="B2154" s="20" t="s">
        <v>21</v>
      </c>
      <c r="C2154" s="20" t="s">
        <v>3837</v>
      </c>
      <c r="D2154" s="20" t="s">
        <v>3861</v>
      </c>
      <c r="E2154" s="20" t="s">
        <v>3862</v>
      </c>
      <c r="F2154" s="20">
        <v>36.434344850000002</v>
      </c>
      <c r="G2154" s="20">
        <v>41.586858409999998</v>
      </c>
      <c r="H2154" s="22">
        <v>7</v>
      </c>
      <c r="I2154" s="22">
        <v>42</v>
      </c>
      <c r="J2154" s="21"/>
      <c r="K2154" s="21"/>
      <c r="L2154" s="21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>
        <v>7</v>
      </c>
      <c r="W2154" s="21"/>
      <c r="X2154" s="21"/>
      <c r="Y2154" s="21"/>
      <c r="Z2154" s="21"/>
      <c r="AA2154" s="21"/>
      <c r="AB2154" s="21"/>
      <c r="AC2154" s="21">
        <v>7</v>
      </c>
      <c r="AD2154" s="21"/>
      <c r="AE2154" s="21"/>
      <c r="AF2154" s="21"/>
      <c r="AG2154" s="21"/>
      <c r="AH2154" s="21"/>
      <c r="AI2154" s="21"/>
      <c r="AJ2154" s="21"/>
      <c r="AK2154" s="21"/>
      <c r="AL2154" s="21"/>
      <c r="AM2154" s="21"/>
      <c r="AN2154" s="21">
        <v>7</v>
      </c>
      <c r="AO2154" s="21"/>
      <c r="AP2154" s="21"/>
      <c r="AQ2154" s="21"/>
      <c r="AR2154" s="21"/>
      <c r="AS2154" s="21"/>
      <c r="AT2154" s="12" t="str">
        <f>HYPERLINK("http://www.openstreetmap.org/?mlat=36.4343&amp;mlon=41.5869&amp;zoom=12#map=12/36.4343/41.5869","Maplink1")</f>
        <v>Maplink1</v>
      </c>
      <c r="AU2154" s="12" t="str">
        <f>HYPERLINK("https://www.google.iq/maps/search/+36.4343,41.5869/@36.4343,41.5869,14z?hl=en","Maplink2")</f>
        <v>Maplink2</v>
      </c>
      <c r="AV2154" s="12" t="str">
        <f>HYPERLINK("http://www.bing.com/maps/?lvl=14&amp;sty=h&amp;cp=36.4343~41.5869&amp;sp=point.36.4343_41.5869","Maplink3")</f>
        <v>Maplink3</v>
      </c>
    </row>
    <row r="2155" spans="1:48" ht="15" customHeight="1" x14ac:dyDescent="0.25">
      <c r="A2155" s="19">
        <v>22490</v>
      </c>
      <c r="B2155" s="20" t="s">
        <v>21</v>
      </c>
      <c r="C2155" s="20" t="s">
        <v>3837</v>
      </c>
      <c r="D2155" s="20" t="s">
        <v>3863</v>
      </c>
      <c r="E2155" s="20" t="s">
        <v>296</v>
      </c>
      <c r="F2155" s="20">
        <v>36.320941619999999</v>
      </c>
      <c r="G2155" s="20">
        <v>41.850862540000001</v>
      </c>
      <c r="H2155" s="22">
        <v>216</v>
      </c>
      <c r="I2155" s="22">
        <v>1296</v>
      </c>
      <c r="J2155" s="21"/>
      <c r="K2155" s="21"/>
      <c r="L2155" s="21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>
        <v>216</v>
      </c>
      <c r="W2155" s="21"/>
      <c r="X2155" s="21"/>
      <c r="Y2155" s="21"/>
      <c r="Z2155" s="21"/>
      <c r="AA2155" s="21"/>
      <c r="AB2155" s="21"/>
      <c r="AC2155" s="21">
        <v>216</v>
      </c>
      <c r="AD2155" s="21"/>
      <c r="AE2155" s="21"/>
      <c r="AF2155" s="21"/>
      <c r="AG2155" s="21"/>
      <c r="AH2155" s="21"/>
      <c r="AI2155" s="21"/>
      <c r="AJ2155" s="21"/>
      <c r="AK2155" s="21"/>
      <c r="AL2155" s="21"/>
      <c r="AM2155" s="21"/>
      <c r="AN2155" s="21">
        <v>216</v>
      </c>
      <c r="AO2155" s="21"/>
      <c r="AP2155" s="21"/>
      <c r="AQ2155" s="21"/>
      <c r="AR2155" s="21"/>
      <c r="AS2155" s="21"/>
      <c r="AT2155" s="12" t="str">
        <f>HYPERLINK("http://www.openstreetmap.org/?mlat=36.3209&amp;mlon=41.8509&amp;zoom=12#map=12/36.3209/41.8509","Maplink1")</f>
        <v>Maplink1</v>
      </c>
      <c r="AU2155" s="12" t="str">
        <f>HYPERLINK("https://www.google.iq/maps/search/+36.3209,41.8509/@36.3209,41.8509,14z?hl=en","Maplink2")</f>
        <v>Maplink2</v>
      </c>
      <c r="AV2155" s="12" t="str">
        <f>HYPERLINK("http://www.bing.com/maps/?lvl=14&amp;sty=h&amp;cp=36.3209~41.8509&amp;sp=point.36.3209_41.8509","Maplink3")</f>
        <v>Maplink3</v>
      </c>
    </row>
    <row r="2156" spans="1:48" ht="15" customHeight="1" x14ac:dyDescent="0.25">
      <c r="A2156" s="19">
        <v>32089</v>
      </c>
      <c r="B2156" s="20" t="s">
        <v>21</v>
      </c>
      <c r="C2156" s="20" t="s">
        <v>3837</v>
      </c>
      <c r="D2156" s="20" t="s">
        <v>3864</v>
      </c>
      <c r="E2156" s="20" t="s">
        <v>3865</v>
      </c>
      <c r="F2156" s="20">
        <v>36.310488900000003</v>
      </c>
      <c r="G2156" s="20">
        <v>41.845618299999998</v>
      </c>
      <c r="H2156" s="22">
        <v>95</v>
      </c>
      <c r="I2156" s="22">
        <v>570</v>
      </c>
      <c r="J2156" s="21"/>
      <c r="K2156" s="21"/>
      <c r="L2156" s="21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>
        <v>95</v>
      </c>
      <c r="W2156" s="21"/>
      <c r="X2156" s="21"/>
      <c r="Y2156" s="21"/>
      <c r="Z2156" s="21"/>
      <c r="AA2156" s="21"/>
      <c r="AB2156" s="21"/>
      <c r="AC2156" s="21">
        <v>95</v>
      </c>
      <c r="AD2156" s="21"/>
      <c r="AE2156" s="21"/>
      <c r="AF2156" s="21"/>
      <c r="AG2156" s="21"/>
      <c r="AH2156" s="21"/>
      <c r="AI2156" s="21"/>
      <c r="AJ2156" s="21"/>
      <c r="AK2156" s="21"/>
      <c r="AL2156" s="21"/>
      <c r="AM2156" s="21"/>
      <c r="AN2156" s="21">
        <v>95</v>
      </c>
      <c r="AO2156" s="21"/>
      <c r="AP2156" s="21"/>
      <c r="AQ2156" s="21"/>
      <c r="AR2156" s="21"/>
      <c r="AS2156" s="21"/>
      <c r="AT2156" s="12" t="str">
        <f>HYPERLINK("http://www.openstreetmap.org/?mlat=36.3105&amp;mlon=41.8456&amp;zoom=12#map=12/36.3105/41.8456","Maplink1")</f>
        <v>Maplink1</v>
      </c>
      <c r="AU2156" s="12" t="str">
        <f>HYPERLINK("https://www.google.iq/maps/search/+36.3105,41.8456/@36.3105,41.8456,14z?hl=en","Maplink2")</f>
        <v>Maplink2</v>
      </c>
      <c r="AV2156" s="12" t="str">
        <f>HYPERLINK("http://www.bing.com/maps/?lvl=14&amp;sty=h&amp;cp=36.3105~41.8456&amp;sp=point.36.3105_41.8456","Maplink3")</f>
        <v>Maplink3</v>
      </c>
    </row>
    <row r="2157" spans="1:48" ht="15" customHeight="1" x14ac:dyDescent="0.25">
      <c r="A2157" s="19">
        <v>23274</v>
      </c>
      <c r="B2157" s="20" t="s">
        <v>21</v>
      </c>
      <c r="C2157" s="20" t="s">
        <v>3837</v>
      </c>
      <c r="D2157" s="20" t="s">
        <v>3866</v>
      </c>
      <c r="E2157" s="20" t="s">
        <v>1359</v>
      </c>
      <c r="F2157" s="20">
        <v>36.325020000000002</v>
      </c>
      <c r="G2157" s="20">
        <v>41.873069999999998</v>
      </c>
      <c r="H2157" s="22">
        <v>135</v>
      </c>
      <c r="I2157" s="22">
        <v>810</v>
      </c>
      <c r="J2157" s="21"/>
      <c r="K2157" s="21"/>
      <c r="L2157" s="21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>
        <v>135</v>
      </c>
      <c r="W2157" s="21"/>
      <c r="X2157" s="21"/>
      <c r="Y2157" s="21"/>
      <c r="Z2157" s="21"/>
      <c r="AA2157" s="21"/>
      <c r="AB2157" s="21"/>
      <c r="AC2157" s="21">
        <v>135</v>
      </c>
      <c r="AD2157" s="21"/>
      <c r="AE2157" s="21"/>
      <c r="AF2157" s="21"/>
      <c r="AG2157" s="21"/>
      <c r="AH2157" s="21"/>
      <c r="AI2157" s="21"/>
      <c r="AJ2157" s="21"/>
      <c r="AK2157" s="21"/>
      <c r="AL2157" s="21"/>
      <c r="AM2157" s="21"/>
      <c r="AN2157" s="21">
        <v>135</v>
      </c>
      <c r="AO2157" s="21"/>
      <c r="AP2157" s="21"/>
      <c r="AQ2157" s="21"/>
      <c r="AR2157" s="21"/>
      <c r="AS2157" s="21"/>
      <c r="AT2157" s="12" t="str">
        <f>HYPERLINK("http://www.openstreetmap.org/?mlat=36.325&amp;mlon=41.8731&amp;zoom=12#map=12/36.325/41.8731","Maplink1")</f>
        <v>Maplink1</v>
      </c>
      <c r="AU2157" s="12" t="str">
        <f>HYPERLINK("https://www.google.iq/maps/search/+36.325,41.8731/@36.325,41.8731,14z?hl=en","Maplink2")</f>
        <v>Maplink2</v>
      </c>
      <c r="AV2157" s="12" t="str">
        <f>HYPERLINK("http://www.bing.com/maps/?lvl=14&amp;sty=h&amp;cp=36.325~41.8731&amp;sp=point.36.325_41.8731","Maplink3")</f>
        <v>Maplink3</v>
      </c>
    </row>
    <row r="2158" spans="1:48" ht="15" customHeight="1" x14ac:dyDescent="0.25">
      <c r="A2158" s="19">
        <v>23273</v>
      </c>
      <c r="B2158" s="20" t="s">
        <v>21</v>
      </c>
      <c r="C2158" s="20" t="s">
        <v>3837</v>
      </c>
      <c r="D2158" s="20" t="s">
        <v>3355</v>
      </c>
      <c r="E2158" s="20" t="s">
        <v>121</v>
      </c>
      <c r="F2158" s="20">
        <v>36.318109999999997</v>
      </c>
      <c r="G2158" s="20">
        <v>41.864339999999999</v>
      </c>
      <c r="H2158" s="22">
        <v>262</v>
      </c>
      <c r="I2158" s="22">
        <v>1572</v>
      </c>
      <c r="J2158" s="21"/>
      <c r="K2158" s="21"/>
      <c r="L2158" s="21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>
        <v>262</v>
      </c>
      <c r="W2158" s="21"/>
      <c r="X2158" s="21"/>
      <c r="Y2158" s="21"/>
      <c r="Z2158" s="21"/>
      <c r="AA2158" s="21"/>
      <c r="AB2158" s="21"/>
      <c r="AC2158" s="21">
        <v>262</v>
      </c>
      <c r="AD2158" s="21"/>
      <c r="AE2158" s="21"/>
      <c r="AF2158" s="21"/>
      <c r="AG2158" s="21"/>
      <c r="AH2158" s="21"/>
      <c r="AI2158" s="21"/>
      <c r="AJ2158" s="21"/>
      <c r="AK2158" s="21"/>
      <c r="AL2158" s="21"/>
      <c r="AM2158" s="21"/>
      <c r="AN2158" s="21">
        <v>262</v>
      </c>
      <c r="AO2158" s="21"/>
      <c r="AP2158" s="21"/>
      <c r="AQ2158" s="21"/>
      <c r="AR2158" s="21"/>
      <c r="AS2158" s="21"/>
      <c r="AT2158" s="12" t="str">
        <f>HYPERLINK("http://www.openstreetmap.org/?mlat=36.3181&amp;mlon=41.8643&amp;zoom=12#map=12/36.3181/41.8643","Maplink1")</f>
        <v>Maplink1</v>
      </c>
      <c r="AU2158" s="12" t="str">
        <f>HYPERLINK("https://www.google.iq/maps/search/+36.3181,41.8643/@36.3181,41.8643,14z?hl=en","Maplink2")</f>
        <v>Maplink2</v>
      </c>
      <c r="AV2158" s="12" t="str">
        <f>HYPERLINK("http://www.bing.com/maps/?lvl=14&amp;sty=h&amp;cp=36.3181~41.8643&amp;sp=point.36.3181_41.8643","Maplink3")</f>
        <v>Maplink3</v>
      </c>
    </row>
    <row r="2159" spans="1:48" ht="15" customHeight="1" x14ac:dyDescent="0.25">
      <c r="A2159" s="19">
        <v>32090</v>
      </c>
      <c r="B2159" s="20" t="s">
        <v>21</v>
      </c>
      <c r="C2159" s="20" t="s">
        <v>3837</v>
      </c>
      <c r="D2159" s="20" t="s">
        <v>5540</v>
      </c>
      <c r="E2159" s="20" t="s">
        <v>5541</v>
      </c>
      <c r="F2159" s="20">
        <v>36.325188400000002</v>
      </c>
      <c r="G2159" s="20">
        <v>41.865492099999997</v>
      </c>
      <c r="H2159" s="22">
        <v>105</v>
      </c>
      <c r="I2159" s="22">
        <v>630</v>
      </c>
      <c r="J2159" s="21"/>
      <c r="K2159" s="21"/>
      <c r="L2159" s="21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>
        <v>105</v>
      </c>
      <c r="W2159" s="21"/>
      <c r="X2159" s="21"/>
      <c r="Y2159" s="21"/>
      <c r="Z2159" s="21"/>
      <c r="AA2159" s="21"/>
      <c r="AB2159" s="21"/>
      <c r="AC2159" s="21">
        <v>105</v>
      </c>
      <c r="AD2159" s="21"/>
      <c r="AE2159" s="21"/>
      <c r="AF2159" s="21"/>
      <c r="AG2159" s="21"/>
      <c r="AH2159" s="21"/>
      <c r="AI2159" s="21"/>
      <c r="AJ2159" s="21"/>
      <c r="AK2159" s="21"/>
      <c r="AL2159" s="21"/>
      <c r="AM2159" s="21"/>
      <c r="AN2159" s="21">
        <v>105</v>
      </c>
      <c r="AO2159" s="21"/>
      <c r="AP2159" s="21"/>
      <c r="AQ2159" s="21"/>
      <c r="AR2159" s="21"/>
      <c r="AS2159" s="21"/>
      <c r="AT2159" s="12" t="s">
        <v>5542</v>
      </c>
      <c r="AU2159" s="12" t="s">
        <v>5542</v>
      </c>
      <c r="AV2159" s="12" t="s">
        <v>5542</v>
      </c>
    </row>
    <row r="2160" spans="1:48" ht="15" customHeight="1" x14ac:dyDescent="0.25">
      <c r="A2160" s="19">
        <v>22487</v>
      </c>
      <c r="B2160" s="20" t="s">
        <v>21</v>
      </c>
      <c r="C2160" s="20" t="s">
        <v>3837</v>
      </c>
      <c r="D2160" s="20" t="s">
        <v>3193</v>
      </c>
      <c r="E2160" s="20" t="s">
        <v>3194</v>
      </c>
      <c r="F2160" s="20">
        <v>36.31653</v>
      </c>
      <c r="G2160" s="20">
        <v>41.855130000000003</v>
      </c>
      <c r="H2160" s="22">
        <v>168</v>
      </c>
      <c r="I2160" s="22">
        <v>1008</v>
      </c>
      <c r="J2160" s="21"/>
      <c r="K2160" s="21"/>
      <c r="L2160" s="21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>
        <v>168</v>
      </c>
      <c r="W2160" s="21"/>
      <c r="X2160" s="21"/>
      <c r="Y2160" s="21"/>
      <c r="Z2160" s="21"/>
      <c r="AA2160" s="21"/>
      <c r="AB2160" s="21"/>
      <c r="AC2160" s="21">
        <v>168</v>
      </c>
      <c r="AD2160" s="21"/>
      <c r="AE2160" s="21"/>
      <c r="AF2160" s="21"/>
      <c r="AG2160" s="21"/>
      <c r="AH2160" s="21"/>
      <c r="AI2160" s="21"/>
      <c r="AJ2160" s="21"/>
      <c r="AK2160" s="21"/>
      <c r="AL2160" s="21"/>
      <c r="AM2160" s="21"/>
      <c r="AN2160" s="21">
        <v>168</v>
      </c>
      <c r="AO2160" s="21"/>
      <c r="AP2160" s="21"/>
      <c r="AQ2160" s="21"/>
      <c r="AR2160" s="21"/>
      <c r="AS2160" s="21"/>
      <c r="AT2160" s="12" t="str">
        <f>HYPERLINK("http://www.openstreetmap.org/?mlat=36.3165&amp;mlon=41.8551&amp;zoom=12#map=12/36.3165/41.8551","Maplink1")</f>
        <v>Maplink1</v>
      </c>
      <c r="AU2160" s="12" t="str">
        <f>HYPERLINK("https://www.google.iq/maps/search/+36.3165,41.8551/@36.3165,41.8551,14z?hl=en","Maplink2")</f>
        <v>Maplink2</v>
      </c>
      <c r="AV2160" s="12" t="str">
        <f>HYPERLINK("http://www.bing.com/maps/?lvl=14&amp;sty=h&amp;cp=36.3165~41.8551&amp;sp=point.36.3165_41.8551","Maplink3")</f>
        <v>Maplink3</v>
      </c>
    </row>
    <row r="2161" spans="1:48" ht="15" customHeight="1" x14ac:dyDescent="0.25">
      <c r="A2161" s="19">
        <v>22484</v>
      </c>
      <c r="B2161" s="20" t="s">
        <v>21</v>
      </c>
      <c r="C2161" s="20" t="s">
        <v>3837</v>
      </c>
      <c r="D2161" s="20" t="s">
        <v>3867</v>
      </c>
      <c r="E2161" s="20" t="s">
        <v>3868</v>
      </c>
      <c r="F2161" s="20">
        <v>36.332979999999999</v>
      </c>
      <c r="G2161" s="20">
        <v>41.8568</v>
      </c>
      <c r="H2161" s="22">
        <v>79</v>
      </c>
      <c r="I2161" s="22">
        <v>474</v>
      </c>
      <c r="J2161" s="21"/>
      <c r="K2161" s="21"/>
      <c r="L2161" s="21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>
        <v>79</v>
      </c>
      <c r="W2161" s="21"/>
      <c r="X2161" s="21"/>
      <c r="Y2161" s="21"/>
      <c r="Z2161" s="21"/>
      <c r="AA2161" s="21"/>
      <c r="AB2161" s="21"/>
      <c r="AC2161" s="21">
        <v>79</v>
      </c>
      <c r="AD2161" s="21"/>
      <c r="AE2161" s="21"/>
      <c r="AF2161" s="21"/>
      <c r="AG2161" s="21"/>
      <c r="AH2161" s="21"/>
      <c r="AI2161" s="21"/>
      <c r="AJ2161" s="21"/>
      <c r="AK2161" s="21"/>
      <c r="AL2161" s="21"/>
      <c r="AM2161" s="21"/>
      <c r="AN2161" s="21">
        <v>79</v>
      </c>
      <c r="AO2161" s="21"/>
      <c r="AP2161" s="21"/>
      <c r="AQ2161" s="21"/>
      <c r="AR2161" s="21"/>
      <c r="AS2161" s="21"/>
      <c r="AT2161" s="12" t="str">
        <f>HYPERLINK("http://www.openstreetmap.org/?mlat=36.333&amp;mlon=41.8568&amp;zoom=12#map=12/36.333/41.8568","Maplink1")</f>
        <v>Maplink1</v>
      </c>
      <c r="AU2161" s="12" t="str">
        <f>HYPERLINK("https://www.google.iq/maps/search/+36.333,41.8568/@36.333,41.8568,14z?hl=en","Maplink2")</f>
        <v>Maplink2</v>
      </c>
      <c r="AV2161" s="12" t="str">
        <f>HYPERLINK("http://www.bing.com/maps/?lvl=14&amp;sty=h&amp;cp=36.333~41.8568&amp;sp=point.36.333_41.8568","Maplink3")</f>
        <v>Maplink3</v>
      </c>
    </row>
    <row r="2162" spans="1:48" ht="15" customHeight="1" x14ac:dyDescent="0.25">
      <c r="A2162" s="19">
        <v>29676</v>
      </c>
      <c r="B2162" s="20" t="s">
        <v>21</v>
      </c>
      <c r="C2162" s="20" t="s">
        <v>3837</v>
      </c>
      <c r="D2162" s="20" t="s">
        <v>5543</v>
      </c>
      <c r="E2162" s="20" t="s">
        <v>5544</v>
      </c>
      <c r="F2162" s="20">
        <v>36.321826960000003</v>
      </c>
      <c r="G2162" s="20">
        <v>41.874680419999997</v>
      </c>
      <c r="H2162" s="22">
        <v>48</v>
      </c>
      <c r="I2162" s="22">
        <v>288</v>
      </c>
      <c r="J2162" s="21"/>
      <c r="K2162" s="21"/>
      <c r="L2162" s="21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>
        <v>48</v>
      </c>
      <c r="W2162" s="21"/>
      <c r="X2162" s="21"/>
      <c r="Y2162" s="21"/>
      <c r="Z2162" s="21"/>
      <c r="AA2162" s="21"/>
      <c r="AB2162" s="21"/>
      <c r="AC2162" s="21">
        <v>48</v>
      </c>
      <c r="AD2162" s="21"/>
      <c r="AE2162" s="21"/>
      <c r="AF2162" s="21"/>
      <c r="AG2162" s="21"/>
      <c r="AH2162" s="21"/>
      <c r="AI2162" s="21"/>
      <c r="AJ2162" s="21"/>
      <c r="AK2162" s="21"/>
      <c r="AL2162" s="21"/>
      <c r="AM2162" s="21"/>
      <c r="AN2162" s="21">
        <v>48</v>
      </c>
      <c r="AO2162" s="21"/>
      <c r="AP2162" s="21"/>
      <c r="AQ2162" s="21"/>
      <c r="AR2162" s="21"/>
      <c r="AS2162" s="21"/>
      <c r="AT2162" s="12" t="str">
        <f>HYPERLINK("http://www.openstreetmap.org/?mlat=36.3218&amp;mlon=41.8747&amp;zoom=12#map=12/36.3218/41.8747","Maplink1")</f>
        <v>Maplink1</v>
      </c>
      <c r="AU2162" s="12" t="str">
        <f>HYPERLINK("https://www.google.iq/maps/search/+36.3218,41.8747/@36.3218,41.8747,14z?hl=en","Maplink2")</f>
        <v>Maplink2</v>
      </c>
      <c r="AV2162" s="12" t="str">
        <f>HYPERLINK("http://www.bing.com/maps/?lvl=14&amp;sty=h&amp;cp=36.3218~41.8747&amp;sp=point.36.3218_41.8747","Maplink3")</f>
        <v>Maplink3</v>
      </c>
    </row>
    <row r="2163" spans="1:48" ht="15" customHeight="1" x14ac:dyDescent="0.25">
      <c r="A2163" s="19">
        <v>27288</v>
      </c>
      <c r="B2163" s="20" t="s">
        <v>21</v>
      </c>
      <c r="C2163" s="20" t="s">
        <v>3837</v>
      </c>
      <c r="D2163" s="20" t="s">
        <v>3869</v>
      </c>
      <c r="E2163" s="20" t="s">
        <v>3870</v>
      </c>
      <c r="F2163" s="20">
        <v>36.376993800000001</v>
      </c>
      <c r="G2163" s="20">
        <v>41.68756913</v>
      </c>
      <c r="H2163" s="22">
        <v>89</v>
      </c>
      <c r="I2163" s="22">
        <v>534</v>
      </c>
      <c r="J2163" s="21"/>
      <c r="K2163" s="21"/>
      <c r="L2163" s="21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>
        <v>89</v>
      </c>
      <c r="W2163" s="21"/>
      <c r="X2163" s="21"/>
      <c r="Y2163" s="21"/>
      <c r="Z2163" s="21"/>
      <c r="AA2163" s="21"/>
      <c r="AB2163" s="21"/>
      <c r="AC2163" s="21">
        <v>89</v>
      </c>
      <c r="AD2163" s="21"/>
      <c r="AE2163" s="21"/>
      <c r="AF2163" s="21"/>
      <c r="AG2163" s="21"/>
      <c r="AH2163" s="21"/>
      <c r="AI2163" s="21"/>
      <c r="AJ2163" s="21"/>
      <c r="AK2163" s="21"/>
      <c r="AL2163" s="21"/>
      <c r="AM2163" s="21"/>
      <c r="AN2163" s="21">
        <v>89</v>
      </c>
      <c r="AO2163" s="21"/>
      <c r="AP2163" s="21"/>
      <c r="AQ2163" s="21"/>
      <c r="AR2163" s="21"/>
      <c r="AS2163" s="21"/>
      <c r="AT2163" s="12" t="str">
        <f>HYPERLINK("http://www.openstreetmap.org/?mlat=36.377&amp;mlon=41.6876&amp;zoom=12#map=12/36.377/41.6876","Maplink1")</f>
        <v>Maplink1</v>
      </c>
      <c r="AU2163" s="12" t="str">
        <f>HYPERLINK("https://www.google.iq/maps/search/+36.377,41.6876/@36.377,41.6876,14z?hl=en","Maplink2")</f>
        <v>Maplink2</v>
      </c>
      <c r="AV2163" s="12" t="str">
        <f>HYPERLINK("http://www.bing.com/maps/?lvl=14&amp;sty=h&amp;cp=36.377~41.6876&amp;sp=point.36.377_41.6876","Maplink3")</f>
        <v>Maplink3</v>
      </c>
    </row>
    <row r="2164" spans="1:48" ht="15" customHeight="1" x14ac:dyDescent="0.25">
      <c r="A2164" s="19">
        <v>17845</v>
      </c>
      <c r="B2164" s="20" t="s">
        <v>21</v>
      </c>
      <c r="C2164" s="20" t="s">
        <v>3837</v>
      </c>
      <c r="D2164" s="20" t="s">
        <v>3871</v>
      </c>
      <c r="E2164" s="20" t="s">
        <v>3872</v>
      </c>
      <c r="F2164" s="20">
        <v>36.46575215</v>
      </c>
      <c r="G2164" s="20">
        <v>41.627610390000001</v>
      </c>
      <c r="H2164" s="22">
        <v>500</v>
      </c>
      <c r="I2164" s="22">
        <v>3000</v>
      </c>
      <c r="J2164" s="21"/>
      <c r="K2164" s="21"/>
      <c r="L2164" s="21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>
        <v>500</v>
      </c>
      <c r="W2164" s="21"/>
      <c r="X2164" s="21"/>
      <c r="Y2164" s="21"/>
      <c r="Z2164" s="21"/>
      <c r="AA2164" s="21"/>
      <c r="AB2164" s="21"/>
      <c r="AC2164" s="21">
        <v>500</v>
      </c>
      <c r="AD2164" s="21"/>
      <c r="AE2164" s="21"/>
      <c r="AF2164" s="21"/>
      <c r="AG2164" s="21"/>
      <c r="AH2164" s="21"/>
      <c r="AI2164" s="21"/>
      <c r="AJ2164" s="21"/>
      <c r="AK2164" s="21"/>
      <c r="AL2164" s="21"/>
      <c r="AM2164" s="21"/>
      <c r="AN2164" s="21">
        <v>500</v>
      </c>
      <c r="AO2164" s="21"/>
      <c r="AP2164" s="21"/>
      <c r="AQ2164" s="21"/>
      <c r="AR2164" s="21"/>
      <c r="AS2164" s="21"/>
      <c r="AT2164" s="12" t="str">
        <f>HYPERLINK("http://www.openstreetmap.org/?mlat=36.4658&amp;mlon=41.6276&amp;zoom=12#map=12/36.4658/41.6276","Maplink1")</f>
        <v>Maplink1</v>
      </c>
      <c r="AU2164" s="12" t="str">
        <f>HYPERLINK("https://www.google.iq/maps/search/+36.4658,41.6276/@36.4658,41.6276,14z?hl=en","Maplink2")</f>
        <v>Maplink2</v>
      </c>
      <c r="AV2164" s="12" t="str">
        <f>HYPERLINK("http://www.bing.com/maps/?lvl=14&amp;sty=h&amp;cp=36.4658~41.6276&amp;sp=point.36.4658_41.6276","Maplink3")</f>
        <v>Maplink3</v>
      </c>
    </row>
    <row r="2165" spans="1:48" ht="15" customHeight="1" x14ac:dyDescent="0.25">
      <c r="A2165" s="19">
        <v>27358</v>
      </c>
      <c r="B2165" s="20" t="s">
        <v>21</v>
      </c>
      <c r="C2165" s="20" t="s">
        <v>3837</v>
      </c>
      <c r="D2165" s="20" t="s">
        <v>3873</v>
      </c>
      <c r="E2165" s="20" t="s">
        <v>3874</v>
      </c>
      <c r="F2165" s="20">
        <v>36.36955837</v>
      </c>
      <c r="G2165" s="20">
        <v>41.72378561</v>
      </c>
      <c r="H2165" s="22">
        <v>40</v>
      </c>
      <c r="I2165" s="22">
        <v>240</v>
      </c>
      <c r="J2165" s="21"/>
      <c r="K2165" s="21"/>
      <c r="L2165" s="21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>
        <v>40</v>
      </c>
      <c r="W2165" s="21"/>
      <c r="X2165" s="21"/>
      <c r="Y2165" s="21"/>
      <c r="Z2165" s="21"/>
      <c r="AA2165" s="21"/>
      <c r="AB2165" s="21"/>
      <c r="AC2165" s="21">
        <v>12</v>
      </c>
      <c r="AD2165" s="21"/>
      <c r="AE2165" s="21">
        <v>28</v>
      </c>
      <c r="AF2165" s="21"/>
      <c r="AG2165" s="21"/>
      <c r="AH2165" s="21"/>
      <c r="AI2165" s="21"/>
      <c r="AJ2165" s="21"/>
      <c r="AK2165" s="21"/>
      <c r="AL2165" s="21"/>
      <c r="AM2165" s="21"/>
      <c r="AN2165" s="21">
        <v>40</v>
      </c>
      <c r="AO2165" s="21"/>
      <c r="AP2165" s="21"/>
      <c r="AQ2165" s="21"/>
      <c r="AR2165" s="21"/>
      <c r="AS2165" s="21"/>
      <c r="AT2165" s="12" t="str">
        <f>HYPERLINK("http://www.openstreetmap.org/?mlat=36.3696&amp;mlon=41.7238&amp;zoom=12#map=12/36.3696/41.7238","Maplink1")</f>
        <v>Maplink1</v>
      </c>
      <c r="AU2165" s="12" t="str">
        <f>HYPERLINK("https://www.google.iq/maps/search/+36.3696,41.7238/@36.3696,41.7238,14z?hl=en","Maplink2")</f>
        <v>Maplink2</v>
      </c>
      <c r="AV2165" s="12" t="str">
        <f>HYPERLINK("http://www.bing.com/maps/?lvl=14&amp;sty=h&amp;cp=36.3696~41.7238&amp;sp=point.36.3696_41.7238","Maplink3")</f>
        <v>Maplink3</v>
      </c>
    </row>
    <row r="2166" spans="1:48" ht="15" customHeight="1" x14ac:dyDescent="0.25">
      <c r="A2166" s="19">
        <v>27364</v>
      </c>
      <c r="B2166" s="20" t="s">
        <v>21</v>
      </c>
      <c r="C2166" s="20" t="s">
        <v>3837</v>
      </c>
      <c r="D2166" s="20" t="s">
        <v>3875</v>
      </c>
      <c r="E2166" s="20" t="s">
        <v>3876</v>
      </c>
      <c r="F2166" s="20">
        <v>36.377903250000003</v>
      </c>
      <c r="G2166" s="20">
        <v>41.698554170000001</v>
      </c>
      <c r="H2166" s="22">
        <v>110</v>
      </c>
      <c r="I2166" s="22">
        <v>660</v>
      </c>
      <c r="J2166" s="21"/>
      <c r="K2166" s="21"/>
      <c r="L2166" s="21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>
        <v>110</v>
      </c>
      <c r="W2166" s="21"/>
      <c r="X2166" s="21"/>
      <c r="Y2166" s="21"/>
      <c r="Z2166" s="21"/>
      <c r="AA2166" s="21"/>
      <c r="AB2166" s="21"/>
      <c r="AC2166" s="21">
        <v>17</v>
      </c>
      <c r="AD2166" s="21"/>
      <c r="AE2166" s="21"/>
      <c r="AF2166" s="21"/>
      <c r="AG2166" s="21"/>
      <c r="AH2166" s="21"/>
      <c r="AI2166" s="21"/>
      <c r="AJ2166" s="21">
        <v>93</v>
      </c>
      <c r="AK2166" s="21"/>
      <c r="AL2166" s="21"/>
      <c r="AM2166" s="21"/>
      <c r="AN2166" s="21">
        <v>110</v>
      </c>
      <c r="AO2166" s="21"/>
      <c r="AP2166" s="21"/>
      <c r="AQ2166" s="21"/>
      <c r="AR2166" s="21"/>
      <c r="AS2166" s="21"/>
      <c r="AT2166" s="12" t="str">
        <f>HYPERLINK("http://www.openstreetmap.org/?mlat=36.3779&amp;mlon=41.6986&amp;zoom=12#map=12/36.3779/41.6986","Maplink1")</f>
        <v>Maplink1</v>
      </c>
      <c r="AU2166" s="12" t="str">
        <f>HYPERLINK("https://www.google.iq/maps/search/+36.3779,41.6986/@36.3779,41.6986,14z?hl=en","Maplink2")</f>
        <v>Maplink2</v>
      </c>
      <c r="AV2166" s="12" t="str">
        <f>HYPERLINK("http://www.bing.com/maps/?lvl=14&amp;sty=h&amp;cp=36.3779~41.6986&amp;sp=point.36.3779_41.6986","Maplink3")</f>
        <v>Maplink3</v>
      </c>
    </row>
    <row r="2167" spans="1:48" ht="15" customHeight="1" x14ac:dyDescent="0.25">
      <c r="A2167" s="19">
        <v>27363</v>
      </c>
      <c r="B2167" s="20" t="s">
        <v>21</v>
      </c>
      <c r="C2167" s="20" t="s">
        <v>3837</v>
      </c>
      <c r="D2167" s="20" t="s">
        <v>3877</v>
      </c>
      <c r="E2167" s="20" t="s">
        <v>3878</v>
      </c>
      <c r="F2167" s="20">
        <v>36.417146760000001</v>
      </c>
      <c r="G2167" s="20">
        <v>41.883773150000003</v>
      </c>
      <c r="H2167" s="22">
        <v>23</v>
      </c>
      <c r="I2167" s="22">
        <v>138</v>
      </c>
      <c r="J2167" s="21"/>
      <c r="K2167" s="21"/>
      <c r="L2167" s="21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>
        <v>23</v>
      </c>
      <c r="W2167" s="21"/>
      <c r="X2167" s="21"/>
      <c r="Y2167" s="21"/>
      <c r="Z2167" s="21"/>
      <c r="AA2167" s="21"/>
      <c r="AB2167" s="21"/>
      <c r="AC2167" s="21">
        <v>3</v>
      </c>
      <c r="AD2167" s="21"/>
      <c r="AE2167" s="21">
        <v>15</v>
      </c>
      <c r="AF2167" s="21"/>
      <c r="AG2167" s="21"/>
      <c r="AH2167" s="21"/>
      <c r="AI2167" s="21"/>
      <c r="AJ2167" s="21">
        <v>5</v>
      </c>
      <c r="AK2167" s="21"/>
      <c r="AL2167" s="21"/>
      <c r="AM2167" s="21"/>
      <c r="AN2167" s="21">
        <v>23</v>
      </c>
      <c r="AO2167" s="21"/>
      <c r="AP2167" s="21"/>
      <c r="AQ2167" s="21"/>
      <c r="AR2167" s="21"/>
      <c r="AS2167" s="21"/>
      <c r="AT2167" s="12" t="str">
        <f>HYPERLINK("http://www.openstreetmap.org/?mlat=36.4171&amp;mlon=41.8838&amp;zoom=12#map=12/36.4171/41.8838","Maplink1")</f>
        <v>Maplink1</v>
      </c>
      <c r="AU2167" s="12" t="str">
        <f>HYPERLINK("https://www.google.iq/maps/search/+36.4171,41.8838/@36.4171,41.8838,14z?hl=en","Maplink2")</f>
        <v>Maplink2</v>
      </c>
      <c r="AV2167" s="12" t="str">
        <f>HYPERLINK("http://www.bing.com/maps/?lvl=14&amp;sty=h&amp;cp=36.4171~41.8838&amp;sp=point.36.4171_41.8838","Maplink3")</f>
        <v>Maplink3</v>
      </c>
    </row>
    <row r="2168" spans="1:48" ht="15" customHeight="1" x14ac:dyDescent="0.25">
      <c r="A2168" s="19">
        <v>17694</v>
      </c>
      <c r="B2168" s="20" t="s">
        <v>21</v>
      </c>
      <c r="C2168" s="20" t="s">
        <v>3837</v>
      </c>
      <c r="D2168" s="20" t="s">
        <v>3879</v>
      </c>
      <c r="E2168" s="20" t="s">
        <v>3880</v>
      </c>
      <c r="F2168" s="20">
        <v>36.440846270000002</v>
      </c>
      <c r="G2168" s="20">
        <v>41.76676879</v>
      </c>
      <c r="H2168" s="22">
        <v>3</v>
      </c>
      <c r="I2168" s="22">
        <v>18</v>
      </c>
      <c r="J2168" s="21"/>
      <c r="K2168" s="21"/>
      <c r="L2168" s="21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>
        <v>3</v>
      </c>
      <c r="W2168" s="21"/>
      <c r="X2168" s="21"/>
      <c r="Y2168" s="21"/>
      <c r="Z2168" s="21"/>
      <c r="AA2168" s="21"/>
      <c r="AB2168" s="21"/>
      <c r="AC2168" s="21">
        <v>3</v>
      </c>
      <c r="AD2168" s="21"/>
      <c r="AE2168" s="21"/>
      <c r="AF2168" s="21"/>
      <c r="AG2168" s="21"/>
      <c r="AH2168" s="21"/>
      <c r="AI2168" s="21"/>
      <c r="AJ2168" s="21"/>
      <c r="AK2168" s="21"/>
      <c r="AL2168" s="21"/>
      <c r="AM2168" s="21"/>
      <c r="AN2168" s="21">
        <v>3</v>
      </c>
      <c r="AO2168" s="21"/>
      <c r="AP2168" s="21"/>
      <c r="AQ2168" s="21"/>
      <c r="AR2168" s="21"/>
      <c r="AS2168" s="21"/>
      <c r="AT2168" s="12" t="str">
        <f>HYPERLINK("http://www.openstreetmap.org/?mlat=36.4408&amp;mlon=41.7668&amp;zoom=12#map=12/36.4408/41.7668","Maplink1")</f>
        <v>Maplink1</v>
      </c>
      <c r="AU2168" s="12" t="str">
        <f>HYPERLINK("https://www.google.iq/maps/search/+36.4408,41.7668/@36.4408,41.7668,14z?hl=en","Maplink2")</f>
        <v>Maplink2</v>
      </c>
      <c r="AV2168" s="12" t="str">
        <f>HYPERLINK("http://www.bing.com/maps/?lvl=14&amp;sty=h&amp;cp=36.4408~41.7668&amp;sp=point.36.4408_41.7668","Maplink3")</f>
        <v>Maplink3</v>
      </c>
    </row>
    <row r="2169" spans="1:48" ht="15" customHeight="1" x14ac:dyDescent="0.25">
      <c r="A2169" s="19">
        <v>23667</v>
      </c>
      <c r="B2169" s="20" t="s">
        <v>21</v>
      </c>
      <c r="C2169" s="20" t="s">
        <v>3837</v>
      </c>
      <c r="D2169" s="20" t="s">
        <v>3881</v>
      </c>
      <c r="E2169" s="20" t="s">
        <v>3882</v>
      </c>
      <c r="F2169" s="20">
        <v>36.316110000000002</v>
      </c>
      <c r="G2169" s="20">
        <v>41.881909999999998</v>
      </c>
      <c r="H2169" s="22">
        <v>296</v>
      </c>
      <c r="I2169" s="22">
        <v>1776</v>
      </c>
      <c r="J2169" s="21"/>
      <c r="K2169" s="21"/>
      <c r="L2169" s="21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>
        <v>296</v>
      </c>
      <c r="W2169" s="21"/>
      <c r="X2169" s="21"/>
      <c r="Y2169" s="21"/>
      <c r="Z2169" s="21"/>
      <c r="AA2169" s="21"/>
      <c r="AB2169" s="21"/>
      <c r="AC2169" s="21">
        <v>296</v>
      </c>
      <c r="AD2169" s="21"/>
      <c r="AE2169" s="21"/>
      <c r="AF2169" s="21"/>
      <c r="AG2169" s="21"/>
      <c r="AH2169" s="21"/>
      <c r="AI2169" s="21"/>
      <c r="AJ2169" s="21"/>
      <c r="AK2169" s="21"/>
      <c r="AL2169" s="21"/>
      <c r="AM2169" s="21"/>
      <c r="AN2169" s="21">
        <v>296</v>
      </c>
      <c r="AO2169" s="21"/>
      <c r="AP2169" s="21"/>
      <c r="AQ2169" s="21"/>
      <c r="AR2169" s="21"/>
      <c r="AS2169" s="21"/>
      <c r="AT2169" s="12" t="str">
        <f>HYPERLINK("http://www.openstreetmap.org/?mlat=36.3161&amp;mlon=41.8819&amp;zoom=12#map=12/36.3161/41.8819","Maplink1")</f>
        <v>Maplink1</v>
      </c>
      <c r="AU2169" s="12" t="str">
        <f>HYPERLINK("https://www.google.iq/maps/search/+36.3161,41.8819/@36.3161,41.8819,14z?hl=en","Maplink2")</f>
        <v>Maplink2</v>
      </c>
      <c r="AV2169" s="12" t="str">
        <f>HYPERLINK("http://www.bing.com/maps/?lvl=14&amp;sty=h&amp;cp=36.3161~41.8819&amp;sp=point.36.3161_41.8819","Maplink3")</f>
        <v>Maplink3</v>
      </c>
    </row>
    <row r="2170" spans="1:48" ht="15" customHeight="1" x14ac:dyDescent="0.25">
      <c r="A2170" s="19">
        <v>27362</v>
      </c>
      <c r="B2170" s="20" t="s">
        <v>21</v>
      </c>
      <c r="C2170" s="20" t="s">
        <v>3837</v>
      </c>
      <c r="D2170" s="20" t="s">
        <v>3883</v>
      </c>
      <c r="E2170" s="20" t="s">
        <v>3884</v>
      </c>
      <c r="F2170" s="20">
        <v>36.374150378899998</v>
      </c>
      <c r="G2170" s="20">
        <v>41.749377557599999</v>
      </c>
      <c r="H2170" s="22">
        <v>224</v>
      </c>
      <c r="I2170" s="22">
        <v>1344</v>
      </c>
      <c r="J2170" s="21"/>
      <c r="K2170" s="21"/>
      <c r="L2170" s="21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>
        <v>224</v>
      </c>
      <c r="W2170" s="21"/>
      <c r="X2170" s="21"/>
      <c r="Y2170" s="21"/>
      <c r="Z2170" s="21"/>
      <c r="AA2170" s="21"/>
      <c r="AB2170" s="21"/>
      <c r="AC2170" s="21"/>
      <c r="AD2170" s="21"/>
      <c r="AE2170" s="21">
        <v>224</v>
      </c>
      <c r="AF2170" s="21"/>
      <c r="AG2170" s="21"/>
      <c r="AH2170" s="21"/>
      <c r="AI2170" s="21"/>
      <c r="AJ2170" s="21"/>
      <c r="AK2170" s="21"/>
      <c r="AL2170" s="21"/>
      <c r="AM2170" s="21"/>
      <c r="AN2170" s="21">
        <v>224</v>
      </c>
      <c r="AO2170" s="21"/>
      <c r="AP2170" s="21"/>
      <c r="AQ2170" s="21"/>
      <c r="AR2170" s="21"/>
      <c r="AS2170" s="21"/>
      <c r="AT2170" s="12" t="str">
        <f>HYPERLINK("http://www.openstreetmap.org/?mlat=36.3742&amp;mlon=41.7494&amp;zoom=12#map=12/36.3742/41.7494","Maplink1")</f>
        <v>Maplink1</v>
      </c>
      <c r="AU2170" s="12" t="str">
        <f>HYPERLINK("https://www.google.iq/maps/search/+36.3742,41.7494/@36.3742,41.7494,14z?hl=en","Maplink2")</f>
        <v>Maplink2</v>
      </c>
      <c r="AV2170" s="12" t="str">
        <f>HYPERLINK("http://www.bing.com/maps/?lvl=14&amp;sty=h&amp;cp=36.3742~41.7494&amp;sp=point.36.3742_41.7494","Maplink3")</f>
        <v>Maplink3</v>
      </c>
    </row>
    <row r="2171" spans="1:48" ht="15" customHeight="1" x14ac:dyDescent="0.25">
      <c r="A2171" s="19">
        <v>27359</v>
      </c>
      <c r="B2171" s="20" t="s">
        <v>21</v>
      </c>
      <c r="C2171" s="20" t="s">
        <v>3837</v>
      </c>
      <c r="D2171" s="20" t="s">
        <v>3885</v>
      </c>
      <c r="E2171" s="20" t="s">
        <v>3886</v>
      </c>
      <c r="F2171" s="20">
        <v>36.372494570000001</v>
      </c>
      <c r="G2171" s="20">
        <v>41.717848369999999</v>
      </c>
      <c r="H2171" s="22">
        <v>45</v>
      </c>
      <c r="I2171" s="22">
        <v>270</v>
      </c>
      <c r="J2171" s="21"/>
      <c r="K2171" s="21"/>
      <c r="L2171" s="21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>
        <v>45</v>
      </c>
      <c r="W2171" s="21"/>
      <c r="X2171" s="21"/>
      <c r="Y2171" s="21"/>
      <c r="Z2171" s="21"/>
      <c r="AA2171" s="21"/>
      <c r="AB2171" s="21"/>
      <c r="AC2171" s="21">
        <v>7</v>
      </c>
      <c r="AD2171" s="21"/>
      <c r="AE2171" s="21">
        <v>3</v>
      </c>
      <c r="AF2171" s="21"/>
      <c r="AG2171" s="21"/>
      <c r="AH2171" s="21"/>
      <c r="AI2171" s="21"/>
      <c r="AJ2171" s="21">
        <v>35</v>
      </c>
      <c r="AK2171" s="21"/>
      <c r="AL2171" s="21"/>
      <c r="AM2171" s="21"/>
      <c r="AN2171" s="21">
        <v>45</v>
      </c>
      <c r="AO2171" s="21"/>
      <c r="AP2171" s="21"/>
      <c r="AQ2171" s="21"/>
      <c r="AR2171" s="21"/>
      <c r="AS2171" s="21"/>
      <c r="AT2171" s="12" t="str">
        <f>HYPERLINK("http://www.openstreetmap.org/?mlat=36.3725&amp;mlon=41.7178&amp;zoom=12#map=12/36.3725/41.7178","Maplink1")</f>
        <v>Maplink1</v>
      </c>
      <c r="AU2171" s="12" t="str">
        <f>HYPERLINK("https://www.google.iq/maps/search/+36.3725,41.7178/@36.3725,41.7178,14z?hl=en","Maplink2")</f>
        <v>Maplink2</v>
      </c>
      <c r="AV2171" s="12" t="str">
        <f>HYPERLINK("http://www.bing.com/maps/?lvl=14&amp;sty=h&amp;cp=36.3725~41.7178&amp;sp=point.36.3725_41.7178","Maplink3")</f>
        <v>Maplink3</v>
      </c>
    </row>
    <row r="2172" spans="1:48" ht="15" customHeight="1" x14ac:dyDescent="0.25">
      <c r="A2172" s="19">
        <v>27399</v>
      </c>
      <c r="B2172" s="20" t="s">
        <v>21</v>
      </c>
      <c r="C2172" s="20" t="s">
        <v>3837</v>
      </c>
      <c r="D2172" s="20" t="s">
        <v>3887</v>
      </c>
      <c r="E2172" s="20" t="s">
        <v>3888</v>
      </c>
      <c r="F2172" s="20">
        <v>36.429950669999997</v>
      </c>
      <c r="G2172" s="20">
        <v>41.868081879999998</v>
      </c>
      <c r="H2172" s="22">
        <v>40</v>
      </c>
      <c r="I2172" s="22">
        <v>240</v>
      </c>
      <c r="J2172" s="21"/>
      <c r="K2172" s="21"/>
      <c r="L2172" s="21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>
        <v>40</v>
      </c>
      <c r="W2172" s="21"/>
      <c r="X2172" s="21"/>
      <c r="Y2172" s="21"/>
      <c r="Z2172" s="21"/>
      <c r="AA2172" s="21"/>
      <c r="AB2172" s="21"/>
      <c r="AC2172" s="21">
        <v>21</v>
      </c>
      <c r="AD2172" s="21"/>
      <c r="AE2172" s="21">
        <v>19</v>
      </c>
      <c r="AF2172" s="21"/>
      <c r="AG2172" s="21"/>
      <c r="AH2172" s="21"/>
      <c r="AI2172" s="21"/>
      <c r="AJ2172" s="21"/>
      <c r="AK2172" s="21"/>
      <c r="AL2172" s="21"/>
      <c r="AM2172" s="21"/>
      <c r="AN2172" s="21">
        <v>40</v>
      </c>
      <c r="AO2172" s="21"/>
      <c r="AP2172" s="21"/>
      <c r="AQ2172" s="21"/>
      <c r="AR2172" s="21"/>
      <c r="AS2172" s="21"/>
      <c r="AT2172" s="12" t="str">
        <f>HYPERLINK("http://www.openstreetmap.org/?mlat=36.43&amp;mlon=41.8681&amp;zoom=12#map=12/36.43/41.8681","Maplink1")</f>
        <v>Maplink1</v>
      </c>
      <c r="AU2172" s="12" t="str">
        <f>HYPERLINK("https://www.google.iq/maps/search/+36.43,41.8681/@36.43,41.8681,14z?hl=en","Maplink2")</f>
        <v>Maplink2</v>
      </c>
      <c r="AV2172" s="12" t="str">
        <f>HYPERLINK("http://www.bing.com/maps/?lvl=14&amp;sty=h&amp;cp=36.43~41.8681&amp;sp=point.36.43_41.8681","Maplink3")</f>
        <v>Maplink3</v>
      </c>
    </row>
    <row r="2173" spans="1:48" ht="15" customHeight="1" x14ac:dyDescent="0.25">
      <c r="A2173" s="19">
        <v>27400</v>
      </c>
      <c r="B2173" s="20" t="s">
        <v>21</v>
      </c>
      <c r="C2173" s="20" t="s">
        <v>3837</v>
      </c>
      <c r="D2173" s="20" t="s">
        <v>3889</v>
      </c>
      <c r="E2173" s="20" t="s">
        <v>3890</v>
      </c>
      <c r="F2173" s="20">
        <v>36.379832100000002</v>
      </c>
      <c r="G2173" s="20">
        <v>41.715568089999998</v>
      </c>
      <c r="H2173" s="22">
        <v>30</v>
      </c>
      <c r="I2173" s="22">
        <v>180</v>
      </c>
      <c r="J2173" s="21"/>
      <c r="K2173" s="21"/>
      <c r="L2173" s="21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>
        <v>30</v>
      </c>
      <c r="W2173" s="21"/>
      <c r="X2173" s="21"/>
      <c r="Y2173" s="21"/>
      <c r="Z2173" s="21"/>
      <c r="AA2173" s="21"/>
      <c r="AB2173" s="21"/>
      <c r="AC2173" s="21">
        <v>30</v>
      </c>
      <c r="AD2173" s="21"/>
      <c r="AE2173" s="21"/>
      <c r="AF2173" s="21"/>
      <c r="AG2173" s="21"/>
      <c r="AH2173" s="21"/>
      <c r="AI2173" s="21"/>
      <c r="AJ2173" s="21"/>
      <c r="AK2173" s="21"/>
      <c r="AL2173" s="21"/>
      <c r="AM2173" s="21"/>
      <c r="AN2173" s="21">
        <v>30</v>
      </c>
      <c r="AO2173" s="21"/>
      <c r="AP2173" s="21"/>
      <c r="AQ2173" s="21"/>
      <c r="AR2173" s="21"/>
      <c r="AS2173" s="21"/>
      <c r="AT2173" s="12" t="str">
        <f>HYPERLINK("http://www.openstreetmap.org/?mlat=36.3798&amp;mlon=41.7156&amp;zoom=12#map=12/36.3798/41.7156","Maplink1")</f>
        <v>Maplink1</v>
      </c>
      <c r="AU2173" s="12" t="str">
        <f>HYPERLINK("https://www.google.iq/maps/search/+36.3798,41.7156/@36.3798,41.7156,14z?hl=en","Maplink2")</f>
        <v>Maplink2</v>
      </c>
      <c r="AV2173" s="12" t="str">
        <f>HYPERLINK("http://www.bing.com/maps/?lvl=14&amp;sty=h&amp;cp=36.3798~41.7156&amp;sp=point.36.3798_41.7156","Maplink3")</f>
        <v>Maplink3</v>
      </c>
    </row>
    <row r="2174" spans="1:48" ht="15" customHeight="1" x14ac:dyDescent="0.25">
      <c r="A2174" s="19">
        <v>17928</v>
      </c>
      <c r="B2174" s="20" t="s">
        <v>21</v>
      </c>
      <c r="C2174" s="20" t="s">
        <v>3837</v>
      </c>
      <c r="D2174" s="20" t="s">
        <v>3891</v>
      </c>
      <c r="E2174" s="20" t="s">
        <v>3892</v>
      </c>
      <c r="F2174" s="20">
        <v>36.466222760000001</v>
      </c>
      <c r="G2174" s="20">
        <v>41.711691940000001</v>
      </c>
      <c r="H2174" s="22">
        <v>860</v>
      </c>
      <c r="I2174" s="22">
        <v>5160</v>
      </c>
      <c r="J2174" s="21"/>
      <c r="K2174" s="21"/>
      <c r="L2174" s="21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>
        <v>860</v>
      </c>
      <c r="W2174" s="21"/>
      <c r="X2174" s="21"/>
      <c r="Y2174" s="21"/>
      <c r="Z2174" s="21"/>
      <c r="AA2174" s="21"/>
      <c r="AB2174" s="21"/>
      <c r="AC2174" s="21">
        <v>860</v>
      </c>
      <c r="AD2174" s="21"/>
      <c r="AE2174" s="21"/>
      <c r="AF2174" s="21"/>
      <c r="AG2174" s="21"/>
      <c r="AH2174" s="21"/>
      <c r="AI2174" s="21"/>
      <c r="AJ2174" s="21"/>
      <c r="AK2174" s="21"/>
      <c r="AL2174" s="21"/>
      <c r="AM2174" s="21"/>
      <c r="AN2174" s="21">
        <v>860</v>
      </c>
      <c r="AO2174" s="21"/>
      <c r="AP2174" s="21"/>
      <c r="AQ2174" s="21"/>
      <c r="AR2174" s="21"/>
      <c r="AS2174" s="21"/>
      <c r="AT2174" s="12" t="str">
        <f>HYPERLINK("http://www.openstreetmap.org/?mlat=36.4662&amp;mlon=41.7117&amp;zoom=12#map=12/36.4662/41.7117","Maplink1")</f>
        <v>Maplink1</v>
      </c>
      <c r="AU2174" s="12" t="str">
        <f>HYPERLINK("https://www.google.iq/maps/search/+36.4662,41.7117/@36.4662,41.7117,14z?hl=en","Maplink2")</f>
        <v>Maplink2</v>
      </c>
      <c r="AV2174" s="12" t="str">
        <f>HYPERLINK("http://www.bing.com/maps/?lvl=14&amp;sty=h&amp;cp=36.4662~41.7117&amp;sp=point.36.4662_41.7117","Maplink3")</f>
        <v>Maplink3</v>
      </c>
    </row>
    <row r="2175" spans="1:48" ht="15" customHeight="1" x14ac:dyDescent="0.25">
      <c r="A2175" s="19">
        <v>29481</v>
      </c>
      <c r="B2175" s="20" t="s">
        <v>21</v>
      </c>
      <c r="C2175" s="20" t="s">
        <v>3837</v>
      </c>
      <c r="D2175" s="20" t="s">
        <v>3893</v>
      </c>
      <c r="E2175" s="20" t="s">
        <v>3894</v>
      </c>
      <c r="F2175" s="20">
        <v>36.528364400000001</v>
      </c>
      <c r="G2175" s="20">
        <v>41.6727536</v>
      </c>
      <c r="H2175" s="22">
        <v>6</v>
      </c>
      <c r="I2175" s="22">
        <v>36</v>
      </c>
      <c r="J2175" s="21"/>
      <c r="K2175" s="21"/>
      <c r="L2175" s="21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>
        <v>6</v>
      </c>
      <c r="W2175" s="21"/>
      <c r="X2175" s="21"/>
      <c r="Y2175" s="21"/>
      <c r="Z2175" s="21"/>
      <c r="AA2175" s="21"/>
      <c r="AB2175" s="21"/>
      <c r="AC2175" s="21">
        <v>6</v>
      </c>
      <c r="AD2175" s="21"/>
      <c r="AE2175" s="21"/>
      <c r="AF2175" s="21"/>
      <c r="AG2175" s="21"/>
      <c r="AH2175" s="21"/>
      <c r="AI2175" s="21"/>
      <c r="AJ2175" s="21"/>
      <c r="AK2175" s="21"/>
      <c r="AL2175" s="21"/>
      <c r="AM2175" s="21"/>
      <c r="AN2175" s="21">
        <v>6</v>
      </c>
      <c r="AO2175" s="21"/>
      <c r="AP2175" s="21"/>
      <c r="AQ2175" s="21"/>
      <c r="AR2175" s="21"/>
      <c r="AS2175" s="21"/>
      <c r="AT2175" s="12" t="str">
        <f>HYPERLINK("http://www.openstreetmap.org/?mlat=36.5284&amp;mlon=41.6728&amp;zoom=12#map=12/36.5284/41.6728","Maplink1")</f>
        <v>Maplink1</v>
      </c>
      <c r="AU2175" s="12" t="str">
        <f>HYPERLINK("https://www.google.iq/maps/search/+36.5284,41.6728/@36.5284,41.6728,14z?hl=en","Maplink2")</f>
        <v>Maplink2</v>
      </c>
      <c r="AV2175" s="12" t="str">
        <f>HYPERLINK("http://www.bing.com/maps/?lvl=14&amp;sty=h&amp;cp=36.5284~41.6728&amp;sp=point.36.5284_41.6728","Maplink3")</f>
        <v>Maplink3</v>
      </c>
    </row>
    <row r="2176" spans="1:48" ht="15" customHeight="1" x14ac:dyDescent="0.25">
      <c r="A2176" s="19">
        <v>27361</v>
      </c>
      <c r="B2176" s="20" t="s">
        <v>21</v>
      </c>
      <c r="C2176" s="20" t="s">
        <v>3837</v>
      </c>
      <c r="D2176" s="20" t="s">
        <v>3895</v>
      </c>
      <c r="E2176" s="20" t="s">
        <v>3896</v>
      </c>
      <c r="F2176" s="20">
        <v>36.375244917000003</v>
      </c>
      <c r="G2176" s="20">
        <v>41.784992043199999</v>
      </c>
      <c r="H2176" s="22">
        <v>80</v>
      </c>
      <c r="I2176" s="22">
        <v>480</v>
      </c>
      <c r="J2176" s="21"/>
      <c r="K2176" s="21"/>
      <c r="L2176" s="21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>
        <v>80</v>
      </c>
      <c r="W2176" s="21"/>
      <c r="X2176" s="21"/>
      <c r="Y2176" s="21"/>
      <c r="Z2176" s="21"/>
      <c r="AA2176" s="21"/>
      <c r="AB2176" s="21"/>
      <c r="AC2176" s="21"/>
      <c r="AD2176" s="21"/>
      <c r="AE2176" s="21">
        <v>80</v>
      </c>
      <c r="AF2176" s="21"/>
      <c r="AG2176" s="21"/>
      <c r="AH2176" s="21"/>
      <c r="AI2176" s="21"/>
      <c r="AJ2176" s="21"/>
      <c r="AK2176" s="21"/>
      <c r="AL2176" s="21"/>
      <c r="AM2176" s="21"/>
      <c r="AN2176" s="21">
        <v>80</v>
      </c>
      <c r="AO2176" s="21"/>
      <c r="AP2176" s="21"/>
      <c r="AQ2176" s="21"/>
      <c r="AR2176" s="21"/>
      <c r="AS2176" s="21"/>
      <c r="AT2176" s="12" t="str">
        <f>HYPERLINK("http://www.openstreetmap.org/?mlat=36.3752&amp;mlon=41.785&amp;zoom=12#map=12/36.3752/41.785","Maplink1")</f>
        <v>Maplink1</v>
      </c>
      <c r="AU2176" s="12" t="str">
        <f>HYPERLINK("https://www.google.iq/maps/search/+36.3752,41.785/@36.3752,41.785,14z?hl=en","Maplink2")</f>
        <v>Maplink2</v>
      </c>
      <c r="AV2176" s="12" t="str">
        <f>HYPERLINK("http://www.bing.com/maps/?lvl=14&amp;sty=h&amp;cp=36.3752~41.785&amp;sp=point.36.3752_41.785","Maplink3")</f>
        <v>Maplink3</v>
      </c>
    </row>
    <row r="2177" spans="1:48" ht="15" customHeight="1" x14ac:dyDescent="0.25">
      <c r="A2177" s="19">
        <v>27287</v>
      </c>
      <c r="B2177" s="20" t="s">
        <v>21</v>
      </c>
      <c r="C2177" s="20" t="s">
        <v>3837</v>
      </c>
      <c r="D2177" s="20" t="s">
        <v>3897</v>
      </c>
      <c r="E2177" s="20" t="s">
        <v>3898</v>
      </c>
      <c r="F2177" s="20">
        <v>36.471242240000002</v>
      </c>
      <c r="G2177" s="20">
        <v>42.01619548</v>
      </c>
      <c r="H2177" s="22">
        <v>9</v>
      </c>
      <c r="I2177" s="22">
        <v>54</v>
      </c>
      <c r="J2177" s="21"/>
      <c r="K2177" s="21"/>
      <c r="L2177" s="21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>
        <v>9</v>
      </c>
      <c r="W2177" s="21"/>
      <c r="X2177" s="21"/>
      <c r="Y2177" s="21"/>
      <c r="Z2177" s="21"/>
      <c r="AA2177" s="21"/>
      <c r="AB2177" s="21"/>
      <c r="AC2177" s="21">
        <v>9</v>
      </c>
      <c r="AD2177" s="21"/>
      <c r="AE2177" s="21"/>
      <c r="AF2177" s="21"/>
      <c r="AG2177" s="21"/>
      <c r="AH2177" s="21"/>
      <c r="AI2177" s="21"/>
      <c r="AJ2177" s="21"/>
      <c r="AK2177" s="21"/>
      <c r="AL2177" s="21"/>
      <c r="AM2177" s="21"/>
      <c r="AN2177" s="21">
        <v>9</v>
      </c>
      <c r="AO2177" s="21"/>
      <c r="AP2177" s="21"/>
      <c r="AQ2177" s="21"/>
      <c r="AR2177" s="21"/>
      <c r="AS2177" s="21"/>
      <c r="AT2177" s="12" t="str">
        <f>HYPERLINK("http://www.openstreetmap.org/?mlat=36.4712&amp;mlon=42.0162&amp;zoom=12#map=12/36.4712/42.0162","Maplink1")</f>
        <v>Maplink1</v>
      </c>
      <c r="AU2177" s="12" t="str">
        <f>HYPERLINK("https://www.google.iq/maps/search/+36.4712,42.0162/@36.4712,42.0162,14z?hl=en","Maplink2")</f>
        <v>Maplink2</v>
      </c>
      <c r="AV2177" s="12" t="str">
        <f>HYPERLINK("http://www.bing.com/maps/?lvl=14&amp;sty=h&amp;cp=36.4712~42.0162&amp;sp=point.36.4712_42.0162","Maplink3")</f>
        <v>Maplink3</v>
      </c>
    </row>
    <row r="2178" spans="1:48" ht="15" customHeight="1" x14ac:dyDescent="0.25">
      <c r="A2178" s="19">
        <v>17645</v>
      </c>
      <c r="B2178" s="20" t="s">
        <v>21</v>
      </c>
      <c r="C2178" s="20" t="s">
        <v>3899</v>
      </c>
      <c r="D2178" s="20" t="s">
        <v>5989</v>
      </c>
      <c r="E2178" s="20" t="s">
        <v>5990</v>
      </c>
      <c r="F2178" s="20">
        <v>36.519699000000003</v>
      </c>
      <c r="G2178" s="20">
        <v>42.085087999999999</v>
      </c>
      <c r="H2178" s="22">
        <v>26</v>
      </c>
      <c r="I2178" s="22">
        <v>156</v>
      </c>
      <c r="J2178" s="21"/>
      <c r="K2178" s="21"/>
      <c r="L2178" s="21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>
        <v>26</v>
      </c>
      <c r="W2178" s="21"/>
      <c r="X2178" s="21"/>
      <c r="Y2178" s="21"/>
      <c r="Z2178" s="21"/>
      <c r="AA2178" s="21"/>
      <c r="AB2178" s="21"/>
      <c r="AC2178" s="21">
        <v>26</v>
      </c>
      <c r="AD2178" s="21"/>
      <c r="AE2178" s="21"/>
      <c r="AF2178" s="21"/>
      <c r="AG2178" s="21"/>
      <c r="AH2178" s="21"/>
      <c r="AI2178" s="21"/>
      <c r="AJ2178" s="21"/>
      <c r="AK2178" s="21"/>
      <c r="AL2178" s="21"/>
      <c r="AM2178" s="21"/>
      <c r="AN2178" s="21">
        <v>26</v>
      </c>
      <c r="AO2178" s="21"/>
      <c r="AP2178" s="21"/>
      <c r="AQ2178" s="21"/>
      <c r="AR2178" s="21"/>
      <c r="AS2178" s="21"/>
      <c r="AT2178" s="12" t="str">
        <f>HYPERLINK("http://www.openstreetmap.org/?mlat=36.5197&amp;mlon=42.0851&amp;zoom=12#map=12/36.5197/42.0851","Maplink1")</f>
        <v>Maplink1</v>
      </c>
      <c r="AU2178" s="12" t="str">
        <f>HYPERLINK("https://www.google.iq/maps/search/+36.5197,42.0851/@36.5197,42.0851,14z?hl=en","Maplink2")</f>
        <v>Maplink2</v>
      </c>
      <c r="AV2178" s="12" t="str">
        <f>HYPERLINK("http://www.bing.com/maps/?lvl=14&amp;sty=h&amp;cp=36.5197~42.0851&amp;sp=point.36.5197_42.0851","Maplink3")</f>
        <v>Maplink3</v>
      </c>
    </row>
    <row r="2179" spans="1:48" ht="15" customHeight="1" x14ac:dyDescent="0.25">
      <c r="A2179" s="19">
        <v>29609</v>
      </c>
      <c r="B2179" s="20" t="s">
        <v>21</v>
      </c>
      <c r="C2179" s="20" t="s">
        <v>3899</v>
      </c>
      <c r="D2179" s="20" t="s">
        <v>3900</v>
      </c>
      <c r="E2179" s="20" t="s">
        <v>3901</v>
      </c>
      <c r="F2179" s="20">
        <v>36.586765</v>
      </c>
      <c r="G2179" s="20">
        <v>42.292150999999997</v>
      </c>
      <c r="H2179" s="22">
        <v>80</v>
      </c>
      <c r="I2179" s="22">
        <v>480</v>
      </c>
      <c r="J2179" s="21"/>
      <c r="K2179" s="21"/>
      <c r="L2179" s="21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>
        <v>80</v>
      </c>
      <c r="W2179" s="21"/>
      <c r="X2179" s="21"/>
      <c r="Y2179" s="21"/>
      <c r="Z2179" s="21"/>
      <c r="AA2179" s="21"/>
      <c r="AB2179" s="21"/>
      <c r="AC2179" s="21">
        <v>15</v>
      </c>
      <c r="AD2179" s="21"/>
      <c r="AE2179" s="21"/>
      <c r="AF2179" s="21"/>
      <c r="AG2179" s="21"/>
      <c r="AH2179" s="21"/>
      <c r="AI2179" s="21"/>
      <c r="AJ2179" s="21">
        <v>65</v>
      </c>
      <c r="AK2179" s="21"/>
      <c r="AL2179" s="21"/>
      <c r="AM2179" s="21"/>
      <c r="AN2179" s="21"/>
      <c r="AO2179" s="21">
        <v>30</v>
      </c>
      <c r="AP2179" s="21">
        <v>50</v>
      </c>
      <c r="AQ2179" s="21"/>
      <c r="AR2179" s="21"/>
      <c r="AS2179" s="21"/>
      <c r="AT2179" s="12" t="str">
        <f>HYPERLINK("http://www.openstreetmap.org/?mlat=36.5868&amp;mlon=42.2922&amp;zoom=12#map=12/36.5868/42.2922","Maplink1")</f>
        <v>Maplink1</v>
      </c>
      <c r="AU2179" s="12" t="str">
        <f>HYPERLINK("https://www.google.iq/maps/search/+36.5868,42.2922/@36.5868,42.2922,14z?hl=en","Maplink2")</f>
        <v>Maplink2</v>
      </c>
      <c r="AV2179" s="12" t="str">
        <f>HYPERLINK("http://www.bing.com/maps/?lvl=14&amp;sty=h&amp;cp=36.5868~42.2922&amp;sp=point.36.5868_42.2922","Maplink3")</f>
        <v>Maplink3</v>
      </c>
    </row>
    <row r="2180" spans="1:48" ht="15" customHeight="1" x14ac:dyDescent="0.25">
      <c r="A2180" s="19">
        <v>17657</v>
      </c>
      <c r="B2180" s="20" t="s">
        <v>21</v>
      </c>
      <c r="C2180" s="20" t="s">
        <v>3899</v>
      </c>
      <c r="D2180" s="20" t="s">
        <v>3902</v>
      </c>
      <c r="E2180" s="20" t="s">
        <v>3903</v>
      </c>
      <c r="F2180" s="20">
        <v>36.764801050000003</v>
      </c>
      <c r="G2180" s="20">
        <v>42.208764960000003</v>
      </c>
      <c r="H2180" s="22">
        <v>26</v>
      </c>
      <c r="I2180" s="22">
        <v>156</v>
      </c>
      <c r="J2180" s="21"/>
      <c r="K2180" s="21"/>
      <c r="L2180" s="21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>
        <v>26</v>
      </c>
      <c r="W2180" s="21"/>
      <c r="X2180" s="21"/>
      <c r="Y2180" s="21"/>
      <c r="Z2180" s="21"/>
      <c r="AA2180" s="21"/>
      <c r="AB2180" s="21"/>
      <c r="AC2180" s="21">
        <v>26</v>
      </c>
      <c r="AD2180" s="21"/>
      <c r="AE2180" s="21"/>
      <c r="AF2180" s="21"/>
      <c r="AG2180" s="21"/>
      <c r="AH2180" s="21"/>
      <c r="AI2180" s="21"/>
      <c r="AJ2180" s="21"/>
      <c r="AK2180" s="21"/>
      <c r="AL2180" s="21"/>
      <c r="AM2180" s="21"/>
      <c r="AN2180" s="21"/>
      <c r="AO2180" s="21">
        <v>20</v>
      </c>
      <c r="AP2180" s="21"/>
      <c r="AQ2180" s="21"/>
      <c r="AR2180" s="21"/>
      <c r="AS2180" s="21">
        <v>6</v>
      </c>
      <c r="AT2180" s="12" t="str">
        <f>HYPERLINK("http://www.openstreetmap.org/?mlat=36.7648&amp;mlon=42.2088&amp;zoom=12#map=12/36.7648/42.2088","Maplink1")</f>
        <v>Maplink1</v>
      </c>
      <c r="AU2180" s="12" t="str">
        <f>HYPERLINK("https://www.google.iq/maps/search/+36.7648,42.2088/@36.7648,42.2088,14z?hl=en","Maplink2")</f>
        <v>Maplink2</v>
      </c>
      <c r="AV2180" s="12" t="str">
        <f>HYPERLINK("http://www.bing.com/maps/?lvl=14&amp;sty=h&amp;cp=36.7648~42.2088&amp;sp=point.36.7648_42.2088","Maplink3")</f>
        <v>Maplink3</v>
      </c>
    </row>
    <row r="2181" spans="1:48" ht="15" customHeight="1" x14ac:dyDescent="0.25">
      <c r="A2181" s="19">
        <v>18262</v>
      </c>
      <c r="B2181" s="20" t="s">
        <v>21</v>
      </c>
      <c r="C2181" s="20" t="s">
        <v>3899</v>
      </c>
      <c r="D2181" s="20" t="s">
        <v>3904</v>
      </c>
      <c r="E2181" s="20" t="s">
        <v>5668</v>
      </c>
      <c r="F2181" s="20">
        <v>36.739933999999998</v>
      </c>
      <c r="G2181" s="20">
        <v>42.124847000000003</v>
      </c>
      <c r="H2181" s="22">
        <v>23</v>
      </c>
      <c r="I2181" s="22">
        <v>138</v>
      </c>
      <c r="J2181" s="21"/>
      <c r="K2181" s="21"/>
      <c r="L2181" s="21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>
        <v>23</v>
      </c>
      <c r="W2181" s="21"/>
      <c r="X2181" s="21"/>
      <c r="Y2181" s="21"/>
      <c r="Z2181" s="21"/>
      <c r="AA2181" s="21"/>
      <c r="AB2181" s="21"/>
      <c r="AC2181" s="21">
        <v>23</v>
      </c>
      <c r="AD2181" s="21"/>
      <c r="AE2181" s="21"/>
      <c r="AF2181" s="21"/>
      <c r="AG2181" s="21"/>
      <c r="AH2181" s="21"/>
      <c r="AI2181" s="21"/>
      <c r="AJ2181" s="21"/>
      <c r="AK2181" s="21"/>
      <c r="AL2181" s="21"/>
      <c r="AM2181" s="21"/>
      <c r="AN2181" s="21"/>
      <c r="AO2181" s="21">
        <v>23</v>
      </c>
      <c r="AP2181" s="21"/>
      <c r="AQ2181" s="21"/>
      <c r="AR2181" s="21"/>
      <c r="AS2181" s="21"/>
      <c r="AT2181" s="12" t="str">
        <f>HYPERLINK("http://www.openstreetmap.org/?mlat=36.7399&amp;mlon=42.1248&amp;zoom=12#map=12/36.7399/42.1248","Maplink1")</f>
        <v>Maplink1</v>
      </c>
      <c r="AU2181" s="12" t="str">
        <f>HYPERLINK("https://www.google.iq/maps/search/+36.7399,42.1248/@36.7399,42.1248,14z?hl=en","Maplink2")</f>
        <v>Maplink2</v>
      </c>
      <c r="AV2181" s="12" t="str">
        <f>HYPERLINK("http://www.bing.com/maps/?lvl=14&amp;sty=h&amp;cp=36.7399~42.1248&amp;sp=point.36.7399_42.1248","Maplink3")</f>
        <v>Maplink3</v>
      </c>
    </row>
    <row r="2182" spans="1:48" ht="15" customHeight="1" x14ac:dyDescent="0.25">
      <c r="A2182" s="19">
        <v>27382</v>
      </c>
      <c r="B2182" s="20" t="s">
        <v>21</v>
      </c>
      <c r="C2182" s="20" t="s">
        <v>3899</v>
      </c>
      <c r="D2182" s="20" t="s">
        <v>3905</v>
      </c>
      <c r="E2182" s="20" t="s">
        <v>3906</v>
      </c>
      <c r="F2182" s="20">
        <v>36.628990139999999</v>
      </c>
      <c r="G2182" s="20">
        <v>42.464459980000001</v>
      </c>
      <c r="H2182" s="22">
        <v>15</v>
      </c>
      <c r="I2182" s="22">
        <v>90</v>
      </c>
      <c r="J2182" s="21"/>
      <c r="K2182" s="21"/>
      <c r="L2182" s="21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>
        <v>15</v>
      </c>
      <c r="W2182" s="21"/>
      <c r="X2182" s="21"/>
      <c r="Y2182" s="21"/>
      <c r="Z2182" s="21"/>
      <c r="AA2182" s="21"/>
      <c r="AB2182" s="21"/>
      <c r="AC2182" s="21">
        <v>15</v>
      </c>
      <c r="AD2182" s="21"/>
      <c r="AE2182" s="21"/>
      <c r="AF2182" s="21"/>
      <c r="AG2182" s="21"/>
      <c r="AH2182" s="21"/>
      <c r="AI2182" s="21"/>
      <c r="AJ2182" s="21"/>
      <c r="AK2182" s="21"/>
      <c r="AL2182" s="21"/>
      <c r="AM2182" s="21"/>
      <c r="AN2182" s="21"/>
      <c r="AO2182" s="21">
        <v>15</v>
      </c>
      <c r="AP2182" s="21"/>
      <c r="AQ2182" s="21"/>
      <c r="AR2182" s="21"/>
      <c r="AS2182" s="21"/>
      <c r="AT2182" s="12" t="str">
        <f>HYPERLINK("http://www.openstreetmap.org/?mlat=36.629&amp;mlon=42.4645&amp;zoom=12#map=12/36.629/42.4645","Maplink1")</f>
        <v>Maplink1</v>
      </c>
      <c r="AU2182" s="12" t="str">
        <f>HYPERLINK("https://www.google.iq/maps/search/+36.629,42.4645/@36.629,42.4645,14z?hl=en","Maplink2")</f>
        <v>Maplink2</v>
      </c>
      <c r="AV2182" s="12" t="str">
        <f>HYPERLINK("http://www.bing.com/maps/?lvl=14&amp;sty=h&amp;cp=36.629~42.4645&amp;sp=point.36.629_42.4645","Maplink3")</f>
        <v>Maplink3</v>
      </c>
    </row>
    <row r="2183" spans="1:48" ht="15" customHeight="1" x14ac:dyDescent="0.25">
      <c r="A2183" s="19">
        <v>17746</v>
      </c>
      <c r="B2183" s="20" t="s">
        <v>21</v>
      </c>
      <c r="C2183" s="20" t="s">
        <v>3899</v>
      </c>
      <c r="D2183" s="20" t="s">
        <v>5712</v>
      </c>
      <c r="E2183" s="20" t="s">
        <v>5713</v>
      </c>
      <c r="F2183" s="20">
        <v>36.605374259999998</v>
      </c>
      <c r="G2183" s="20">
        <v>42.623551249999998</v>
      </c>
      <c r="H2183" s="22">
        <v>8</v>
      </c>
      <c r="I2183" s="22">
        <v>48</v>
      </c>
      <c r="J2183" s="21"/>
      <c r="K2183" s="21"/>
      <c r="L2183" s="21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>
        <v>8</v>
      </c>
      <c r="W2183" s="21"/>
      <c r="X2183" s="21"/>
      <c r="Y2183" s="21"/>
      <c r="Z2183" s="21"/>
      <c r="AA2183" s="21"/>
      <c r="AB2183" s="21"/>
      <c r="AC2183" s="21">
        <v>8</v>
      </c>
      <c r="AD2183" s="21"/>
      <c r="AE2183" s="21"/>
      <c r="AF2183" s="21"/>
      <c r="AG2183" s="21"/>
      <c r="AH2183" s="21"/>
      <c r="AI2183" s="21"/>
      <c r="AJ2183" s="21"/>
      <c r="AK2183" s="21"/>
      <c r="AL2183" s="21"/>
      <c r="AM2183" s="21"/>
      <c r="AN2183" s="21"/>
      <c r="AO2183" s="21"/>
      <c r="AP2183" s="21">
        <v>8</v>
      </c>
      <c r="AQ2183" s="21"/>
      <c r="AR2183" s="21"/>
      <c r="AS2183" s="21"/>
      <c r="AT2183" s="12" t="str">
        <f>HYPERLINK("http://www.openstreetmap.org/?mlat=36.6054&amp;mlon=42.6236&amp;zoom=12#map=12/36.6054/42.6236","Maplink1")</f>
        <v>Maplink1</v>
      </c>
      <c r="AU2183" s="12" t="str">
        <f>HYPERLINK("https://www.google.iq/maps/search/+36.6054,42.6236/@36.6054,42.6236,14z?hl=en","Maplink2")</f>
        <v>Maplink2</v>
      </c>
      <c r="AV2183" s="12" t="str">
        <f>HYPERLINK("http://www.bing.com/maps/?lvl=14&amp;sty=h&amp;cp=36.6054~42.6236&amp;sp=point.36.6054_42.6236","Maplink3")</f>
        <v>Maplink3</v>
      </c>
    </row>
    <row r="2184" spans="1:48" ht="15" customHeight="1" x14ac:dyDescent="0.25">
      <c r="A2184" s="19">
        <v>17728</v>
      </c>
      <c r="B2184" s="20" t="s">
        <v>21</v>
      </c>
      <c r="C2184" s="20" t="s">
        <v>3899</v>
      </c>
      <c r="D2184" s="20" t="s">
        <v>3907</v>
      </c>
      <c r="E2184" s="20" t="s">
        <v>3908</v>
      </c>
      <c r="F2184" s="20">
        <v>36.622384480000001</v>
      </c>
      <c r="G2184" s="20">
        <v>41.947592649999997</v>
      </c>
      <c r="H2184" s="22">
        <v>15</v>
      </c>
      <c r="I2184" s="22">
        <v>90</v>
      </c>
      <c r="J2184" s="21"/>
      <c r="K2184" s="21"/>
      <c r="L2184" s="21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>
        <v>15</v>
      </c>
      <c r="W2184" s="21"/>
      <c r="X2184" s="21"/>
      <c r="Y2184" s="21"/>
      <c r="Z2184" s="21"/>
      <c r="AA2184" s="21"/>
      <c r="AB2184" s="21"/>
      <c r="AC2184" s="21">
        <v>15</v>
      </c>
      <c r="AD2184" s="21"/>
      <c r="AE2184" s="21"/>
      <c r="AF2184" s="21"/>
      <c r="AG2184" s="21"/>
      <c r="AH2184" s="21"/>
      <c r="AI2184" s="21"/>
      <c r="AJ2184" s="21"/>
      <c r="AK2184" s="21"/>
      <c r="AL2184" s="21"/>
      <c r="AM2184" s="21"/>
      <c r="AN2184" s="21"/>
      <c r="AO2184" s="21">
        <v>15</v>
      </c>
      <c r="AP2184" s="21"/>
      <c r="AQ2184" s="21"/>
      <c r="AR2184" s="21"/>
      <c r="AS2184" s="21"/>
      <c r="AT2184" s="12" t="str">
        <f>HYPERLINK("http://www.openstreetmap.org/?mlat=36.6224&amp;mlon=41.9476&amp;zoom=12#map=12/36.6224/41.9476","Maplink1")</f>
        <v>Maplink1</v>
      </c>
      <c r="AU2184" s="12" t="str">
        <f>HYPERLINK("https://www.google.iq/maps/search/+36.6224,41.9476/@36.6224,41.9476,14z?hl=en","Maplink2")</f>
        <v>Maplink2</v>
      </c>
      <c r="AV2184" s="12" t="str">
        <f>HYPERLINK("http://www.bing.com/maps/?lvl=14&amp;sty=h&amp;cp=36.6224~41.9476&amp;sp=point.36.6224_41.9476","Maplink3")</f>
        <v>Maplink3</v>
      </c>
    </row>
    <row r="2185" spans="1:48" ht="15" customHeight="1" x14ac:dyDescent="0.25">
      <c r="A2185" s="19">
        <v>23168</v>
      </c>
      <c r="B2185" s="20" t="s">
        <v>21</v>
      </c>
      <c r="C2185" s="20" t="s">
        <v>3899</v>
      </c>
      <c r="D2185" s="20" t="s">
        <v>3909</v>
      </c>
      <c r="E2185" s="20" t="s">
        <v>3910</v>
      </c>
      <c r="F2185" s="20">
        <v>36.632082750000002</v>
      </c>
      <c r="G2185" s="20">
        <v>42.288030499999998</v>
      </c>
      <c r="H2185" s="22">
        <v>200</v>
      </c>
      <c r="I2185" s="22">
        <v>1200</v>
      </c>
      <c r="J2185" s="21"/>
      <c r="K2185" s="21"/>
      <c r="L2185" s="21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>
        <v>200</v>
      </c>
      <c r="W2185" s="21"/>
      <c r="X2185" s="21"/>
      <c r="Y2185" s="21"/>
      <c r="Z2185" s="21"/>
      <c r="AA2185" s="21"/>
      <c r="AB2185" s="21"/>
      <c r="AC2185" s="21">
        <v>100</v>
      </c>
      <c r="AD2185" s="21"/>
      <c r="AE2185" s="21"/>
      <c r="AF2185" s="21"/>
      <c r="AG2185" s="21"/>
      <c r="AH2185" s="21"/>
      <c r="AI2185" s="21"/>
      <c r="AJ2185" s="21">
        <v>100</v>
      </c>
      <c r="AK2185" s="21"/>
      <c r="AL2185" s="21"/>
      <c r="AM2185" s="21"/>
      <c r="AN2185" s="21"/>
      <c r="AO2185" s="21">
        <v>175</v>
      </c>
      <c r="AP2185" s="21">
        <v>25</v>
      </c>
      <c r="AQ2185" s="21"/>
      <c r="AR2185" s="21"/>
      <c r="AS2185" s="21"/>
      <c r="AT2185" s="12" t="str">
        <f>HYPERLINK("http://www.openstreetmap.org/?mlat=36.6321&amp;mlon=42.288&amp;zoom=12#map=12/36.6321/42.288","Maplink1")</f>
        <v>Maplink1</v>
      </c>
      <c r="AU2185" s="12" t="str">
        <f>HYPERLINK("https://www.google.iq/maps/search/+36.6321,42.288/@36.6321,42.288,14z?hl=en","Maplink2")</f>
        <v>Maplink2</v>
      </c>
      <c r="AV2185" s="12" t="str">
        <f>HYPERLINK("http://www.bing.com/maps/?lvl=14&amp;sty=h&amp;cp=36.6321~42.288&amp;sp=point.36.6321_42.288","Maplink3")</f>
        <v>Maplink3</v>
      </c>
    </row>
    <row r="2186" spans="1:48" ht="15" customHeight="1" x14ac:dyDescent="0.25">
      <c r="A2186" s="19">
        <v>17674</v>
      </c>
      <c r="B2186" s="20" t="s">
        <v>21</v>
      </c>
      <c r="C2186" s="20" t="s">
        <v>3899</v>
      </c>
      <c r="D2186" s="20" t="s">
        <v>3911</v>
      </c>
      <c r="E2186" s="20" t="s">
        <v>3912</v>
      </c>
      <c r="F2186" s="20">
        <v>36.59547439</v>
      </c>
      <c r="G2186" s="20">
        <v>42.361919589999999</v>
      </c>
      <c r="H2186" s="22">
        <v>32</v>
      </c>
      <c r="I2186" s="22">
        <v>192</v>
      </c>
      <c r="J2186" s="21"/>
      <c r="K2186" s="21"/>
      <c r="L2186" s="21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>
        <v>32</v>
      </c>
      <c r="W2186" s="21"/>
      <c r="X2186" s="21"/>
      <c r="Y2186" s="21"/>
      <c r="Z2186" s="21"/>
      <c r="AA2186" s="21"/>
      <c r="AB2186" s="21"/>
      <c r="AC2186" s="21">
        <v>32</v>
      </c>
      <c r="AD2186" s="21"/>
      <c r="AE2186" s="21"/>
      <c r="AF2186" s="21"/>
      <c r="AG2186" s="21"/>
      <c r="AH2186" s="21"/>
      <c r="AI2186" s="21"/>
      <c r="AJ2186" s="21"/>
      <c r="AK2186" s="21"/>
      <c r="AL2186" s="21"/>
      <c r="AM2186" s="21"/>
      <c r="AN2186" s="21"/>
      <c r="AO2186" s="21">
        <v>4</v>
      </c>
      <c r="AP2186" s="21">
        <v>28</v>
      </c>
      <c r="AQ2186" s="21"/>
      <c r="AR2186" s="21"/>
      <c r="AS2186" s="21"/>
      <c r="AT2186" s="12" t="str">
        <f>HYPERLINK("http://www.openstreetmap.org/?mlat=36.5955&amp;mlon=42.3619&amp;zoom=12#map=12/36.5955/42.3619","Maplink1")</f>
        <v>Maplink1</v>
      </c>
      <c r="AU2186" s="12" t="str">
        <f>HYPERLINK("https://www.google.iq/maps/search/+36.5955,42.3619/@36.5955,42.3619,14z?hl=en","Maplink2")</f>
        <v>Maplink2</v>
      </c>
      <c r="AV2186" s="12" t="str">
        <f>HYPERLINK("http://www.bing.com/maps/?lvl=14&amp;sty=h&amp;cp=36.5955~42.3619&amp;sp=point.36.5955_42.3619","Maplink3")</f>
        <v>Maplink3</v>
      </c>
    </row>
    <row r="2187" spans="1:48" ht="15" customHeight="1" x14ac:dyDescent="0.25">
      <c r="A2187" s="19">
        <v>28453</v>
      </c>
      <c r="B2187" s="20" t="s">
        <v>21</v>
      </c>
      <c r="C2187" s="20" t="s">
        <v>3899</v>
      </c>
      <c r="D2187" s="20" t="s">
        <v>5669</v>
      </c>
      <c r="E2187" s="20" t="s">
        <v>5670</v>
      </c>
      <c r="F2187" s="20">
        <v>36.728188889999998</v>
      </c>
      <c r="G2187" s="20">
        <v>42.258451800000003</v>
      </c>
      <c r="H2187" s="22">
        <v>20</v>
      </c>
      <c r="I2187" s="22">
        <v>120</v>
      </c>
      <c r="J2187" s="21"/>
      <c r="K2187" s="21"/>
      <c r="L2187" s="21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>
        <v>20</v>
      </c>
      <c r="W2187" s="21"/>
      <c r="X2187" s="21"/>
      <c r="Y2187" s="21"/>
      <c r="Z2187" s="21"/>
      <c r="AA2187" s="21"/>
      <c r="AB2187" s="21"/>
      <c r="AC2187" s="21">
        <v>20</v>
      </c>
      <c r="AD2187" s="21"/>
      <c r="AE2187" s="21"/>
      <c r="AF2187" s="21"/>
      <c r="AG2187" s="21"/>
      <c r="AH2187" s="21"/>
      <c r="AI2187" s="21"/>
      <c r="AJ2187" s="21"/>
      <c r="AK2187" s="21"/>
      <c r="AL2187" s="21"/>
      <c r="AM2187" s="21"/>
      <c r="AN2187" s="21"/>
      <c r="AO2187" s="21"/>
      <c r="AP2187" s="21"/>
      <c r="AQ2187" s="21"/>
      <c r="AR2187" s="21"/>
      <c r="AS2187" s="21">
        <v>20</v>
      </c>
      <c r="AT2187" s="12" t="str">
        <f>HYPERLINK("http://www.openstreetmap.org/?mlat=36.7282&amp;mlon=42.2585&amp;zoom=12#map=12/36.7282/42.2585","Maplink1")</f>
        <v>Maplink1</v>
      </c>
      <c r="AU2187" s="12" t="str">
        <f>HYPERLINK("https://www.google.iq/maps/search/+36.7282,42.2585/@36.7282,42.2585,14z?hl=en","Maplink2")</f>
        <v>Maplink2</v>
      </c>
      <c r="AV2187" s="12" t="str">
        <f>HYPERLINK("http://www.bing.com/maps/?lvl=14&amp;sty=h&amp;cp=36.7282~42.2585&amp;sp=point.36.7282_42.2585","Maplink3")</f>
        <v>Maplink3</v>
      </c>
    </row>
    <row r="2188" spans="1:48" ht="15" customHeight="1" x14ac:dyDescent="0.25">
      <c r="A2188" s="19">
        <v>17775</v>
      </c>
      <c r="B2188" s="20" t="s">
        <v>21</v>
      </c>
      <c r="C2188" s="20" t="s">
        <v>3899</v>
      </c>
      <c r="D2188" s="20" t="s">
        <v>3913</v>
      </c>
      <c r="E2188" s="20" t="s">
        <v>3914</v>
      </c>
      <c r="F2188" s="20">
        <v>36.593665899999998</v>
      </c>
      <c r="G2188" s="20">
        <v>42.386442420000002</v>
      </c>
      <c r="H2188" s="22">
        <v>10</v>
      </c>
      <c r="I2188" s="22">
        <v>60</v>
      </c>
      <c r="J2188" s="21"/>
      <c r="K2188" s="21"/>
      <c r="L2188" s="21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>
        <v>10</v>
      </c>
      <c r="W2188" s="21"/>
      <c r="X2188" s="21"/>
      <c r="Y2188" s="21"/>
      <c r="Z2188" s="21"/>
      <c r="AA2188" s="21"/>
      <c r="AB2188" s="21"/>
      <c r="AC2188" s="21">
        <v>10</v>
      </c>
      <c r="AD2188" s="21"/>
      <c r="AE2188" s="21"/>
      <c r="AF2188" s="21"/>
      <c r="AG2188" s="21"/>
      <c r="AH2188" s="21"/>
      <c r="AI2188" s="21"/>
      <c r="AJ2188" s="21"/>
      <c r="AK2188" s="21"/>
      <c r="AL2188" s="21"/>
      <c r="AM2188" s="21"/>
      <c r="AN2188" s="21"/>
      <c r="AO2188" s="21">
        <v>10</v>
      </c>
      <c r="AP2188" s="21"/>
      <c r="AQ2188" s="21"/>
      <c r="AR2188" s="21"/>
      <c r="AS2188" s="21"/>
      <c r="AT2188" s="12" t="str">
        <f>HYPERLINK("http://www.openstreetmap.org/?mlat=36.5937&amp;mlon=42.3864&amp;zoom=12#map=12/36.5937/42.3864","Maplink1")</f>
        <v>Maplink1</v>
      </c>
      <c r="AU2188" s="12" t="str">
        <f>HYPERLINK("https://www.google.iq/maps/search/+36.5937,42.3864/@36.5937,42.3864,14z?hl=en","Maplink2")</f>
        <v>Maplink2</v>
      </c>
      <c r="AV2188" s="12" t="str">
        <f>HYPERLINK("http://www.bing.com/maps/?lvl=14&amp;sty=h&amp;cp=36.5937~42.3864&amp;sp=point.36.5937_42.3864","Maplink3")</f>
        <v>Maplink3</v>
      </c>
    </row>
    <row r="2189" spans="1:48" ht="15" customHeight="1" x14ac:dyDescent="0.25">
      <c r="A2189" s="19">
        <v>28437</v>
      </c>
      <c r="B2189" s="20" t="s">
        <v>21</v>
      </c>
      <c r="C2189" s="20" t="s">
        <v>3899</v>
      </c>
      <c r="D2189" s="20" t="s">
        <v>3915</v>
      </c>
      <c r="E2189" s="20" t="s">
        <v>3916</v>
      </c>
      <c r="F2189" s="20">
        <v>36.628014829999998</v>
      </c>
      <c r="G2189" s="20">
        <v>42.042953570000002</v>
      </c>
      <c r="H2189" s="22">
        <v>28</v>
      </c>
      <c r="I2189" s="22">
        <v>168</v>
      </c>
      <c r="J2189" s="21"/>
      <c r="K2189" s="21"/>
      <c r="L2189" s="21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>
        <v>28</v>
      </c>
      <c r="W2189" s="21"/>
      <c r="X2189" s="21"/>
      <c r="Y2189" s="21"/>
      <c r="Z2189" s="21"/>
      <c r="AA2189" s="21"/>
      <c r="AB2189" s="21"/>
      <c r="AC2189" s="21">
        <v>28</v>
      </c>
      <c r="AD2189" s="21"/>
      <c r="AE2189" s="21"/>
      <c r="AF2189" s="21"/>
      <c r="AG2189" s="21"/>
      <c r="AH2189" s="21"/>
      <c r="AI2189" s="21"/>
      <c r="AJ2189" s="21"/>
      <c r="AK2189" s="21"/>
      <c r="AL2189" s="21"/>
      <c r="AM2189" s="21"/>
      <c r="AN2189" s="21"/>
      <c r="AO2189" s="21">
        <v>23</v>
      </c>
      <c r="AP2189" s="21"/>
      <c r="AQ2189" s="21"/>
      <c r="AR2189" s="21"/>
      <c r="AS2189" s="21">
        <v>5</v>
      </c>
      <c r="AT2189" s="12" t="str">
        <f>HYPERLINK("http://www.openstreetmap.org/?mlat=36.628&amp;mlon=42.043&amp;zoom=12#map=12/36.628/42.043","Maplink1")</f>
        <v>Maplink1</v>
      </c>
      <c r="AU2189" s="12" t="str">
        <f>HYPERLINK("https://www.google.iq/maps/search/+36.628,42.043/@36.628,42.043,14z?hl=en","Maplink2")</f>
        <v>Maplink2</v>
      </c>
      <c r="AV2189" s="12" t="str">
        <f>HYPERLINK("http://www.bing.com/maps/?lvl=14&amp;sty=h&amp;cp=36.628~42.043&amp;sp=point.36.628_42.043","Maplink3")</f>
        <v>Maplink3</v>
      </c>
    </row>
    <row r="2190" spans="1:48" ht="15" customHeight="1" x14ac:dyDescent="0.25">
      <c r="A2190" s="19">
        <v>17637</v>
      </c>
      <c r="B2190" s="20" t="s">
        <v>21</v>
      </c>
      <c r="C2190" s="20" t="s">
        <v>3899</v>
      </c>
      <c r="D2190" s="20" t="s">
        <v>3917</v>
      </c>
      <c r="E2190" s="20" t="s">
        <v>3918</v>
      </c>
      <c r="F2190" s="20">
        <v>36.584098509999997</v>
      </c>
      <c r="G2190" s="20">
        <v>42.319414620000003</v>
      </c>
      <c r="H2190" s="22">
        <v>10</v>
      </c>
      <c r="I2190" s="22">
        <v>60</v>
      </c>
      <c r="J2190" s="21"/>
      <c r="K2190" s="21"/>
      <c r="L2190" s="21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>
        <v>10</v>
      </c>
      <c r="W2190" s="21"/>
      <c r="X2190" s="21"/>
      <c r="Y2190" s="21"/>
      <c r="Z2190" s="21"/>
      <c r="AA2190" s="21"/>
      <c r="AB2190" s="21"/>
      <c r="AC2190" s="21">
        <v>10</v>
      </c>
      <c r="AD2190" s="21"/>
      <c r="AE2190" s="21"/>
      <c r="AF2190" s="21"/>
      <c r="AG2190" s="21"/>
      <c r="AH2190" s="21"/>
      <c r="AI2190" s="21"/>
      <c r="AJ2190" s="21"/>
      <c r="AK2190" s="21"/>
      <c r="AL2190" s="21"/>
      <c r="AM2190" s="21"/>
      <c r="AN2190" s="21"/>
      <c r="AO2190" s="21"/>
      <c r="AP2190" s="21">
        <v>10</v>
      </c>
      <c r="AQ2190" s="21"/>
      <c r="AR2190" s="21"/>
      <c r="AS2190" s="21"/>
      <c r="AT2190" s="12" t="str">
        <f>HYPERLINK("http://www.openstreetmap.org/?mlat=36.5841&amp;mlon=42.3194&amp;zoom=12#map=12/36.5841/42.3194","Maplink1")</f>
        <v>Maplink1</v>
      </c>
      <c r="AU2190" s="12" t="str">
        <f>HYPERLINK("https://www.google.iq/maps/search/+36.5841,42.3194/@36.5841,42.3194,14z?hl=en","Maplink2")</f>
        <v>Maplink2</v>
      </c>
      <c r="AV2190" s="12" t="str">
        <f>HYPERLINK("http://www.bing.com/maps/?lvl=14&amp;sty=h&amp;cp=36.5841~42.3194&amp;sp=point.36.5841_42.3194","Maplink3")</f>
        <v>Maplink3</v>
      </c>
    </row>
    <row r="2191" spans="1:48" ht="15" customHeight="1" x14ac:dyDescent="0.25">
      <c r="A2191" s="19">
        <v>17654</v>
      </c>
      <c r="B2191" s="20" t="s">
        <v>21</v>
      </c>
      <c r="C2191" s="20" t="s">
        <v>3899</v>
      </c>
      <c r="D2191" s="20" t="s">
        <v>3919</v>
      </c>
      <c r="E2191" s="20" t="s">
        <v>3920</v>
      </c>
      <c r="F2191" s="20">
        <v>36.642982940000003</v>
      </c>
      <c r="G2191" s="20">
        <v>42.444079420000001</v>
      </c>
      <c r="H2191" s="22">
        <v>15</v>
      </c>
      <c r="I2191" s="22">
        <v>90</v>
      </c>
      <c r="J2191" s="21"/>
      <c r="K2191" s="21"/>
      <c r="L2191" s="21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>
        <v>15</v>
      </c>
      <c r="W2191" s="21"/>
      <c r="X2191" s="21"/>
      <c r="Y2191" s="21"/>
      <c r="Z2191" s="21"/>
      <c r="AA2191" s="21"/>
      <c r="AB2191" s="21"/>
      <c r="AC2191" s="21">
        <v>15</v>
      </c>
      <c r="AD2191" s="21"/>
      <c r="AE2191" s="21"/>
      <c r="AF2191" s="21"/>
      <c r="AG2191" s="21"/>
      <c r="AH2191" s="21"/>
      <c r="AI2191" s="21"/>
      <c r="AJ2191" s="21"/>
      <c r="AK2191" s="21"/>
      <c r="AL2191" s="21"/>
      <c r="AM2191" s="21"/>
      <c r="AN2191" s="21"/>
      <c r="AO2191" s="21">
        <v>15</v>
      </c>
      <c r="AP2191" s="21"/>
      <c r="AQ2191" s="21"/>
      <c r="AR2191" s="21"/>
      <c r="AS2191" s="21"/>
      <c r="AT2191" s="12" t="str">
        <f>HYPERLINK("http://www.openstreetmap.org/?mlat=36.643&amp;mlon=42.4441&amp;zoom=12#map=12/36.643/42.4441","Maplink1")</f>
        <v>Maplink1</v>
      </c>
      <c r="AU2191" s="12" t="str">
        <f>HYPERLINK("https://www.google.iq/maps/search/+36.643,42.4441/@36.643,42.4441,14z?hl=en","Maplink2")</f>
        <v>Maplink2</v>
      </c>
      <c r="AV2191" s="12" t="str">
        <f>HYPERLINK("http://www.bing.com/maps/?lvl=14&amp;sty=h&amp;cp=36.643~42.4441&amp;sp=point.36.643_42.4441","Maplink3")</f>
        <v>Maplink3</v>
      </c>
    </row>
    <row r="2192" spans="1:48" ht="15" customHeight="1" x14ac:dyDescent="0.25">
      <c r="A2192" s="19">
        <v>18031</v>
      </c>
      <c r="B2192" s="20" t="s">
        <v>21</v>
      </c>
      <c r="C2192" s="20" t="s">
        <v>3899</v>
      </c>
      <c r="D2192" s="20" t="s">
        <v>3921</v>
      </c>
      <c r="E2192" s="20" t="s">
        <v>3922</v>
      </c>
      <c r="F2192" s="20">
        <v>36.550435</v>
      </c>
      <c r="G2192" s="20">
        <v>42.286127790000002</v>
      </c>
      <c r="H2192" s="22">
        <v>45</v>
      </c>
      <c r="I2192" s="22">
        <v>270</v>
      </c>
      <c r="J2192" s="21"/>
      <c r="K2192" s="21"/>
      <c r="L2192" s="21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>
        <v>45</v>
      </c>
      <c r="W2192" s="21"/>
      <c r="X2192" s="21"/>
      <c r="Y2192" s="21"/>
      <c r="Z2192" s="21"/>
      <c r="AA2192" s="21"/>
      <c r="AB2192" s="21"/>
      <c r="AC2192" s="21">
        <v>25</v>
      </c>
      <c r="AD2192" s="21"/>
      <c r="AE2192" s="21"/>
      <c r="AF2192" s="21"/>
      <c r="AG2192" s="21"/>
      <c r="AH2192" s="21"/>
      <c r="AI2192" s="21"/>
      <c r="AJ2192" s="21">
        <v>20</v>
      </c>
      <c r="AK2192" s="21"/>
      <c r="AL2192" s="21"/>
      <c r="AM2192" s="21"/>
      <c r="AN2192" s="21"/>
      <c r="AO2192" s="21"/>
      <c r="AP2192" s="21">
        <v>45</v>
      </c>
      <c r="AQ2192" s="21"/>
      <c r="AR2192" s="21"/>
      <c r="AS2192" s="21"/>
      <c r="AT2192" s="12" t="str">
        <f>HYPERLINK("http://www.openstreetmap.org/?mlat=36.5504&amp;mlon=42.2861&amp;zoom=12#map=12/36.5504/42.2861","Maplink1")</f>
        <v>Maplink1</v>
      </c>
      <c r="AU2192" s="12" t="str">
        <f>HYPERLINK("https://www.google.iq/maps/search/+36.5504,42.2861/@36.5504,42.2861,14z?hl=en","Maplink2")</f>
        <v>Maplink2</v>
      </c>
      <c r="AV2192" s="12" t="str">
        <f>HYPERLINK("http://www.bing.com/maps/?lvl=14&amp;sty=h&amp;cp=36.5504~42.2861&amp;sp=point.36.5504_42.2861","Maplink3")</f>
        <v>Maplink3</v>
      </c>
    </row>
    <row r="2193" spans="1:48" ht="15" customHeight="1" x14ac:dyDescent="0.25">
      <c r="A2193" s="19">
        <v>28440</v>
      </c>
      <c r="B2193" s="20" t="s">
        <v>21</v>
      </c>
      <c r="C2193" s="20" t="s">
        <v>3899</v>
      </c>
      <c r="D2193" s="20" t="s">
        <v>5671</v>
      </c>
      <c r="E2193" s="20" t="s">
        <v>3923</v>
      </c>
      <c r="F2193" s="20">
        <v>36.793997050000002</v>
      </c>
      <c r="G2193" s="20">
        <v>42.214455559999998</v>
      </c>
      <c r="H2193" s="22">
        <v>17</v>
      </c>
      <c r="I2193" s="22">
        <v>102</v>
      </c>
      <c r="J2193" s="21"/>
      <c r="K2193" s="21"/>
      <c r="L2193" s="21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>
        <v>17</v>
      </c>
      <c r="W2193" s="21"/>
      <c r="X2193" s="21"/>
      <c r="Y2193" s="21"/>
      <c r="Z2193" s="21"/>
      <c r="AA2193" s="21"/>
      <c r="AB2193" s="21"/>
      <c r="AC2193" s="21">
        <v>17</v>
      </c>
      <c r="AD2193" s="21"/>
      <c r="AE2193" s="21"/>
      <c r="AF2193" s="21"/>
      <c r="AG2193" s="21"/>
      <c r="AH2193" s="21"/>
      <c r="AI2193" s="21"/>
      <c r="AJ2193" s="21"/>
      <c r="AK2193" s="21"/>
      <c r="AL2193" s="21"/>
      <c r="AM2193" s="21"/>
      <c r="AN2193" s="21"/>
      <c r="AO2193" s="21">
        <v>14</v>
      </c>
      <c r="AP2193" s="21"/>
      <c r="AQ2193" s="21"/>
      <c r="AR2193" s="21"/>
      <c r="AS2193" s="21">
        <v>3</v>
      </c>
      <c r="AT2193" s="12" t="str">
        <f>HYPERLINK("http://www.openstreetmap.org/?mlat=36.794&amp;mlon=42.2145&amp;zoom=12#map=12/36.794/42.2145","Maplink1")</f>
        <v>Maplink1</v>
      </c>
      <c r="AU2193" s="12" t="str">
        <f>HYPERLINK("https://www.google.iq/maps/search/+36.794,42.2145/@36.794,42.2145,14z?hl=en","Maplink2")</f>
        <v>Maplink2</v>
      </c>
      <c r="AV2193" s="12" t="str">
        <f>HYPERLINK("http://www.bing.com/maps/?lvl=14&amp;sty=h&amp;cp=36.794~42.2145&amp;sp=point.36.794_42.2145","Maplink3")</f>
        <v>Maplink3</v>
      </c>
    </row>
    <row r="2194" spans="1:48" ht="15" customHeight="1" x14ac:dyDescent="0.25">
      <c r="A2194" s="19">
        <v>25809</v>
      </c>
      <c r="B2194" s="20" t="s">
        <v>21</v>
      </c>
      <c r="C2194" s="20" t="s">
        <v>3899</v>
      </c>
      <c r="D2194" s="20" t="s">
        <v>3924</v>
      </c>
      <c r="E2194" s="20" t="s">
        <v>3925</v>
      </c>
      <c r="F2194" s="20">
        <v>36.70944532</v>
      </c>
      <c r="G2194" s="20">
        <v>42.618708040000001</v>
      </c>
      <c r="H2194" s="22">
        <v>7</v>
      </c>
      <c r="I2194" s="22">
        <v>42</v>
      </c>
      <c r="J2194" s="21"/>
      <c r="K2194" s="21"/>
      <c r="L2194" s="21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>
        <v>7</v>
      </c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21"/>
      <c r="AH2194" s="21">
        <v>7</v>
      </c>
      <c r="AI2194" s="21"/>
      <c r="AJ2194" s="21"/>
      <c r="AK2194" s="21"/>
      <c r="AL2194" s="21"/>
      <c r="AM2194" s="21"/>
      <c r="AN2194" s="21"/>
      <c r="AO2194" s="21"/>
      <c r="AP2194" s="21">
        <v>7</v>
      </c>
      <c r="AQ2194" s="21"/>
      <c r="AR2194" s="21"/>
      <c r="AS2194" s="21"/>
      <c r="AT2194" s="12" t="str">
        <f>HYPERLINK("http://www.openstreetmap.org/?mlat=36.7094&amp;mlon=42.6187&amp;zoom=12#map=12/36.7094/42.6187","Maplink1")</f>
        <v>Maplink1</v>
      </c>
      <c r="AU2194" s="12" t="str">
        <f>HYPERLINK("https://www.google.iq/maps/search/+36.7094,42.6187/@36.7094,42.6187,14z?hl=en","Maplink2")</f>
        <v>Maplink2</v>
      </c>
      <c r="AV2194" s="12" t="str">
        <f>HYPERLINK("http://www.bing.com/maps/?lvl=14&amp;sty=h&amp;cp=36.7094~42.6187&amp;sp=point.36.7094_42.6187","Maplink3")</f>
        <v>Maplink3</v>
      </c>
    </row>
    <row r="2195" spans="1:48" ht="15" customHeight="1" x14ac:dyDescent="0.25">
      <c r="A2195" s="19">
        <v>28450</v>
      </c>
      <c r="B2195" s="20" t="s">
        <v>21</v>
      </c>
      <c r="C2195" s="20" t="s">
        <v>3899</v>
      </c>
      <c r="D2195" s="20" t="s">
        <v>3926</v>
      </c>
      <c r="E2195" s="20" t="s">
        <v>3927</v>
      </c>
      <c r="F2195" s="20">
        <v>36.679831200000002</v>
      </c>
      <c r="G2195" s="20">
        <v>42.393061209999999</v>
      </c>
      <c r="H2195" s="22">
        <v>67</v>
      </c>
      <c r="I2195" s="22">
        <v>402</v>
      </c>
      <c r="J2195" s="21"/>
      <c r="K2195" s="21"/>
      <c r="L2195" s="21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>
        <v>67</v>
      </c>
      <c r="W2195" s="21"/>
      <c r="X2195" s="21"/>
      <c r="Y2195" s="21"/>
      <c r="Z2195" s="21"/>
      <c r="AA2195" s="21"/>
      <c r="AB2195" s="21"/>
      <c r="AC2195" s="21">
        <v>67</v>
      </c>
      <c r="AD2195" s="21"/>
      <c r="AE2195" s="21"/>
      <c r="AF2195" s="21"/>
      <c r="AG2195" s="21"/>
      <c r="AH2195" s="21"/>
      <c r="AI2195" s="21"/>
      <c r="AJ2195" s="21"/>
      <c r="AK2195" s="21"/>
      <c r="AL2195" s="21"/>
      <c r="AM2195" s="21"/>
      <c r="AN2195" s="21"/>
      <c r="AO2195" s="21">
        <v>30</v>
      </c>
      <c r="AP2195" s="21"/>
      <c r="AQ2195" s="21"/>
      <c r="AR2195" s="21"/>
      <c r="AS2195" s="21">
        <v>37</v>
      </c>
      <c r="AT2195" s="12" t="str">
        <f>HYPERLINK("http://www.openstreetmap.org/?mlat=36.6798&amp;mlon=42.3931&amp;zoom=12#map=12/36.6798/42.3931","Maplink1")</f>
        <v>Maplink1</v>
      </c>
      <c r="AU2195" s="12" t="str">
        <f>HYPERLINK("https://www.google.iq/maps/search/+36.6798,42.3931/@36.6798,42.3931,14z?hl=en","Maplink2")</f>
        <v>Maplink2</v>
      </c>
      <c r="AV2195" s="12" t="str">
        <f>HYPERLINK("http://www.bing.com/maps/?lvl=14&amp;sty=h&amp;cp=36.6798~42.3931&amp;sp=point.36.6798_42.3931","Maplink3")</f>
        <v>Maplink3</v>
      </c>
    </row>
    <row r="2196" spans="1:48" ht="15" customHeight="1" x14ac:dyDescent="0.25">
      <c r="A2196" s="19">
        <v>25686</v>
      </c>
      <c r="B2196" s="20" t="s">
        <v>21</v>
      </c>
      <c r="C2196" s="20" t="s">
        <v>3899</v>
      </c>
      <c r="D2196" s="20" t="s">
        <v>3928</v>
      </c>
      <c r="E2196" s="20" t="s">
        <v>3929</v>
      </c>
      <c r="F2196" s="20">
        <v>36.805915579999997</v>
      </c>
      <c r="G2196" s="20">
        <v>42.08635511</v>
      </c>
      <c r="H2196" s="22">
        <v>18</v>
      </c>
      <c r="I2196" s="22">
        <v>108</v>
      </c>
      <c r="J2196" s="21"/>
      <c r="K2196" s="21"/>
      <c r="L2196" s="21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>
        <v>18</v>
      </c>
      <c r="W2196" s="21"/>
      <c r="X2196" s="21"/>
      <c r="Y2196" s="21"/>
      <c r="Z2196" s="21"/>
      <c r="AA2196" s="21"/>
      <c r="AB2196" s="21"/>
      <c r="AC2196" s="21">
        <v>13</v>
      </c>
      <c r="AD2196" s="21"/>
      <c r="AE2196" s="21"/>
      <c r="AF2196" s="21"/>
      <c r="AG2196" s="21"/>
      <c r="AH2196" s="21">
        <v>5</v>
      </c>
      <c r="AI2196" s="21"/>
      <c r="AJ2196" s="21"/>
      <c r="AK2196" s="21"/>
      <c r="AL2196" s="21"/>
      <c r="AM2196" s="21"/>
      <c r="AN2196" s="21"/>
      <c r="AO2196" s="21"/>
      <c r="AP2196" s="21">
        <v>16</v>
      </c>
      <c r="AQ2196" s="21"/>
      <c r="AR2196" s="21"/>
      <c r="AS2196" s="21">
        <v>2</v>
      </c>
      <c r="AT2196" s="12" t="str">
        <f>HYPERLINK("http://www.openstreetmap.org/?mlat=36.8059&amp;mlon=42.0864&amp;zoom=12#map=12/36.8059/42.0864","Maplink1")</f>
        <v>Maplink1</v>
      </c>
      <c r="AU2196" s="12" t="str">
        <f>HYPERLINK("https://www.google.iq/maps/search/+36.8059,42.0864/@36.8059,42.0864,14z?hl=en","Maplink2")</f>
        <v>Maplink2</v>
      </c>
      <c r="AV2196" s="12" t="str">
        <f>HYPERLINK("http://www.bing.com/maps/?lvl=14&amp;sty=h&amp;cp=36.8059~42.0864&amp;sp=point.36.8059_42.0864","Maplink3")</f>
        <v>Maplink3</v>
      </c>
    </row>
    <row r="2197" spans="1:48" ht="15" customHeight="1" x14ac:dyDescent="0.25">
      <c r="A2197" s="19">
        <v>18308</v>
      </c>
      <c r="B2197" s="20" t="s">
        <v>21</v>
      </c>
      <c r="C2197" s="20" t="s">
        <v>3899</v>
      </c>
      <c r="D2197" s="20" t="s">
        <v>3930</v>
      </c>
      <c r="E2197" s="20" t="s">
        <v>112</v>
      </c>
      <c r="F2197" s="20">
        <v>36.802901009999999</v>
      </c>
      <c r="G2197" s="20">
        <v>42.097400810000003</v>
      </c>
      <c r="H2197" s="22">
        <v>454</v>
      </c>
      <c r="I2197" s="22">
        <v>2724</v>
      </c>
      <c r="J2197" s="21"/>
      <c r="K2197" s="21"/>
      <c r="L2197" s="21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>
        <v>454</v>
      </c>
      <c r="W2197" s="21"/>
      <c r="X2197" s="21"/>
      <c r="Y2197" s="21"/>
      <c r="Z2197" s="21"/>
      <c r="AA2197" s="21"/>
      <c r="AB2197" s="21"/>
      <c r="AC2197" s="21">
        <v>372</v>
      </c>
      <c r="AD2197" s="21"/>
      <c r="AE2197" s="21"/>
      <c r="AF2197" s="21"/>
      <c r="AG2197" s="21"/>
      <c r="AH2197" s="21">
        <v>82</v>
      </c>
      <c r="AI2197" s="21"/>
      <c r="AJ2197" s="21"/>
      <c r="AK2197" s="21"/>
      <c r="AL2197" s="21"/>
      <c r="AM2197" s="21"/>
      <c r="AN2197" s="21"/>
      <c r="AO2197" s="21"/>
      <c r="AP2197" s="21">
        <v>349</v>
      </c>
      <c r="AQ2197" s="21"/>
      <c r="AR2197" s="21"/>
      <c r="AS2197" s="21">
        <v>105</v>
      </c>
      <c r="AT2197" s="12" t="str">
        <f>HYPERLINK("http://www.openstreetmap.org/?mlat=36.8029&amp;mlon=42.0974&amp;zoom=12#map=12/36.8029/42.0974","Maplink1")</f>
        <v>Maplink1</v>
      </c>
      <c r="AU2197" s="12" t="str">
        <f>HYPERLINK("https://www.google.iq/maps/search/+36.8029,42.0974/@36.8029,42.0974,14z?hl=en","Maplink2")</f>
        <v>Maplink2</v>
      </c>
      <c r="AV2197" s="12" t="str">
        <f>HYPERLINK("http://www.bing.com/maps/?lvl=14&amp;sty=h&amp;cp=36.8029~42.0974&amp;sp=point.36.8029_42.0974","Maplink3")</f>
        <v>Maplink3</v>
      </c>
    </row>
    <row r="2198" spans="1:48" ht="15" customHeight="1" x14ac:dyDescent="0.25">
      <c r="A2198" s="19">
        <v>24701</v>
      </c>
      <c r="B2198" s="20" t="s">
        <v>21</v>
      </c>
      <c r="C2198" s="20" t="s">
        <v>3899</v>
      </c>
      <c r="D2198" s="20" t="s">
        <v>3931</v>
      </c>
      <c r="E2198" s="20" t="s">
        <v>3932</v>
      </c>
      <c r="F2198" s="20">
        <v>36.808798635700001</v>
      </c>
      <c r="G2198" s="20">
        <v>42.091108648400002</v>
      </c>
      <c r="H2198" s="22">
        <v>152</v>
      </c>
      <c r="I2198" s="22">
        <v>912</v>
      </c>
      <c r="J2198" s="21"/>
      <c r="K2198" s="21"/>
      <c r="L2198" s="21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>
        <v>152</v>
      </c>
      <c r="W2198" s="21"/>
      <c r="X2198" s="21"/>
      <c r="Y2198" s="21"/>
      <c r="Z2198" s="21"/>
      <c r="AA2198" s="21"/>
      <c r="AB2198" s="21"/>
      <c r="AC2198" s="21">
        <v>80</v>
      </c>
      <c r="AD2198" s="21"/>
      <c r="AE2198" s="21"/>
      <c r="AF2198" s="21"/>
      <c r="AG2198" s="21"/>
      <c r="AH2198" s="21">
        <v>72</v>
      </c>
      <c r="AI2198" s="21"/>
      <c r="AJ2198" s="21"/>
      <c r="AK2198" s="21"/>
      <c r="AL2198" s="21"/>
      <c r="AM2198" s="21"/>
      <c r="AN2198" s="21"/>
      <c r="AO2198" s="21"/>
      <c r="AP2198" s="21">
        <v>52</v>
      </c>
      <c r="AQ2198" s="21"/>
      <c r="AR2198" s="21"/>
      <c r="AS2198" s="21">
        <v>100</v>
      </c>
      <c r="AT2198" s="12" t="str">
        <f>HYPERLINK("http://www.openstreetmap.org/?mlat=36.8088&amp;mlon=42.0911&amp;zoom=12#map=12/36.8088/42.0911","Maplink1")</f>
        <v>Maplink1</v>
      </c>
      <c r="AU2198" s="12" t="str">
        <f>HYPERLINK("https://www.google.iq/maps/search/+36.8088,42.0911/@36.8088,42.0911,14z?hl=en","Maplink2")</f>
        <v>Maplink2</v>
      </c>
      <c r="AV2198" s="12" t="str">
        <f>HYPERLINK("http://www.bing.com/maps/?lvl=14&amp;sty=h&amp;cp=36.8088~42.0911&amp;sp=point.36.8088_42.0911","Maplink3")</f>
        <v>Maplink3</v>
      </c>
    </row>
    <row r="2199" spans="1:48" ht="15" customHeight="1" x14ac:dyDescent="0.25">
      <c r="A2199" s="19">
        <v>25688</v>
      </c>
      <c r="B2199" s="20" t="s">
        <v>21</v>
      </c>
      <c r="C2199" s="20" t="s">
        <v>3899</v>
      </c>
      <c r="D2199" s="20" t="s">
        <v>3933</v>
      </c>
      <c r="E2199" s="20" t="s">
        <v>1359</v>
      </c>
      <c r="F2199" s="20">
        <v>36.807910980000003</v>
      </c>
      <c r="G2199" s="20">
        <v>42.082697750000001</v>
      </c>
      <c r="H2199" s="22">
        <v>36</v>
      </c>
      <c r="I2199" s="22">
        <v>216</v>
      </c>
      <c r="J2199" s="21"/>
      <c r="K2199" s="21"/>
      <c r="L2199" s="21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>
        <v>36</v>
      </c>
      <c r="W2199" s="21"/>
      <c r="X2199" s="21"/>
      <c r="Y2199" s="21"/>
      <c r="Z2199" s="21"/>
      <c r="AA2199" s="21"/>
      <c r="AB2199" s="21"/>
      <c r="AC2199" s="21">
        <v>36</v>
      </c>
      <c r="AD2199" s="21"/>
      <c r="AE2199" s="21"/>
      <c r="AF2199" s="21"/>
      <c r="AG2199" s="21"/>
      <c r="AH2199" s="21"/>
      <c r="AI2199" s="21"/>
      <c r="AJ2199" s="21"/>
      <c r="AK2199" s="21"/>
      <c r="AL2199" s="21"/>
      <c r="AM2199" s="21"/>
      <c r="AN2199" s="21"/>
      <c r="AO2199" s="21"/>
      <c r="AP2199" s="21"/>
      <c r="AQ2199" s="21"/>
      <c r="AR2199" s="21"/>
      <c r="AS2199" s="21">
        <v>36</v>
      </c>
      <c r="AT2199" s="12" t="str">
        <f>HYPERLINK("http://www.openstreetmap.org/?mlat=36.8079&amp;mlon=42.0827&amp;zoom=12#map=12/36.8079/42.0827","Maplink1")</f>
        <v>Maplink1</v>
      </c>
      <c r="AU2199" s="12" t="str">
        <f>HYPERLINK("https://www.google.iq/maps/search/+36.8079,42.0827/@36.8079,42.0827,14z?hl=en","Maplink2")</f>
        <v>Maplink2</v>
      </c>
      <c r="AV2199" s="12" t="str">
        <f>HYPERLINK("http://www.bing.com/maps/?lvl=14&amp;sty=h&amp;cp=36.8079~42.0827&amp;sp=point.36.8079_42.0827","Maplink3")</f>
        <v>Maplink3</v>
      </c>
    </row>
    <row r="2200" spans="1:48" ht="15" customHeight="1" x14ac:dyDescent="0.25">
      <c r="A2200" s="19">
        <v>25687</v>
      </c>
      <c r="B2200" s="20" t="s">
        <v>21</v>
      </c>
      <c r="C2200" s="20" t="s">
        <v>3899</v>
      </c>
      <c r="D2200" s="20" t="s">
        <v>3934</v>
      </c>
      <c r="E2200" s="20" t="s">
        <v>3178</v>
      </c>
      <c r="F2200" s="20">
        <v>36.799288140000002</v>
      </c>
      <c r="G2200" s="20">
        <v>42.095022759999999</v>
      </c>
      <c r="H2200" s="22">
        <v>67</v>
      </c>
      <c r="I2200" s="22">
        <v>402</v>
      </c>
      <c r="J2200" s="21"/>
      <c r="K2200" s="21"/>
      <c r="L2200" s="21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>
        <v>67</v>
      </c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21"/>
      <c r="AH2200" s="21">
        <v>67</v>
      </c>
      <c r="AI2200" s="21"/>
      <c r="AJ2200" s="21"/>
      <c r="AK2200" s="21"/>
      <c r="AL2200" s="21"/>
      <c r="AM2200" s="21"/>
      <c r="AN2200" s="21"/>
      <c r="AO2200" s="21"/>
      <c r="AP2200" s="21"/>
      <c r="AQ2200" s="21"/>
      <c r="AR2200" s="21"/>
      <c r="AS2200" s="21">
        <v>67</v>
      </c>
      <c r="AT2200" s="12" t="str">
        <f>HYPERLINK("http://www.openstreetmap.org/?mlat=36.7993&amp;mlon=42.095&amp;zoom=12#map=12/36.7993/42.095","Maplink1")</f>
        <v>Maplink1</v>
      </c>
      <c r="AU2200" s="12" t="str">
        <f>HYPERLINK("https://www.google.iq/maps/search/+36.7993,42.095/@36.7993,42.095,14z?hl=en","Maplink2")</f>
        <v>Maplink2</v>
      </c>
      <c r="AV2200" s="12" t="str">
        <f>HYPERLINK("http://www.bing.com/maps/?lvl=14&amp;sty=h&amp;cp=36.7993~42.095&amp;sp=point.36.7993_42.095","Maplink3")</f>
        <v>Maplink3</v>
      </c>
    </row>
    <row r="2201" spans="1:48" ht="15" customHeight="1" x14ac:dyDescent="0.25">
      <c r="A2201" s="19">
        <v>25808</v>
      </c>
      <c r="B2201" s="20" t="s">
        <v>21</v>
      </c>
      <c r="C2201" s="20" t="s">
        <v>3899</v>
      </c>
      <c r="D2201" s="20" t="s">
        <v>3935</v>
      </c>
      <c r="E2201" s="20" t="s">
        <v>567</v>
      </c>
      <c r="F2201" s="20">
        <v>36.804023440000002</v>
      </c>
      <c r="G2201" s="20">
        <v>42.086926939999998</v>
      </c>
      <c r="H2201" s="22">
        <v>105</v>
      </c>
      <c r="I2201" s="22">
        <v>630</v>
      </c>
      <c r="J2201" s="21"/>
      <c r="K2201" s="21"/>
      <c r="L2201" s="21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>
        <v>105</v>
      </c>
      <c r="W2201" s="21"/>
      <c r="X2201" s="21"/>
      <c r="Y2201" s="21"/>
      <c r="Z2201" s="21"/>
      <c r="AA2201" s="21"/>
      <c r="AB2201" s="21"/>
      <c r="AC2201" s="21">
        <v>75</v>
      </c>
      <c r="AD2201" s="21"/>
      <c r="AE2201" s="21"/>
      <c r="AF2201" s="21"/>
      <c r="AG2201" s="21"/>
      <c r="AH2201" s="21">
        <v>30</v>
      </c>
      <c r="AI2201" s="21"/>
      <c r="AJ2201" s="21"/>
      <c r="AK2201" s="21"/>
      <c r="AL2201" s="21"/>
      <c r="AM2201" s="21"/>
      <c r="AN2201" s="21"/>
      <c r="AO2201" s="21"/>
      <c r="AP2201" s="21">
        <v>52</v>
      </c>
      <c r="AQ2201" s="21"/>
      <c r="AR2201" s="21"/>
      <c r="AS2201" s="21">
        <v>53</v>
      </c>
      <c r="AT2201" s="12" t="str">
        <f>HYPERLINK("http://www.openstreetmap.org/?mlat=36.804&amp;mlon=42.0869&amp;zoom=12#map=12/36.804/42.0869","Maplink1")</f>
        <v>Maplink1</v>
      </c>
      <c r="AU2201" s="12" t="str">
        <f>HYPERLINK("https://www.google.iq/maps/search/+36.804,42.0869/@36.804,42.0869,14z?hl=en","Maplink2")</f>
        <v>Maplink2</v>
      </c>
      <c r="AV2201" s="12" t="str">
        <f>HYPERLINK("http://www.bing.com/maps/?lvl=14&amp;sty=h&amp;cp=36.804~42.0869&amp;sp=point.36.804_42.0869","Maplink3")</f>
        <v>Maplink3</v>
      </c>
    </row>
    <row r="2202" spans="1:48" ht="15" customHeight="1" x14ac:dyDescent="0.25">
      <c r="A2202" s="19">
        <v>25807</v>
      </c>
      <c r="B2202" s="20" t="s">
        <v>21</v>
      </c>
      <c r="C2202" s="20" t="s">
        <v>3899</v>
      </c>
      <c r="D2202" s="20" t="s">
        <v>3936</v>
      </c>
      <c r="E2202" s="20" t="s">
        <v>3937</v>
      </c>
      <c r="F2202" s="20">
        <v>36.801679610000001</v>
      </c>
      <c r="G2202" s="20">
        <v>42.0950682</v>
      </c>
      <c r="H2202" s="22">
        <v>25</v>
      </c>
      <c r="I2202" s="22">
        <v>150</v>
      </c>
      <c r="J2202" s="21"/>
      <c r="K2202" s="21"/>
      <c r="L2202" s="21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>
        <v>25</v>
      </c>
      <c r="W2202" s="21"/>
      <c r="X2202" s="21"/>
      <c r="Y2202" s="21"/>
      <c r="Z2202" s="21"/>
      <c r="AA2202" s="21"/>
      <c r="AB2202" s="21"/>
      <c r="AC2202" s="21">
        <v>25</v>
      </c>
      <c r="AD2202" s="21"/>
      <c r="AE2202" s="21"/>
      <c r="AF2202" s="21"/>
      <c r="AG2202" s="21"/>
      <c r="AH2202" s="21"/>
      <c r="AI2202" s="21"/>
      <c r="AJ2202" s="21"/>
      <c r="AK2202" s="21"/>
      <c r="AL2202" s="21"/>
      <c r="AM2202" s="21"/>
      <c r="AN2202" s="21"/>
      <c r="AO2202" s="21"/>
      <c r="AP2202" s="21">
        <v>17</v>
      </c>
      <c r="AQ2202" s="21"/>
      <c r="AR2202" s="21"/>
      <c r="AS2202" s="21">
        <v>8</v>
      </c>
      <c r="AT2202" s="12" t="str">
        <f>HYPERLINK("http://www.openstreetmap.org/?mlat=36.8017&amp;mlon=42.0951&amp;zoom=12#map=12/36.8017/42.0951","Maplink1")</f>
        <v>Maplink1</v>
      </c>
      <c r="AU2202" s="12" t="str">
        <f>HYPERLINK("https://www.google.iq/maps/search/+36.8017,42.0951/@36.8017,42.0951,14z?hl=en","Maplink2")</f>
        <v>Maplink2</v>
      </c>
      <c r="AV2202" s="12" t="str">
        <f>HYPERLINK("http://www.bing.com/maps/?lvl=14&amp;sty=h&amp;cp=36.8017~42.0951&amp;sp=point.36.8017_42.0951","Maplink3")</f>
        <v>Maplink3</v>
      </c>
    </row>
    <row r="2203" spans="1:48" ht="15" customHeight="1" x14ac:dyDescent="0.25">
      <c r="A2203" s="19">
        <v>22648</v>
      </c>
      <c r="B2203" s="20" t="s">
        <v>21</v>
      </c>
      <c r="C2203" s="20" t="s">
        <v>3899</v>
      </c>
      <c r="D2203" s="20" t="s">
        <v>3938</v>
      </c>
      <c r="E2203" s="20" t="s">
        <v>3939</v>
      </c>
      <c r="F2203" s="20">
        <v>36.535484169999997</v>
      </c>
      <c r="G2203" s="20">
        <v>42.704745520000003</v>
      </c>
      <c r="H2203" s="22">
        <v>4</v>
      </c>
      <c r="I2203" s="22">
        <v>24</v>
      </c>
      <c r="J2203" s="21"/>
      <c r="K2203" s="21"/>
      <c r="L2203" s="21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>
        <v>4</v>
      </c>
      <c r="W2203" s="21"/>
      <c r="X2203" s="21"/>
      <c r="Y2203" s="21"/>
      <c r="Z2203" s="21"/>
      <c r="AA2203" s="21"/>
      <c r="AB2203" s="21"/>
      <c r="AC2203" s="21">
        <v>4</v>
      </c>
      <c r="AD2203" s="21"/>
      <c r="AE2203" s="21"/>
      <c r="AF2203" s="21"/>
      <c r="AG2203" s="21"/>
      <c r="AH2203" s="21"/>
      <c r="AI2203" s="21"/>
      <c r="AJ2203" s="21"/>
      <c r="AK2203" s="21"/>
      <c r="AL2203" s="21"/>
      <c r="AM2203" s="21"/>
      <c r="AN2203" s="21"/>
      <c r="AO2203" s="21">
        <v>4</v>
      </c>
      <c r="AP2203" s="21"/>
      <c r="AQ2203" s="21"/>
      <c r="AR2203" s="21"/>
      <c r="AS2203" s="21"/>
      <c r="AT2203" s="12" t="str">
        <f>HYPERLINK("http://www.openstreetmap.org/?mlat=36.5355&amp;mlon=42.7047&amp;zoom=12#map=12/36.5355/42.7047","Maplink1")</f>
        <v>Maplink1</v>
      </c>
      <c r="AU2203" s="12" t="str">
        <f>HYPERLINK("https://www.google.iq/maps/search/+36.5355,42.7047/@36.5355,42.7047,14z?hl=en","Maplink2")</f>
        <v>Maplink2</v>
      </c>
      <c r="AV2203" s="12" t="str">
        <f>HYPERLINK("http://www.bing.com/maps/?lvl=14&amp;sty=h&amp;cp=36.5355~42.7047&amp;sp=point.36.5355_42.7047","Maplink3")</f>
        <v>Maplink3</v>
      </c>
    </row>
    <row r="2204" spans="1:48" ht="15" customHeight="1" x14ac:dyDescent="0.25">
      <c r="A2204" s="19">
        <v>27395</v>
      </c>
      <c r="B2204" s="20" t="s">
        <v>21</v>
      </c>
      <c r="C2204" s="20" t="s">
        <v>3899</v>
      </c>
      <c r="D2204" s="20" t="s">
        <v>5758</v>
      </c>
      <c r="E2204" s="20" t="s">
        <v>5759</v>
      </c>
      <c r="F2204" s="20">
        <v>36.563204040000002</v>
      </c>
      <c r="G2204" s="20">
        <v>42.556955940000002</v>
      </c>
      <c r="H2204" s="22">
        <v>10</v>
      </c>
      <c r="I2204" s="22">
        <v>60</v>
      </c>
      <c r="J2204" s="21"/>
      <c r="K2204" s="21"/>
      <c r="L2204" s="21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>
        <v>10</v>
      </c>
      <c r="W2204" s="21"/>
      <c r="X2204" s="21"/>
      <c r="Y2204" s="21"/>
      <c r="Z2204" s="21"/>
      <c r="AA2204" s="21"/>
      <c r="AB2204" s="21"/>
      <c r="AC2204" s="21">
        <v>10</v>
      </c>
      <c r="AD2204" s="21"/>
      <c r="AE2204" s="21"/>
      <c r="AF2204" s="21"/>
      <c r="AG2204" s="21"/>
      <c r="AH2204" s="21"/>
      <c r="AI2204" s="21"/>
      <c r="AJ2204" s="21"/>
      <c r="AK2204" s="21"/>
      <c r="AL2204" s="21"/>
      <c r="AM2204" s="21"/>
      <c r="AN2204" s="21"/>
      <c r="AO2204" s="21">
        <v>10</v>
      </c>
      <c r="AP2204" s="21"/>
      <c r="AQ2204" s="21"/>
      <c r="AR2204" s="21"/>
      <c r="AS2204" s="21"/>
      <c r="AT2204" s="12" t="str">
        <f>HYPERLINK("http://www.openstreetmap.org/?mlat=36.5632&amp;mlon=42.557&amp;zoom=12#map=12/36.5632/42.557","Maplink1")</f>
        <v>Maplink1</v>
      </c>
      <c r="AU2204" s="12" t="str">
        <f>HYPERLINK("https://www.google.iq/maps/search/+36.5632,42.557/@36.5632,42.557,14z?hl=en","Maplink2")</f>
        <v>Maplink2</v>
      </c>
      <c r="AV2204" s="12" t="str">
        <f>HYPERLINK("http://www.bing.com/maps/?lvl=14&amp;sty=h&amp;cp=36.5632~42.557&amp;sp=point.36.5632_42.557","Maplink3")</f>
        <v>Maplink3</v>
      </c>
    </row>
    <row r="2205" spans="1:48" ht="15" customHeight="1" x14ac:dyDescent="0.25">
      <c r="A2205" s="19">
        <v>22448</v>
      </c>
      <c r="B2205" s="20" t="s">
        <v>21</v>
      </c>
      <c r="C2205" s="20" t="s">
        <v>3899</v>
      </c>
      <c r="D2205" s="20" t="s">
        <v>5566</v>
      </c>
      <c r="E2205" s="20" t="s">
        <v>5567</v>
      </c>
      <c r="F2205" s="20">
        <v>36.563875529999997</v>
      </c>
      <c r="G2205" s="20">
        <v>42.572539570000004</v>
      </c>
      <c r="H2205" s="22">
        <v>15</v>
      </c>
      <c r="I2205" s="22">
        <v>90</v>
      </c>
      <c r="J2205" s="21"/>
      <c r="K2205" s="21"/>
      <c r="L2205" s="21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>
        <v>15</v>
      </c>
      <c r="W2205" s="21"/>
      <c r="X2205" s="21"/>
      <c r="Y2205" s="21"/>
      <c r="Z2205" s="21"/>
      <c r="AA2205" s="21"/>
      <c r="AB2205" s="21"/>
      <c r="AC2205" s="21">
        <v>15</v>
      </c>
      <c r="AD2205" s="21"/>
      <c r="AE2205" s="21"/>
      <c r="AF2205" s="21"/>
      <c r="AG2205" s="21"/>
      <c r="AH2205" s="21"/>
      <c r="AI2205" s="21"/>
      <c r="AJ2205" s="21"/>
      <c r="AK2205" s="21"/>
      <c r="AL2205" s="21"/>
      <c r="AM2205" s="21"/>
      <c r="AN2205" s="21">
        <v>5</v>
      </c>
      <c r="AO2205" s="21">
        <v>3</v>
      </c>
      <c r="AP2205" s="21">
        <v>7</v>
      </c>
      <c r="AQ2205" s="21"/>
      <c r="AR2205" s="21"/>
      <c r="AS2205" s="21"/>
      <c r="AT2205" s="12" t="str">
        <f>HYPERLINK("http://www.openstreetmap.org/?mlat=36.5639&amp;mlon=42.5725&amp;zoom=12#map=12/36.5639/42.5725","Maplink1")</f>
        <v>Maplink1</v>
      </c>
      <c r="AU2205" s="12" t="str">
        <f>HYPERLINK("https://www.google.iq/maps/search/+36.5639,42.5725/@36.5639,42.5725,14z?hl=en","Maplink2")</f>
        <v>Maplink2</v>
      </c>
      <c r="AV2205" s="12" t="str">
        <f>HYPERLINK("http://www.bing.com/maps/?lvl=14&amp;sty=h&amp;cp=36.5639~42.5725&amp;sp=point.36.5639_42.5725","Maplink3")</f>
        <v>Maplink3</v>
      </c>
    </row>
    <row r="2206" spans="1:48" ht="15" customHeight="1" x14ac:dyDescent="0.25">
      <c r="A2206" s="19">
        <v>22923</v>
      </c>
      <c r="B2206" s="20" t="s">
        <v>21</v>
      </c>
      <c r="C2206" s="20" t="s">
        <v>3899</v>
      </c>
      <c r="D2206" s="20" t="s">
        <v>3940</v>
      </c>
      <c r="E2206" s="20" t="s">
        <v>3941</v>
      </c>
      <c r="F2206" s="20">
        <v>36.559011959999999</v>
      </c>
      <c r="G2206" s="20">
        <v>42.347365019999998</v>
      </c>
      <c r="H2206" s="22">
        <v>18</v>
      </c>
      <c r="I2206" s="22">
        <v>108</v>
      </c>
      <c r="J2206" s="21"/>
      <c r="K2206" s="21"/>
      <c r="L2206" s="21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>
        <v>18</v>
      </c>
      <c r="W2206" s="21"/>
      <c r="X2206" s="21"/>
      <c r="Y2206" s="21"/>
      <c r="Z2206" s="21"/>
      <c r="AA2206" s="21"/>
      <c r="AB2206" s="21"/>
      <c r="AC2206" s="21">
        <v>18</v>
      </c>
      <c r="AD2206" s="21"/>
      <c r="AE2206" s="21"/>
      <c r="AF2206" s="21"/>
      <c r="AG2206" s="21"/>
      <c r="AH2206" s="21"/>
      <c r="AI2206" s="21"/>
      <c r="AJ2206" s="21"/>
      <c r="AK2206" s="21"/>
      <c r="AL2206" s="21"/>
      <c r="AM2206" s="21"/>
      <c r="AN2206" s="21"/>
      <c r="AO2206" s="21">
        <v>18</v>
      </c>
      <c r="AP2206" s="21"/>
      <c r="AQ2206" s="21"/>
      <c r="AR2206" s="21"/>
      <c r="AS2206" s="21"/>
      <c r="AT2206" s="12" t="str">
        <f>HYPERLINK("http://www.openstreetmap.org/?mlat=36.559&amp;mlon=42.3474&amp;zoom=12#map=12/36.559/42.3474","Maplink1")</f>
        <v>Maplink1</v>
      </c>
      <c r="AU2206" s="12" t="str">
        <f>HYPERLINK("https://www.google.iq/maps/search/+36.559,42.3474/@36.559,42.3474,14z?hl=en","Maplink2")</f>
        <v>Maplink2</v>
      </c>
      <c r="AV2206" s="12" t="str">
        <f>HYPERLINK("http://www.bing.com/maps/?lvl=14&amp;sty=h&amp;cp=36.559~42.3474&amp;sp=point.36.559_42.3474","Maplink3")</f>
        <v>Maplink3</v>
      </c>
    </row>
    <row r="2207" spans="1:48" ht="15" customHeight="1" x14ac:dyDescent="0.25">
      <c r="A2207" s="19">
        <v>28451</v>
      </c>
      <c r="B2207" s="20" t="s">
        <v>21</v>
      </c>
      <c r="C2207" s="20" t="s">
        <v>3899</v>
      </c>
      <c r="D2207" s="20" t="s">
        <v>3942</v>
      </c>
      <c r="E2207" s="20" t="s">
        <v>3943</v>
      </c>
      <c r="F2207" s="20">
        <v>36.729982</v>
      </c>
      <c r="G2207" s="20">
        <v>42.389882</v>
      </c>
      <c r="H2207" s="22">
        <v>40</v>
      </c>
      <c r="I2207" s="22">
        <v>240</v>
      </c>
      <c r="J2207" s="21"/>
      <c r="K2207" s="21"/>
      <c r="L2207" s="21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>
        <v>40</v>
      </c>
      <c r="W2207" s="21"/>
      <c r="X2207" s="21"/>
      <c r="Y2207" s="21"/>
      <c r="Z2207" s="21"/>
      <c r="AA2207" s="21"/>
      <c r="AB2207" s="21"/>
      <c r="AC2207" s="21">
        <v>40</v>
      </c>
      <c r="AD2207" s="21"/>
      <c r="AE2207" s="21"/>
      <c r="AF2207" s="21"/>
      <c r="AG2207" s="21"/>
      <c r="AH2207" s="21"/>
      <c r="AI2207" s="21"/>
      <c r="AJ2207" s="21"/>
      <c r="AK2207" s="21"/>
      <c r="AL2207" s="21"/>
      <c r="AM2207" s="21"/>
      <c r="AN2207" s="21"/>
      <c r="AO2207" s="21">
        <v>30</v>
      </c>
      <c r="AP2207" s="21"/>
      <c r="AQ2207" s="21"/>
      <c r="AR2207" s="21"/>
      <c r="AS2207" s="21">
        <v>10</v>
      </c>
      <c r="AT2207" s="12" t="str">
        <f>HYPERLINK("http://www.openstreetmap.org/?mlat=36.73&amp;mlon=42.3899&amp;zoom=12#map=12/36.73/42.3899","Maplink1")</f>
        <v>Maplink1</v>
      </c>
      <c r="AU2207" s="12" t="str">
        <f>HYPERLINK("https://www.google.iq/maps/search/+36.73,42.3899/@36.73,42.3899,14z?hl=en","Maplink2")</f>
        <v>Maplink2</v>
      </c>
      <c r="AV2207" s="12" t="str">
        <f>HYPERLINK("http://www.bing.com/maps/?lvl=14&amp;sty=h&amp;cp=36.73~42.3899&amp;sp=point.36.73_42.3899","Maplink3")</f>
        <v>Maplink3</v>
      </c>
    </row>
    <row r="2208" spans="1:48" ht="15" customHeight="1" x14ac:dyDescent="0.25">
      <c r="A2208" s="19">
        <v>17655</v>
      </c>
      <c r="B2208" s="20" t="s">
        <v>21</v>
      </c>
      <c r="C2208" s="20" t="s">
        <v>3899</v>
      </c>
      <c r="D2208" s="20" t="s">
        <v>3944</v>
      </c>
      <c r="E2208" s="20" t="s">
        <v>3945</v>
      </c>
      <c r="F2208" s="20">
        <v>36.6225345</v>
      </c>
      <c r="G2208" s="20">
        <v>42.382255600000001</v>
      </c>
      <c r="H2208" s="22">
        <v>40</v>
      </c>
      <c r="I2208" s="22">
        <v>240</v>
      </c>
      <c r="J2208" s="21"/>
      <c r="K2208" s="21"/>
      <c r="L2208" s="21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>
        <v>40</v>
      </c>
      <c r="W2208" s="21"/>
      <c r="X2208" s="21"/>
      <c r="Y2208" s="21"/>
      <c r="Z2208" s="21"/>
      <c r="AA2208" s="21"/>
      <c r="AB2208" s="21"/>
      <c r="AC2208" s="21">
        <v>40</v>
      </c>
      <c r="AD2208" s="21"/>
      <c r="AE2208" s="21"/>
      <c r="AF2208" s="21"/>
      <c r="AG2208" s="21"/>
      <c r="AH2208" s="21"/>
      <c r="AI2208" s="21"/>
      <c r="AJ2208" s="21"/>
      <c r="AK2208" s="21"/>
      <c r="AL2208" s="21"/>
      <c r="AM2208" s="21"/>
      <c r="AN2208" s="21"/>
      <c r="AO2208" s="21">
        <v>40</v>
      </c>
      <c r="AP2208" s="21"/>
      <c r="AQ2208" s="21"/>
      <c r="AR2208" s="21"/>
      <c r="AS2208" s="21"/>
      <c r="AT2208" s="12" t="str">
        <f>HYPERLINK("http://www.openstreetmap.org/?mlat=36.6225&amp;mlon=42.3823&amp;zoom=12#map=12/36.6225/42.3823","Maplink1")</f>
        <v>Maplink1</v>
      </c>
      <c r="AU2208" s="12" t="str">
        <f>HYPERLINK("https://www.google.iq/maps/search/+36.6225,42.3823/@36.6225,42.3823,14z?hl=en","Maplink2")</f>
        <v>Maplink2</v>
      </c>
      <c r="AV2208" s="12" t="str">
        <f>HYPERLINK("http://www.bing.com/maps/?lvl=14&amp;sty=h&amp;cp=36.6225~42.3823&amp;sp=point.36.6225_42.3823","Maplink3")</f>
        <v>Maplink3</v>
      </c>
    </row>
    <row r="2209" spans="1:48" ht="15" customHeight="1" x14ac:dyDescent="0.25">
      <c r="A2209" s="19">
        <v>25695</v>
      </c>
      <c r="B2209" s="20" t="s">
        <v>21</v>
      </c>
      <c r="C2209" s="20" t="s">
        <v>3899</v>
      </c>
      <c r="D2209" s="20" t="s">
        <v>3946</v>
      </c>
      <c r="E2209" s="20" t="s">
        <v>3947</v>
      </c>
      <c r="F2209" s="20">
        <v>36.685932999999999</v>
      </c>
      <c r="G2209" s="20">
        <v>42.598467999999997</v>
      </c>
      <c r="H2209" s="22">
        <v>7</v>
      </c>
      <c r="I2209" s="22">
        <v>42</v>
      </c>
      <c r="J2209" s="21"/>
      <c r="K2209" s="21"/>
      <c r="L2209" s="21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>
        <v>7</v>
      </c>
      <c r="W2209" s="21"/>
      <c r="X2209" s="21"/>
      <c r="Y2209" s="21"/>
      <c r="Z2209" s="21"/>
      <c r="AA2209" s="21"/>
      <c r="AB2209" s="21"/>
      <c r="AC2209" s="21">
        <v>7</v>
      </c>
      <c r="AD2209" s="21"/>
      <c r="AE2209" s="21"/>
      <c r="AF2209" s="21"/>
      <c r="AG2209" s="21"/>
      <c r="AH2209" s="21"/>
      <c r="AI2209" s="21"/>
      <c r="AJ2209" s="21"/>
      <c r="AK2209" s="21"/>
      <c r="AL2209" s="21"/>
      <c r="AM2209" s="21"/>
      <c r="AN2209" s="21">
        <v>2</v>
      </c>
      <c r="AO2209" s="21">
        <v>5</v>
      </c>
      <c r="AP2209" s="21"/>
      <c r="AQ2209" s="21"/>
      <c r="AR2209" s="21"/>
      <c r="AS2209" s="21"/>
      <c r="AT2209" s="12" t="str">
        <f>HYPERLINK("http://www.openstreetmap.org/?mlat=36.6859&amp;mlon=42.5985&amp;zoom=12#map=12/36.6859/42.5985","Maplink1")</f>
        <v>Maplink1</v>
      </c>
      <c r="AU2209" s="12" t="str">
        <f>HYPERLINK("https://www.google.iq/maps/search/+36.6859,42.5985/@36.6859,42.5985,14z?hl=en","Maplink2")</f>
        <v>Maplink2</v>
      </c>
      <c r="AV2209" s="12" t="str">
        <f>HYPERLINK("http://www.bing.com/maps/?lvl=14&amp;sty=h&amp;cp=36.6859~42.5985&amp;sp=point.36.6859_42.5985","Maplink3")</f>
        <v>Maplink3</v>
      </c>
    </row>
    <row r="2210" spans="1:48" ht="15" customHeight="1" x14ac:dyDescent="0.25">
      <c r="A2210" s="19">
        <v>28442</v>
      </c>
      <c r="B2210" s="20" t="s">
        <v>21</v>
      </c>
      <c r="C2210" s="20" t="s">
        <v>3899</v>
      </c>
      <c r="D2210" s="20" t="s">
        <v>3948</v>
      </c>
      <c r="E2210" s="20" t="s">
        <v>3949</v>
      </c>
      <c r="F2210" s="20">
        <v>36.715897159999997</v>
      </c>
      <c r="G2210" s="20">
        <v>42.326261359999997</v>
      </c>
      <c r="H2210" s="22">
        <v>33</v>
      </c>
      <c r="I2210" s="22">
        <v>198</v>
      </c>
      <c r="J2210" s="21"/>
      <c r="K2210" s="21"/>
      <c r="L2210" s="21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>
        <v>33</v>
      </c>
      <c r="W2210" s="21"/>
      <c r="X2210" s="21"/>
      <c r="Y2210" s="21"/>
      <c r="Z2210" s="21"/>
      <c r="AA2210" s="21"/>
      <c r="AB2210" s="21"/>
      <c r="AC2210" s="21">
        <v>33</v>
      </c>
      <c r="AD2210" s="21"/>
      <c r="AE2210" s="21"/>
      <c r="AF2210" s="21"/>
      <c r="AG2210" s="21"/>
      <c r="AH2210" s="21"/>
      <c r="AI2210" s="21"/>
      <c r="AJ2210" s="21"/>
      <c r="AK2210" s="21"/>
      <c r="AL2210" s="21"/>
      <c r="AM2210" s="21"/>
      <c r="AN2210" s="21"/>
      <c r="AO2210" s="21">
        <v>33</v>
      </c>
      <c r="AP2210" s="21"/>
      <c r="AQ2210" s="21"/>
      <c r="AR2210" s="21"/>
      <c r="AS2210" s="21"/>
      <c r="AT2210" s="12" t="str">
        <f>HYPERLINK("http://www.openstreetmap.org/?mlat=36.7159&amp;mlon=42.3263&amp;zoom=12#map=12/36.7159/42.3263","Maplink1")</f>
        <v>Maplink1</v>
      </c>
      <c r="AU2210" s="12" t="str">
        <f>HYPERLINK("https://www.google.iq/maps/search/+36.7159,42.3263/@36.7159,42.3263,14z?hl=en","Maplink2")</f>
        <v>Maplink2</v>
      </c>
      <c r="AV2210" s="12" t="str">
        <f>HYPERLINK("http://www.bing.com/maps/?lvl=14&amp;sty=h&amp;cp=36.7159~42.3263&amp;sp=point.36.7159_42.3263","Maplink3")</f>
        <v>Maplink3</v>
      </c>
    </row>
    <row r="2211" spans="1:48" ht="15" customHeight="1" x14ac:dyDescent="0.25">
      <c r="A2211" s="19">
        <v>25944</v>
      </c>
      <c r="B2211" s="20" t="s">
        <v>21</v>
      </c>
      <c r="C2211" s="20" t="s">
        <v>3899</v>
      </c>
      <c r="D2211" s="20" t="s">
        <v>3950</v>
      </c>
      <c r="E2211" s="20" t="s">
        <v>3951</v>
      </c>
      <c r="F2211" s="20">
        <v>36.653372740000002</v>
      </c>
      <c r="G2211" s="20">
        <v>42.596476299999999</v>
      </c>
      <c r="H2211" s="22">
        <v>91</v>
      </c>
      <c r="I2211" s="22">
        <v>546</v>
      </c>
      <c r="J2211" s="21"/>
      <c r="K2211" s="21"/>
      <c r="L2211" s="21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>
        <v>91</v>
      </c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21"/>
      <c r="AH2211" s="21">
        <v>91</v>
      </c>
      <c r="AI2211" s="21"/>
      <c r="AJ2211" s="21"/>
      <c r="AK2211" s="21"/>
      <c r="AL2211" s="21"/>
      <c r="AM2211" s="21"/>
      <c r="AN2211" s="21">
        <v>60</v>
      </c>
      <c r="AO2211" s="21">
        <v>21</v>
      </c>
      <c r="AP2211" s="21">
        <v>10</v>
      </c>
      <c r="AQ2211" s="21"/>
      <c r="AR2211" s="21"/>
      <c r="AS2211" s="21"/>
      <c r="AT2211" s="12" t="str">
        <f>HYPERLINK("http://www.openstreetmap.org/?mlat=36.6534&amp;mlon=42.5965&amp;zoom=12#map=12/36.6534/42.5965","Maplink1")</f>
        <v>Maplink1</v>
      </c>
      <c r="AU2211" s="12" t="str">
        <f>HYPERLINK("https://www.google.iq/maps/search/+36.6534,42.5965/@36.6534,42.5965,14z?hl=en","Maplink2")</f>
        <v>Maplink2</v>
      </c>
      <c r="AV2211" s="12" t="str">
        <f>HYPERLINK("http://www.bing.com/maps/?lvl=14&amp;sty=h&amp;cp=36.6534~42.5965&amp;sp=point.36.6534_42.5965","Maplink3")</f>
        <v>Maplink3</v>
      </c>
    </row>
    <row r="2212" spans="1:48" ht="15" customHeight="1" x14ac:dyDescent="0.25">
      <c r="A2212" s="19">
        <v>33243</v>
      </c>
      <c r="B2212" s="20" t="s">
        <v>21</v>
      </c>
      <c r="C2212" s="20" t="s">
        <v>3899</v>
      </c>
      <c r="D2212" s="20" t="s">
        <v>5760</v>
      </c>
      <c r="E2212" s="20" t="s">
        <v>5761</v>
      </c>
      <c r="F2212" s="20">
        <v>36.801499999999997</v>
      </c>
      <c r="G2212" s="20">
        <v>42.519100000000002</v>
      </c>
      <c r="H2212" s="22">
        <v>25</v>
      </c>
      <c r="I2212" s="22">
        <v>150</v>
      </c>
      <c r="J2212" s="21"/>
      <c r="K2212" s="21"/>
      <c r="L2212" s="21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>
        <v>25</v>
      </c>
      <c r="W2212" s="21"/>
      <c r="X2212" s="21"/>
      <c r="Y2212" s="21"/>
      <c r="Z2212" s="21"/>
      <c r="AA2212" s="21"/>
      <c r="AB2212" s="21"/>
      <c r="AC2212" s="21"/>
      <c r="AD2212" s="21"/>
      <c r="AE2212" s="21">
        <v>25</v>
      </c>
      <c r="AF2212" s="21"/>
      <c r="AG2212" s="21"/>
      <c r="AH2212" s="21"/>
      <c r="AI2212" s="21"/>
      <c r="AJ2212" s="21"/>
      <c r="AK2212" s="21"/>
      <c r="AL2212" s="21"/>
      <c r="AM2212" s="21"/>
      <c r="AN2212" s="21">
        <v>25</v>
      </c>
      <c r="AO2212" s="21"/>
      <c r="AP2212" s="21"/>
      <c r="AQ2212" s="21"/>
      <c r="AR2212" s="21"/>
      <c r="AS2212" s="21"/>
      <c r="AT2212" s="12" t="str">
        <f>HYPERLINK("http://www.openstreetmap.org/?mlat=36.8015&amp;mlon=42.5191&amp;zoom=12#map=12/36.8015/42.5191","Maplink1")</f>
        <v>Maplink1</v>
      </c>
      <c r="AU2212" s="12" t="str">
        <f>HYPERLINK("https://www.google.iq/maps/search/+36.8015,42.5191/@36.8015,42.5191,14z?hl=en","Maplink2")</f>
        <v>Maplink2</v>
      </c>
      <c r="AV2212" s="12" t="str">
        <f>HYPERLINK("http://www.bing.com/maps/?lvl=14&amp;sty=h&amp;cp=36.8015~42.5191&amp;sp=point.36.8015_42.5191","Maplink3")</f>
        <v>Maplink3</v>
      </c>
    </row>
    <row r="2213" spans="1:48" ht="15" customHeight="1" x14ac:dyDescent="0.25">
      <c r="A2213" s="19">
        <v>18238</v>
      </c>
      <c r="B2213" s="20" t="s">
        <v>21</v>
      </c>
      <c r="C2213" s="20" t="s">
        <v>3899</v>
      </c>
      <c r="D2213" s="20" t="s">
        <v>3952</v>
      </c>
      <c r="E2213" s="20" t="s">
        <v>3953</v>
      </c>
      <c r="F2213" s="20">
        <v>36.576706950000002</v>
      </c>
      <c r="G2213" s="20">
        <v>42.381762219999999</v>
      </c>
      <c r="H2213" s="22">
        <v>12</v>
      </c>
      <c r="I2213" s="22">
        <v>72</v>
      </c>
      <c r="J2213" s="21"/>
      <c r="K2213" s="21"/>
      <c r="L2213" s="21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>
        <v>12</v>
      </c>
      <c r="W2213" s="21"/>
      <c r="X2213" s="21"/>
      <c r="Y2213" s="21"/>
      <c r="Z2213" s="21"/>
      <c r="AA2213" s="21"/>
      <c r="AB2213" s="21"/>
      <c r="AC2213" s="21">
        <v>12</v>
      </c>
      <c r="AD2213" s="21"/>
      <c r="AE2213" s="21"/>
      <c r="AF2213" s="21"/>
      <c r="AG2213" s="21"/>
      <c r="AH2213" s="21"/>
      <c r="AI2213" s="21"/>
      <c r="AJ2213" s="21"/>
      <c r="AK2213" s="21"/>
      <c r="AL2213" s="21"/>
      <c r="AM2213" s="21"/>
      <c r="AN2213" s="21"/>
      <c r="AO2213" s="21">
        <v>12</v>
      </c>
      <c r="AP2213" s="21"/>
      <c r="AQ2213" s="21"/>
      <c r="AR2213" s="21"/>
      <c r="AS2213" s="21"/>
      <c r="AT2213" s="12" t="str">
        <f>HYPERLINK("http://www.openstreetmap.org/?mlat=36.5767&amp;mlon=42.3818&amp;zoom=12#map=12/36.5767/42.3818","Maplink1")</f>
        <v>Maplink1</v>
      </c>
      <c r="AU2213" s="12" t="str">
        <f>HYPERLINK("https://www.google.iq/maps/search/+36.5767,42.3818/@36.5767,42.3818,14z?hl=en","Maplink2")</f>
        <v>Maplink2</v>
      </c>
      <c r="AV2213" s="12" t="str">
        <f>HYPERLINK("http://www.bing.com/maps/?lvl=14&amp;sty=h&amp;cp=36.5767~42.3818&amp;sp=point.36.5767_42.3818","Maplink3")</f>
        <v>Maplink3</v>
      </c>
    </row>
    <row r="2214" spans="1:48" ht="15" customHeight="1" x14ac:dyDescent="0.25">
      <c r="A2214" s="19">
        <v>17814</v>
      </c>
      <c r="B2214" s="20" t="s">
        <v>21</v>
      </c>
      <c r="C2214" s="20" t="s">
        <v>3899</v>
      </c>
      <c r="D2214" s="20" t="s">
        <v>3954</v>
      </c>
      <c r="E2214" s="20" t="s">
        <v>5672</v>
      </c>
      <c r="F2214" s="20">
        <v>36.748451090000003</v>
      </c>
      <c r="G2214" s="20">
        <v>42.304420919999998</v>
      </c>
      <c r="H2214" s="22">
        <v>40</v>
      </c>
      <c r="I2214" s="22">
        <v>240</v>
      </c>
      <c r="J2214" s="21"/>
      <c r="K2214" s="21"/>
      <c r="L2214" s="21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>
        <v>40</v>
      </c>
      <c r="W2214" s="21"/>
      <c r="X2214" s="21"/>
      <c r="Y2214" s="21"/>
      <c r="Z2214" s="21"/>
      <c r="AA2214" s="21"/>
      <c r="AB2214" s="21"/>
      <c r="AC2214" s="21">
        <v>40</v>
      </c>
      <c r="AD2214" s="21"/>
      <c r="AE2214" s="21"/>
      <c r="AF2214" s="21"/>
      <c r="AG2214" s="21"/>
      <c r="AH2214" s="21"/>
      <c r="AI2214" s="21"/>
      <c r="AJ2214" s="21"/>
      <c r="AK2214" s="21"/>
      <c r="AL2214" s="21"/>
      <c r="AM2214" s="21"/>
      <c r="AN2214" s="21"/>
      <c r="AO2214" s="21">
        <v>40</v>
      </c>
      <c r="AP2214" s="21"/>
      <c r="AQ2214" s="21"/>
      <c r="AR2214" s="21"/>
      <c r="AS2214" s="21"/>
      <c r="AT2214" s="12" t="str">
        <f>HYPERLINK("http://www.openstreetmap.org/?mlat=36.7485&amp;mlon=42.3044&amp;zoom=12#map=12/36.7485/42.3044","Maplink1")</f>
        <v>Maplink1</v>
      </c>
      <c r="AU2214" s="12" t="str">
        <f>HYPERLINK("https://www.google.iq/maps/search/+36.7485,42.3044/@36.7485,42.3044,14z?hl=en","Maplink2")</f>
        <v>Maplink2</v>
      </c>
      <c r="AV2214" s="12" t="str">
        <f>HYPERLINK("http://www.bing.com/maps/?lvl=14&amp;sty=h&amp;cp=36.7485~42.3044&amp;sp=point.36.7485_42.3044","Maplink3")</f>
        <v>Maplink3</v>
      </c>
    </row>
    <row r="2215" spans="1:48" ht="15" customHeight="1" x14ac:dyDescent="0.25">
      <c r="A2215" s="19">
        <v>28438</v>
      </c>
      <c r="B2215" s="20" t="s">
        <v>21</v>
      </c>
      <c r="C2215" s="20" t="s">
        <v>3899</v>
      </c>
      <c r="D2215" s="20" t="s">
        <v>3955</v>
      </c>
      <c r="E2215" s="20" t="s">
        <v>3956</v>
      </c>
      <c r="F2215" s="20">
        <v>36.791082357900002</v>
      </c>
      <c r="G2215" s="20">
        <v>42.174688855100001</v>
      </c>
      <c r="H2215" s="22">
        <v>36</v>
      </c>
      <c r="I2215" s="22">
        <v>216</v>
      </c>
      <c r="J2215" s="21"/>
      <c r="K2215" s="21"/>
      <c r="L2215" s="21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>
        <v>36</v>
      </c>
      <c r="W2215" s="21"/>
      <c r="X2215" s="21"/>
      <c r="Y2215" s="21"/>
      <c r="Z2215" s="21"/>
      <c r="AA2215" s="21"/>
      <c r="AB2215" s="21"/>
      <c r="AC2215" s="21">
        <v>36</v>
      </c>
      <c r="AD2215" s="21"/>
      <c r="AE2215" s="21"/>
      <c r="AF2215" s="21"/>
      <c r="AG2215" s="21"/>
      <c r="AH2215" s="21"/>
      <c r="AI2215" s="21"/>
      <c r="AJ2215" s="21"/>
      <c r="AK2215" s="21"/>
      <c r="AL2215" s="21"/>
      <c r="AM2215" s="21"/>
      <c r="AN2215" s="21"/>
      <c r="AO2215" s="21">
        <v>36</v>
      </c>
      <c r="AP2215" s="21"/>
      <c r="AQ2215" s="21"/>
      <c r="AR2215" s="21"/>
      <c r="AS2215" s="21"/>
      <c r="AT2215" s="12" t="str">
        <f>HYPERLINK("http://www.openstreetmap.org/?mlat=36.7911&amp;mlon=42.1747&amp;zoom=12#map=12/36.7911/42.1747","Maplink1")</f>
        <v>Maplink1</v>
      </c>
      <c r="AU2215" s="12" t="str">
        <f>HYPERLINK("https://www.google.iq/maps/search/+36.7911,42.1747/@36.7911,42.1747,14z?hl=en","Maplink2")</f>
        <v>Maplink2</v>
      </c>
      <c r="AV2215" s="12" t="str">
        <f>HYPERLINK("http://www.bing.com/maps/?lvl=14&amp;sty=h&amp;cp=36.7911~42.1747&amp;sp=point.36.7911_42.1747","Maplink3")</f>
        <v>Maplink3</v>
      </c>
    </row>
    <row r="2216" spans="1:48" ht="15" customHeight="1" x14ac:dyDescent="0.25">
      <c r="A2216" s="19">
        <v>17614</v>
      </c>
      <c r="B2216" s="20" t="s">
        <v>21</v>
      </c>
      <c r="C2216" s="20" t="s">
        <v>3899</v>
      </c>
      <c r="D2216" s="20" t="s">
        <v>3957</v>
      </c>
      <c r="E2216" s="20" t="s">
        <v>5673</v>
      </c>
      <c r="F2216" s="20">
        <v>36.751361260000003</v>
      </c>
      <c r="G2216" s="20">
        <v>42.172686140000003</v>
      </c>
      <c r="H2216" s="22">
        <v>28</v>
      </c>
      <c r="I2216" s="22">
        <v>168</v>
      </c>
      <c r="J2216" s="21"/>
      <c r="K2216" s="21"/>
      <c r="L2216" s="21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>
        <v>28</v>
      </c>
      <c r="W2216" s="21"/>
      <c r="X2216" s="21"/>
      <c r="Y2216" s="21"/>
      <c r="Z2216" s="21"/>
      <c r="AA2216" s="21"/>
      <c r="AB2216" s="21"/>
      <c r="AC2216" s="21">
        <v>28</v>
      </c>
      <c r="AD2216" s="21"/>
      <c r="AE2216" s="21"/>
      <c r="AF2216" s="21"/>
      <c r="AG2216" s="21"/>
      <c r="AH2216" s="21"/>
      <c r="AI2216" s="21"/>
      <c r="AJ2216" s="21"/>
      <c r="AK2216" s="21"/>
      <c r="AL2216" s="21"/>
      <c r="AM2216" s="21"/>
      <c r="AN2216" s="21"/>
      <c r="AO2216" s="21">
        <v>28</v>
      </c>
      <c r="AP2216" s="21"/>
      <c r="AQ2216" s="21"/>
      <c r="AR2216" s="21"/>
      <c r="AS2216" s="21"/>
      <c r="AT2216" s="12" t="str">
        <f>HYPERLINK("http://www.openstreetmap.org/?mlat=36.7514&amp;mlon=42.1727&amp;zoom=12#map=12/36.7514/42.1727","Maplink1")</f>
        <v>Maplink1</v>
      </c>
      <c r="AU2216" s="12" t="str">
        <f>HYPERLINK("https://www.google.iq/maps/search/+36.7514,42.1727/@36.7514,42.1727,14z?hl=en","Maplink2")</f>
        <v>Maplink2</v>
      </c>
      <c r="AV2216" s="12" t="str">
        <f>HYPERLINK("http://www.bing.com/maps/?lvl=14&amp;sty=h&amp;cp=36.7514~42.1727&amp;sp=point.36.7514_42.1727","Maplink3")</f>
        <v>Maplink3</v>
      </c>
    </row>
    <row r="2217" spans="1:48" ht="15" customHeight="1" x14ac:dyDescent="0.25">
      <c r="A2217" s="19">
        <v>17944</v>
      </c>
      <c r="B2217" s="20" t="s">
        <v>21</v>
      </c>
      <c r="C2217" s="20" t="s">
        <v>3899</v>
      </c>
      <c r="D2217" s="20" t="s">
        <v>3958</v>
      </c>
      <c r="E2217" s="20" t="s">
        <v>3959</v>
      </c>
      <c r="F2217" s="20">
        <v>36.631470270000001</v>
      </c>
      <c r="G2217" s="20">
        <v>42.598216100000002</v>
      </c>
      <c r="H2217" s="22">
        <v>9</v>
      </c>
      <c r="I2217" s="22">
        <v>54</v>
      </c>
      <c r="J2217" s="21"/>
      <c r="K2217" s="21"/>
      <c r="L2217" s="21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>
        <v>9</v>
      </c>
      <c r="W2217" s="21"/>
      <c r="X2217" s="21"/>
      <c r="Y2217" s="21"/>
      <c r="Z2217" s="21"/>
      <c r="AA2217" s="21"/>
      <c r="AB2217" s="21"/>
      <c r="AC2217" s="21">
        <v>9</v>
      </c>
      <c r="AD2217" s="21"/>
      <c r="AE2217" s="21"/>
      <c r="AF2217" s="21"/>
      <c r="AG2217" s="21"/>
      <c r="AH2217" s="21"/>
      <c r="AI2217" s="21"/>
      <c r="AJ2217" s="21"/>
      <c r="AK2217" s="21"/>
      <c r="AL2217" s="21"/>
      <c r="AM2217" s="21"/>
      <c r="AN2217" s="21"/>
      <c r="AO2217" s="21"/>
      <c r="AP2217" s="21">
        <v>7</v>
      </c>
      <c r="AQ2217" s="21"/>
      <c r="AR2217" s="21">
        <v>2</v>
      </c>
      <c r="AS2217" s="21"/>
      <c r="AT2217" s="12" t="str">
        <f>HYPERLINK("http://www.openstreetmap.org/?mlat=36.6315&amp;mlon=42.5982&amp;zoom=12#map=12/36.6315/42.5982","Maplink1")</f>
        <v>Maplink1</v>
      </c>
      <c r="AU2217" s="12" t="str">
        <f>HYPERLINK("https://www.google.iq/maps/search/+36.6315,42.5982/@36.6315,42.5982,14z?hl=en","Maplink2")</f>
        <v>Maplink2</v>
      </c>
      <c r="AV2217" s="12" t="str">
        <f>HYPERLINK("http://www.bing.com/maps/?lvl=14&amp;sty=h&amp;cp=36.6315~42.5982&amp;sp=point.36.6315_42.5982","Maplink3")</f>
        <v>Maplink3</v>
      </c>
    </row>
    <row r="2218" spans="1:48" ht="15" customHeight="1" x14ac:dyDescent="0.25">
      <c r="A2218" s="19">
        <v>28439</v>
      </c>
      <c r="B2218" s="20" t="s">
        <v>21</v>
      </c>
      <c r="C2218" s="20" t="s">
        <v>3899</v>
      </c>
      <c r="D2218" s="20" t="s">
        <v>3960</v>
      </c>
      <c r="E2218" s="20" t="s">
        <v>3961</v>
      </c>
      <c r="F2218" s="20">
        <v>36.746354500000002</v>
      </c>
      <c r="G2218" s="20">
        <v>42.199465330000002</v>
      </c>
      <c r="H2218" s="22">
        <v>19</v>
      </c>
      <c r="I2218" s="22">
        <v>114</v>
      </c>
      <c r="J2218" s="21"/>
      <c r="K2218" s="21"/>
      <c r="L2218" s="21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>
        <v>19</v>
      </c>
      <c r="W2218" s="21"/>
      <c r="X2218" s="21"/>
      <c r="Y2218" s="21"/>
      <c r="Z2218" s="21"/>
      <c r="AA2218" s="21"/>
      <c r="AB2218" s="21"/>
      <c r="AC2218" s="21">
        <v>19</v>
      </c>
      <c r="AD2218" s="21"/>
      <c r="AE2218" s="21"/>
      <c r="AF2218" s="21"/>
      <c r="AG2218" s="21"/>
      <c r="AH2218" s="21"/>
      <c r="AI2218" s="21"/>
      <c r="AJ2218" s="21"/>
      <c r="AK2218" s="21"/>
      <c r="AL2218" s="21"/>
      <c r="AM2218" s="21"/>
      <c r="AN2218" s="21"/>
      <c r="AO2218" s="21">
        <v>19</v>
      </c>
      <c r="AP2218" s="21"/>
      <c r="AQ2218" s="21"/>
      <c r="AR2218" s="21"/>
      <c r="AS2218" s="21"/>
      <c r="AT2218" s="12" t="str">
        <f>HYPERLINK("http://www.openstreetmap.org/?mlat=36.7464&amp;mlon=42.1995&amp;zoom=12#map=12/36.7464/42.1995","Maplink1")</f>
        <v>Maplink1</v>
      </c>
      <c r="AU2218" s="12" t="str">
        <f>HYPERLINK("https://www.google.iq/maps/search/+36.7464,42.1995/@36.7464,42.1995,14z?hl=en","Maplink2")</f>
        <v>Maplink2</v>
      </c>
      <c r="AV2218" s="12" t="str">
        <f>HYPERLINK("http://www.bing.com/maps/?lvl=14&amp;sty=h&amp;cp=36.7464~42.1995&amp;sp=point.36.7464_42.1995","Maplink3")</f>
        <v>Maplink3</v>
      </c>
    </row>
    <row r="2219" spans="1:48" ht="15" customHeight="1" x14ac:dyDescent="0.25">
      <c r="A2219" s="19">
        <v>28444</v>
      </c>
      <c r="B2219" s="20" t="s">
        <v>21</v>
      </c>
      <c r="C2219" s="20" t="s">
        <v>3899</v>
      </c>
      <c r="D2219" s="20" t="s">
        <v>3962</v>
      </c>
      <c r="E2219" s="20" t="s">
        <v>3963</v>
      </c>
      <c r="F2219" s="20">
        <v>36.716690829999997</v>
      </c>
      <c r="G2219" s="20">
        <v>42.352300190000001</v>
      </c>
      <c r="H2219" s="22">
        <v>37</v>
      </c>
      <c r="I2219" s="22">
        <v>222</v>
      </c>
      <c r="J2219" s="21"/>
      <c r="K2219" s="21"/>
      <c r="L2219" s="21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>
        <v>37</v>
      </c>
      <c r="W2219" s="21"/>
      <c r="X2219" s="21"/>
      <c r="Y2219" s="21"/>
      <c r="Z2219" s="21"/>
      <c r="AA2219" s="21"/>
      <c r="AB2219" s="21"/>
      <c r="AC2219" s="21">
        <v>37</v>
      </c>
      <c r="AD2219" s="21"/>
      <c r="AE2219" s="21"/>
      <c r="AF2219" s="21"/>
      <c r="AG2219" s="21"/>
      <c r="AH2219" s="21"/>
      <c r="AI2219" s="21"/>
      <c r="AJ2219" s="21"/>
      <c r="AK2219" s="21"/>
      <c r="AL2219" s="21"/>
      <c r="AM2219" s="21"/>
      <c r="AN2219" s="21"/>
      <c r="AO2219" s="21">
        <v>20</v>
      </c>
      <c r="AP2219" s="21"/>
      <c r="AQ2219" s="21"/>
      <c r="AR2219" s="21"/>
      <c r="AS2219" s="21">
        <v>17</v>
      </c>
      <c r="AT2219" s="12" t="str">
        <f>HYPERLINK("http://www.openstreetmap.org/?mlat=36.7167&amp;mlon=42.3523&amp;zoom=12#map=12/36.7167/42.3523","Maplink1")</f>
        <v>Maplink1</v>
      </c>
      <c r="AU2219" s="12" t="str">
        <f>HYPERLINK("https://www.google.iq/maps/search/+36.7167,42.3523/@36.7167,42.3523,14z?hl=en","Maplink2")</f>
        <v>Maplink2</v>
      </c>
      <c r="AV2219" s="12" t="str">
        <f>HYPERLINK("http://www.bing.com/maps/?lvl=14&amp;sty=h&amp;cp=36.7167~42.3523&amp;sp=point.36.7167_42.3523","Maplink3")</f>
        <v>Maplink3</v>
      </c>
    </row>
    <row r="2220" spans="1:48" ht="15" customHeight="1" x14ac:dyDescent="0.25">
      <c r="A2220" s="19">
        <v>17933</v>
      </c>
      <c r="B2220" s="20" t="s">
        <v>21</v>
      </c>
      <c r="C2220" s="20" t="s">
        <v>3899</v>
      </c>
      <c r="D2220" s="20" t="s">
        <v>3964</v>
      </c>
      <c r="E2220" s="20" t="s">
        <v>3965</v>
      </c>
      <c r="F2220" s="20">
        <v>36.509771000000001</v>
      </c>
      <c r="G2220" s="20">
        <v>42.671863000000002</v>
      </c>
      <c r="H2220" s="22">
        <v>5</v>
      </c>
      <c r="I2220" s="22">
        <v>30</v>
      </c>
      <c r="J2220" s="21"/>
      <c r="K2220" s="21"/>
      <c r="L2220" s="21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>
        <v>5</v>
      </c>
      <c r="W2220" s="21"/>
      <c r="X2220" s="21"/>
      <c r="Y2220" s="21"/>
      <c r="Z2220" s="21"/>
      <c r="AA2220" s="21"/>
      <c r="AB2220" s="21"/>
      <c r="AC2220" s="21">
        <v>5</v>
      </c>
      <c r="AD2220" s="21"/>
      <c r="AE2220" s="21"/>
      <c r="AF2220" s="21"/>
      <c r="AG2220" s="21"/>
      <c r="AH2220" s="21"/>
      <c r="AI2220" s="21"/>
      <c r="AJ2220" s="21"/>
      <c r="AK2220" s="21"/>
      <c r="AL2220" s="21"/>
      <c r="AM2220" s="21"/>
      <c r="AN2220" s="21"/>
      <c r="AO2220" s="21">
        <v>5</v>
      </c>
      <c r="AP2220" s="21"/>
      <c r="AQ2220" s="21"/>
      <c r="AR2220" s="21"/>
      <c r="AS2220" s="21"/>
      <c r="AT2220" s="12" t="str">
        <f>HYPERLINK("http://www.openstreetmap.org/?mlat=36.5098&amp;mlon=42.6719&amp;zoom=12#map=12/36.5098/42.6719","Maplink1")</f>
        <v>Maplink1</v>
      </c>
      <c r="AU2220" s="12" t="str">
        <f>HYPERLINK("https://www.google.iq/maps/search/+36.5098,42.6719/@36.5098,42.6719,14z?hl=en","Maplink2")</f>
        <v>Maplink2</v>
      </c>
      <c r="AV2220" s="12" t="str">
        <f>HYPERLINK("http://www.bing.com/maps/?lvl=14&amp;sty=h&amp;cp=36.5098~42.6719&amp;sp=point.36.5098_42.6719","Maplink3")</f>
        <v>Maplink3</v>
      </c>
    </row>
    <row r="2221" spans="1:48" ht="15" customHeight="1" x14ac:dyDescent="0.25">
      <c r="A2221" s="19">
        <v>17590</v>
      </c>
      <c r="B2221" s="20" t="s">
        <v>21</v>
      </c>
      <c r="C2221" s="20" t="s">
        <v>3966</v>
      </c>
      <c r="D2221" s="20" t="s">
        <v>3967</v>
      </c>
      <c r="E2221" s="20" t="s">
        <v>3968</v>
      </c>
      <c r="F2221" s="20">
        <v>36.675499070000001</v>
      </c>
      <c r="G2221" s="20">
        <v>43.194755370000003</v>
      </c>
      <c r="H2221" s="22">
        <v>22</v>
      </c>
      <c r="I2221" s="22">
        <v>132</v>
      </c>
      <c r="J2221" s="21"/>
      <c r="K2221" s="21"/>
      <c r="L2221" s="21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>
        <v>22</v>
      </c>
      <c r="W2221" s="21"/>
      <c r="X2221" s="21"/>
      <c r="Y2221" s="21"/>
      <c r="Z2221" s="21"/>
      <c r="AA2221" s="21"/>
      <c r="AB2221" s="21"/>
      <c r="AC2221" s="21">
        <v>22</v>
      </c>
      <c r="AD2221" s="21"/>
      <c r="AE2221" s="21"/>
      <c r="AF2221" s="21"/>
      <c r="AG2221" s="21"/>
      <c r="AH2221" s="21"/>
      <c r="AI2221" s="21"/>
      <c r="AJ2221" s="21"/>
      <c r="AK2221" s="21"/>
      <c r="AL2221" s="21"/>
      <c r="AM2221" s="21"/>
      <c r="AN2221" s="21">
        <v>22</v>
      </c>
      <c r="AO2221" s="21"/>
      <c r="AP2221" s="21"/>
      <c r="AQ2221" s="21"/>
      <c r="AR2221" s="21"/>
      <c r="AS2221" s="21"/>
      <c r="AT2221" s="12" t="str">
        <f>HYPERLINK("http://www.openstreetmap.org/?mlat=36.6755&amp;mlon=43.1948&amp;zoom=12#map=12/36.6755/43.1948","Maplink1")</f>
        <v>Maplink1</v>
      </c>
      <c r="AU2221" s="12" t="str">
        <f>HYPERLINK("https://www.google.iq/maps/search/+36.6755,43.1948/@36.6755,43.1948,14z?hl=en","Maplink2")</f>
        <v>Maplink2</v>
      </c>
      <c r="AV2221" s="12" t="str">
        <f>HYPERLINK("http://www.bing.com/maps/?lvl=14&amp;sty=h&amp;cp=36.6755~43.1948&amp;sp=point.36.6755_43.1948","Maplink3")</f>
        <v>Maplink3</v>
      </c>
    </row>
    <row r="2222" spans="1:48" ht="15" customHeight="1" x14ac:dyDescent="0.25">
      <c r="A2222" s="19">
        <v>24600</v>
      </c>
      <c r="B2222" s="20" t="s">
        <v>21</v>
      </c>
      <c r="C2222" s="20" t="s">
        <v>3966</v>
      </c>
      <c r="D2222" s="20" t="s">
        <v>3969</v>
      </c>
      <c r="E2222" s="20" t="s">
        <v>3970</v>
      </c>
      <c r="F2222" s="20">
        <v>36.446542000000001</v>
      </c>
      <c r="G2222" s="20">
        <v>43.102502999999999</v>
      </c>
      <c r="H2222" s="22">
        <v>830</v>
      </c>
      <c r="I2222" s="22">
        <v>4980</v>
      </c>
      <c r="J2222" s="21"/>
      <c r="K2222" s="21"/>
      <c r="L2222" s="21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>
        <v>830</v>
      </c>
      <c r="W2222" s="21"/>
      <c r="X2222" s="21"/>
      <c r="Y2222" s="21"/>
      <c r="Z2222" s="21"/>
      <c r="AA2222" s="21"/>
      <c r="AB2222" s="21"/>
      <c r="AC2222" s="21">
        <v>50</v>
      </c>
      <c r="AD2222" s="21"/>
      <c r="AE2222" s="21"/>
      <c r="AF2222" s="21"/>
      <c r="AG2222" s="21"/>
      <c r="AH2222" s="21">
        <v>500</v>
      </c>
      <c r="AI2222" s="21"/>
      <c r="AJ2222" s="21">
        <v>280</v>
      </c>
      <c r="AK2222" s="21"/>
      <c r="AL2222" s="21"/>
      <c r="AM2222" s="21"/>
      <c r="AN2222" s="21">
        <v>80</v>
      </c>
      <c r="AO2222" s="21"/>
      <c r="AP2222" s="21"/>
      <c r="AQ2222" s="21"/>
      <c r="AR2222" s="21">
        <v>750</v>
      </c>
      <c r="AS2222" s="21"/>
      <c r="AT2222" s="12" t="str">
        <f>HYPERLINK("http://www.openstreetmap.org/?mlat=36.4465&amp;mlon=43.1025&amp;zoom=12#map=12/36.4465/43.1025","Maplink1")</f>
        <v>Maplink1</v>
      </c>
      <c r="AU2222" s="12" t="str">
        <f>HYPERLINK("https://www.google.iq/maps/search/+36.4465,43.1025/@36.4465,43.1025,14z?hl=en","Maplink2")</f>
        <v>Maplink2</v>
      </c>
      <c r="AV2222" s="12" t="str">
        <f>HYPERLINK("http://www.bing.com/maps/?lvl=14&amp;sty=h&amp;cp=36.4465~43.1025&amp;sp=point.36.4465_43.1025","Maplink3")</f>
        <v>Maplink3</v>
      </c>
    </row>
    <row r="2223" spans="1:48" ht="15" customHeight="1" x14ac:dyDescent="0.25">
      <c r="A2223" s="19">
        <v>17134</v>
      </c>
      <c r="B2223" s="20" t="s">
        <v>21</v>
      </c>
      <c r="C2223" s="20" t="s">
        <v>3966</v>
      </c>
      <c r="D2223" s="20" t="s">
        <v>3971</v>
      </c>
      <c r="E2223" s="20" t="s">
        <v>3972</v>
      </c>
      <c r="F2223" s="20">
        <v>36.734293809999997</v>
      </c>
      <c r="G2223" s="20">
        <v>43.095748899999997</v>
      </c>
      <c r="H2223" s="22">
        <v>160</v>
      </c>
      <c r="I2223" s="22">
        <v>960</v>
      </c>
      <c r="J2223" s="21"/>
      <c r="K2223" s="21"/>
      <c r="L2223" s="21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>
        <v>160</v>
      </c>
      <c r="W2223" s="21"/>
      <c r="X2223" s="21"/>
      <c r="Y2223" s="21"/>
      <c r="Z2223" s="21"/>
      <c r="AA2223" s="21"/>
      <c r="AB2223" s="21"/>
      <c r="AC2223" s="21">
        <v>150</v>
      </c>
      <c r="AD2223" s="21"/>
      <c r="AE2223" s="21"/>
      <c r="AF2223" s="21"/>
      <c r="AG2223" s="21"/>
      <c r="AH2223" s="21">
        <v>10</v>
      </c>
      <c r="AI2223" s="21"/>
      <c r="AJ2223" s="21"/>
      <c r="AK2223" s="21"/>
      <c r="AL2223" s="21"/>
      <c r="AM2223" s="21"/>
      <c r="AN2223" s="21">
        <v>160</v>
      </c>
      <c r="AO2223" s="21"/>
      <c r="AP2223" s="21"/>
      <c r="AQ2223" s="21"/>
      <c r="AR2223" s="21"/>
      <c r="AS2223" s="21"/>
      <c r="AT2223" s="12" t="str">
        <f>HYPERLINK("http://www.openstreetmap.org/?mlat=36.7343&amp;mlon=43.0957&amp;zoom=12#map=12/36.7343/43.0957","Maplink1")</f>
        <v>Maplink1</v>
      </c>
      <c r="AU2223" s="12" t="str">
        <f>HYPERLINK("https://www.google.iq/maps/search/+36.7343,43.0957/@36.7343,43.0957,14z?hl=en","Maplink2")</f>
        <v>Maplink2</v>
      </c>
      <c r="AV2223" s="12" t="str">
        <f>HYPERLINK("http://www.bing.com/maps/?lvl=14&amp;sty=h&amp;cp=36.7343~43.0957&amp;sp=point.36.7343_43.0957","Maplink3")</f>
        <v>Maplink3</v>
      </c>
    </row>
    <row r="2224" spans="1:48" ht="15" customHeight="1" x14ac:dyDescent="0.25">
      <c r="A2224" s="19">
        <v>21603</v>
      </c>
      <c r="B2224" s="20" t="s">
        <v>21</v>
      </c>
      <c r="C2224" s="20" t="s">
        <v>3966</v>
      </c>
      <c r="D2224" s="20" t="s">
        <v>3973</v>
      </c>
      <c r="E2224" s="20" t="s">
        <v>3974</v>
      </c>
      <c r="F2224" s="20">
        <v>36.430374999999998</v>
      </c>
      <c r="G2224" s="20">
        <v>43.157958999999998</v>
      </c>
      <c r="H2224" s="22">
        <v>20</v>
      </c>
      <c r="I2224" s="22">
        <v>120</v>
      </c>
      <c r="J2224" s="21"/>
      <c r="K2224" s="21"/>
      <c r="L2224" s="21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>
        <v>20</v>
      </c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21"/>
      <c r="AH2224" s="21">
        <v>20</v>
      </c>
      <c r="AI2224" s="21"/>
      <c r="AJ2224" s="21"/>
      <c r="AK2224" s="21"/>
      <c r="AL2224" s="21"/>
      <c r="AM2224" s="21"/>
      <c r="AN2224" s="21"/>
      <c r="AO2224" s="21"/>
      <c r="AP2224" s="21"/>
      <c r="AQ2224" s="21"/>
      <c r="AR2224" s="21">
        <v>20</v>
      </c>
      <c r="AS2224" s="21"/>
      <c r="AT2224" s="12" t="str">
        <f>HYPERLINK("http://www.openstreetmap.org/?mlat=36.4304&amp;mlon=43.158&amp;zoom=12#map=12/36.4304/43.158","Maplink1")</f>
        <v>Maplink1</v>
      </c>
      <c r="AU2224" s="12" t="str">
        <f>HYPERLINK("https://www.google.iq/maps/search/+36.4304,43.158/@36.4304,43.158,14z?hl=en","Maplink2")</f>
        <v>Maplink2</v>
      </c>
      <c r="AV2224" s="12" t="str">
        <f>HYPERLINK("http://www.bing.com/maps/?lvl=14&amp;sty=h&amp;cp=36.4304~43.158&amp;sp=point.36.4304_43.158","Maplink3")</f>
        <v>Maplink3</v>
      </c>
    </row>
    <row r="2225" spans="1:48" ht="15" customHeight="1" x14ac:dyDescent="0.25">
      <c r="A2225" s="19">
        <v>17077</v>
      </c>
      <c r="B2225" s="20" t="s">
        <v>21</v>
      </c>
      <c r="C2225" s="20" t="s">
        <v>3966</v>
      </c>
      <c r="D2225" s="20" t="s">
        <v>3975</v>
      </c>
      <c r="E2225" s="20" t="s">
        <v>3976</v>
      </c>
      <c r="F2225" s="20">
        <v>36.737693810000003</v>
      </c>
      <c r="G2225" s="20">
        <v>43.040158839999997</v>
      </c>
      <c r="H2225" s="22">
        <v>6</v>
      </c>
      <c r="I2225" s="22">
        <v>36</v>
      </c>
      <c r="J2225" s="21"/>
      <c r="K2225" s="21"/>
      <c r="L2225" s="21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>
        <v>6</v>
      </c>
      <c r="W2225" s="21"/>
      <c r="X2225" s="21"/>
      <c r="Y2225" s="21"/>
      <c r="Z2225" s="21"/>
      <c r="AA2225" s="21"/>
      <c r="AB2225" s="21"/>
      <c r="AC2225" s="21">
        <v>6</v>
      </c>
      <c r="AD2225" s="21"/>
      <c r="AE2225" s="21"/>
      <c r="AF2225" s="21"/>
      <c r="AG2225" s="21"/>
      <c r="AH2225" s="21"/>
      <c r="AI2225" s="21"/>
      <c r="AJ2225" s="21"/>
      <c r="AK2225" s="21"/>
      <c r="AL2225" s="21"/>
      <c r="AM2225" s="21"/>
      <c r="AN2225" s="21">
        <v>6</v>
      </c>
      <c r="AO2225" s="21"/>
      <c r="AP2225" s="21"/>
      <c r="AQ2225" s="21"/>
      <c r="AR2225" s="21"/>
      <c r="AS2225" s="21"/>
      <c r="AT2225" s="12" t="str">
        <f>HYPERLINK("http://www.openstreetmap.org/?mlat=36.7377&amp;mlon=43.0402&amp;zoom=12#map=12/36.7377/43.0402","Maplink1")</f>
        <v>Maplink1</v>
      </c>
      <c r="AU2225" s="12" t="str">
        <f>HYPERLINK("https://www.google.iq/maps/search/+36.7377,43.0402/@36.7377,43.0402,14z?hl=en","Maplink2")</f>
        <v>Maplink2</v>
      </c>
      <c r="AV2225" s="12" t="str">
        <f>HYPERLINK("http://www.bing.com/maps/?lvl=14&amp;sty=h&amp;cp=36.7377~43.0402&amp;sp=point.36.7377_43.0402","Maplink3")</f>
        <v>Maplink3</v>
      </c>
    </row>
    <row r="2226" spans="1:48" ht="15" customHeight="1" x14ac:dyDescent="0.25">
      <c r="A2226" s="19">
        <v>17569</v>
      </c>
      <c r="B2226" s="20" t="s">
        <v>21</v>
      </c>
      <c r="C2226" s="20" t="s">
        <v>3966</v>
      </c>
      <c r="D2226" s="20" t="s">
        <v>3977</v>
      </c>
      <c r="E2226" s="20" t="s">
        <v>3978</v>
      </c>
      <c r="F2226" s="20">
        <v>36.700080380000003</v>
      </c>
      <c r="G2226" s="20">
        <v>43.153152130000002</v>
      </c>
      <c r="H2226" s="22">
        <v>120</v>
      </c>
      <c r="I2226" s="22">
        <v>720</v>
      </c>
      <c r="J2226" s="21"/>
      <c r="K2226" s="21"/>
      <c r="L2226" s="21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>
        <v>120</v>
      </c>
      <c r="W2226" s="21"/>
      <c r="X2226" s="21"/>
      <c r="Y2226" s="21"/>
      <c r="Z2226" s="21"/>
      <c r="AA2226" s="21"/>
      <c r="AB2226" s="21"/>
      <c r="AC2226" s="21">
        <v>80</v>
      </c>
      <c r="AD2226" s="21"/>
      <c r="AE2226" s="21"/>
      <c r="AF2226" s="21"/>
      <c r="AG2226" s="21"/>
      <c r="AH2226" s="21"/>
      <c r="AI2226" s="21"/>
      <c r="AJ2226" s="21">
        <v>40</v>
      </c>
      <c r="AK2226" s="21"/>
      <c r="AL2226" s="21"/>
      <c r="AM2226" s="21"/>
      <c r="AN2226" s="21">
        <v>110</v>
      </c>
      <c r="AO2226" s="21"/>
      <c r="AP2226" s="21"/>
      <c r="AQ2226" s="21"/>
      <c r="AR2226" s="21"/>
      <c r="AS2226" s="21">
        <v>10</v>
      </c>
      <c r="AT2226" s="12" t="str">
        <f>HYPERLINK("http://www.openstreetmap.org/?mlat=36.7001&amp;mlon=43.1532&amp;zoom=12#map=12/36.7001/43.1532","Maplink1")</f>
        <v>Maplink1</v>
      </c>
      <c r="AU2226" s="12" t="str">
        <f>HYPERLINK("https://www.google.iq/maps/search/+36.7001,43.1532/@36.7001,43.1532,14z?hl=en","Maplink2")</f>
        <v>Maplink2</v>
      </c>
      <c r="AV2226" s="12" t="str">
        <f>HYPERLINK("http://www.bing.com/maps/?lvl=14&amp;sty=h&amp;cp=36.7001~43.1532&amp;sp=point.36.7001_43.1532","Maplink3")</f>
        <v>Maplink3</v>
      </c>
    </row>
    <row r="2227" spans="1:48" ht="15" customHeight="1" x14ac:dyDescent="0.25">
      <c r="A2227" s="19">
        <v>24684</v>
      </c>
      <c r="B2227" s="20" t="s">
        <v>21</v>
      </c>
      <c r="C2227" s="20" t="s">
        <v>3966</v>
      </c>
      <c r="D2227" s="20" t="s">
        <v>3979</v>
      </c>
      <c r="E2227" s="20" t="s">
        <v>3980</v>
      </c>
      <c r="F2227" s="20">
        <v>36.661242309999999</v>
      </c>
      <c r="G2227" s="20">
        <v>43.242128749999999</v>
      </c>
      <c r="H2227" s="22">
        <v>22</v>
      </c>
      <c r="I2227" s="22">
        <v>132</v>
      </c>
      <c r="J2227" s="21"/>
      <c r="K2227" s="21"/>
      <c r="L2227" s="21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>
        <v>22</v>
      </c>
      <c r="W2227" s="21"/>
      <c r="X2227" s="21"/>
      <c r="Y2227" s="21"/>
      <c r="Z2227" s="21"/>
      <c r="AA2227" s="21"/>
      <c r="AB2227" s="21"/>
      <c r="AC2227" s="21">
        <v>22</v>
      </c>
      <c r="AD2227" s="21"/>
      <c r="AE2227" s="21"/>
      <c r="AF2227" s="21"/>
      <c r="AG2227" s="21"/>
      <c r="AH2227" s="21"/>
      <c r="AI2227" s="21"/>
      <c r="AJ2227" s="21"/>
      <c r="AK2227" s="21"/>
      <c r="AL2227" s="21"/>
      <c r="AM2227" s="21">
        <v>1</v>
      </c>
      <c r="AN2227" s="21">
        <v>21</v>
      </c>
      <c r="AO2227" s="21"/>
      <c r="AP2227" s="21"/>
      <c r="AQ2227" s="21"/>
      <c r="AR2227" s="21"/>
      <c r="AS2227" s="21"/>
      <c r="AT2227" s="12" t="str">
        <f>HYPERLINK("http://www.openstreetmap.org/?mlat=36.6612&amp;mlon=43.2421&amp;zoom=12#map=12/36.6612/43.2421","Maplink1")</f>
        <v>Maplink1</v>
      </c>
      <c r="AU2227" s="12" t="str">
        <f>HYPERLINK("https://www.google.iq/maps/search/+36.6612,43.2421/@36.6612,43.2421,14z?hl=en","Maplink2")</f>
        <v>Maplink2</v>
      </c>
      <c r="AV2227" s="12" t="str">
        <f>HYPERLINK("http://www.bing.com/maps/?lvl=14&amp;sty=h&amp;cp=36.6612~43.2421&amp;sp=point.36.6612_43.2421","Maplink3")</f>
        <v>Maplink3</v>
      </c>
    </row>
    <row r="2228" spans="1:48" ht="15" customHeight="1" x14ac:dyDescent="0.25">
      <c r="A2228" s="19">
        <v>17570</v>
      </c>
      <c r="B2228" s="20" t="s">
        <v>21</v>
      </c>
      <c r="C2228" s="20" t="s">
        <v>3966</v>
      </c>
      <c r="D2228" s="20" t="s">
        <v>3981</v>
      </c>
      <c r="E2228" s="20" t="s">
        <v>3982</v>
      </c>
      <c r="F2228" s="20">
        <v>36.73798129</v>
      </c>
      <c r="G2228" s="20">
        <v>43.126053829999996</v>
      </c>
      <c r="H2228" s="22">
        <v>340</v>
      </c>
      <c r="I2228" s="22">
        <v>2040</v>
      </c>
      <c r="J2228" s="21"/>
      <c r="K2228" s="21"/>
      <c r="L2228" s="21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>
        <v>340</v>
      </c>
      <c r="W2228" s="21"/>
      <c r="X2228" s="21"/>
      <c r="Y2228" s="21"/>
      <c r="Z2228" s="21"/>
      <c r="AA2228" s="21"/>
      <c r="AB2228" s="21"/>
      <c r="AC2228" s="21">
        <v>150</v>
      </c>
      <c r="AD2228" s="21"/>
      <c r="AE2228" s="21"/>
      <c r="AF2228" s="21"/>
      <c r="AG2228" s="21"/>
      <c r="AH2228" s="21"/>
      <c r="AI2228" s="21"/>
      <c r="AJ2228" s="21">
        <v>190</v>
      </c>
      <c r="AK2228" s="21"/>
      <c r="AL2228" s="21"/>
      <c r="AM2228" s="21"/>
      <c r="AN2228" s="21">
        <v>300</v>
      </c>
      <c r="AO2228" s="21"/>
      <c r="AP2228" s="21"/>
      <c r="AQ2228" s="21"/>
      <c r="AR2228" s="21"/>
      <c r="AS2228" s="21">
        <v>40</v>
      </c>
      <c r="AT2228" s="12" t="str">
        <f>HYPERLINK("http://www.openstreetmap.org/?mlat=36.738&amp;mlon=43.1261&amp;zoom=12#map=12/36.738/43.1261","Maplink1")</f>
        <v>Maplink1</v>
      </c>
      <c r="AU2228" s="12" t="str">
        <f>HYPERLINK("https://www.google.iq/maps/search/+36.738,43.1261/@36.738,43.1261,14z?hl=en","Maplink2")</f>
        <v>Maplink2</v>
      </c>
      <c r="AV2228" s="12" t="str">
        <f>HYPERLINK("http://www.bing.com/maps/?lvl=14&amp;sty=h&amp;cp=36.738~43.1261&amp;sp=point.36.738_43.1261","Maplink3")</f>
        <v>Maplink3</v>
      </c>
    </row>
    <row r="2229" spans="1:48" ht="15" customHeight="1" x14ac:dyDescent="0.25">
      <c r="A2229" s="19">
        <v>17080</v>
      </c>
      <c r="B2229" s="20" t="s">
        <v>21</v>
      </c>
      <c r="C2229" s="20" t="s">
        <v>3966</v>
      </c>
      <c r="D2229" s="20" t="s">
        <v>3983</v>
      </c>
      <c r="E2229" s="20" t="s">
        <v>3984</v>
      </c>
      <c r="F2229" s="20">
        <v>36.739040950000003</v>
      </c>
      <c r="G2229" s="20">
        <v>43.004729779999998</v>
      </c>
      <c r="H2229" s="22">
        <v>4</v>
      </c>
      <c r="I2229" s="22">
        <v>24</v>
      </c>
      <c r="J2229" s="21"/>
      <c r="K2229" s="21"/>
      <c r="L2229" s="21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>
        <v>4</v>
      </c>
      <c r="W2229" s="21"/>
      <c r="X2229" s="21"/>
      <c r="Y2229" s="21"/>
      <c r="Z2229" s="21"/>
      <c r="AA2229" s="21"/>
      <c r="AB2229" s="21"/>
      <c r="AC2229" s="21">
        <v>4</v>
      </c>
      <c r="AD2229" s="21"/>
      <c r="AE2229" s="21"/>
      <c r="AF2229" s="21"/>
      <c r="AG2229" s="21"/>
      <c r="AH2229" s="21"/>
      <c r="AI2229" s="21"/>
      <c r="AJ2229" s="21"/>
      <c r="AK2229" s="21"/>
      <c r="AL2229" s="21"/>
      <c r="AM2229" s="21"/>
      <c r="AN2229" s="21">
        <v>4</v>
      </c>
      <c r="AO2229" s="21"/>
      <c r="AP2229" s="21"/>
      <c r="AQ2229" s="21"/>
      <c r="AR2229" s="21"/>
      <c r="AS2229" s="21"/>
      <c r="AT2229" s="12" t="str">
        <f>HYPERLINK("http://www.openstreetmap.org/?mlat=36.739&amp;mlon=43.0047&amp;zoom=12#map=12/36.739/43.0047","Maplink1")</f>
        <v>Maplink1</v>
      </c>
      <c r="AU2229" s="12" t="str">
        <f>HYPERLINK("https://www.google.iq/maps/search/+36.739,43.0047/@36.739,43.0047,14z?hl=en","Maplink2")</f>
        <v>Maplink2</v>
      </c>
      <c r="AV2229" s="12" t="str">
        <f>HYPERLINK("http://www.bing.com/maps/?lvl=14&amp;sty=h&amp;cp=36.739~43.0047&amp;sp=point.36.739_43.0047","Maplink3")</f>
        <v>Maplink3</v>
      </c>
    </row>
    <row r="2230" spans="1:48" ht="15" customHeight="1" x14ac:dyDescent="0.25">
      <c r="A2230" s="19">
        <v>24683</v>
      </c>
      <c r="B2230" s="20" t="s">
        <v>21</v>
      </c>
      <c r="C2230" s="20" t="s">
        <v>3966</v>
      </c>
      <c r="D2230" s="20" t="s">
        <v>3985</v>
      </c>
      <c r="E2230" s="20" t="s">
        <v>3986</v>
      </c>
      <c r="F2230" s="20">
        <v>36.656829819999999</v>
      </c>
      <c r="G2230" s="20">
        <v>43.21761686</v>
      </c>
      <c r="H2230" s="22">
        <v>10</v>
      </c>
      <c r="I2230" s="22">
        <v>60</v>
      </c>
      <c r="J2230" s="21"/>
      <c r="K2230" s="21"/>
      <c r="L2230" s="21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>
        <v>10</v>
      </c>
      <c r="W2230" s="21"/>
      <c r="X2230" s="21"/>
      <c r="Y2230" s="21"/>
      <c r="Z2230" s="21"/>
      <c r="AA2230" s="21"/>
      <c r="AB2230" s="21"/>
      <c r="AC2230" s="21">
        <v>10</v>
      </c>
      <c r="AD2230" s="21"/>
      <c r="AE2230" s="21"/>
      <c r="AF2230" s="21"/>
      <c r="AG2230" s="21"/>
      <c r="AH2230" s="21"/>
      <c r="AI2230" s="21"/>
      <c r="AJ2230" s="21"/>
      <c r="AK2230" s="21"/>
      <c r="AL2230" s="21"/>
      <c r="AM2230" s="21"/>
      <c r="AN2230" s="21">
        <v>10</v>
      </c>
      <c r="AO2230" s="21"/>
      <c r="AP2230" s="21"/>
      <c r="AQ2230" s="21"/>
      <c r="AR2230" s="21"/>
      <c r="AS2230" s="21"/>
      <c r="AT2230" s="12" t="str">
        <f>HYPERLINK("http://www.openstreetmap.org/?mlat=36.6568&amp;mlon=43.2176&amp;zoom=12#map=12/36.6568/43.2176","Maplink1")</f>
        <v>Maplink1</v>
      </c>
      <c r="AU2230" s="12" t="str">
        <f>HYPERLINK("https://www.google.iq/maps/search/+36.6568,43.2176/@36.6568,43.2176,14z?hl=en","Maplink2")</f>
        <v>Maplink2</v>
      </c>
      <c r="AV2230" s="12" t="str">
        <f>HYPERLINK("http://www.bing.com/maps/?lvl=14&amp;sty=h&amp;cp=36.6568~43.2176&amp;sp=point.36.6568_43.2176","Maplink3")</f>
        <v>Maplink3</v>
      </c>
    </row>
    <row r="2231" spans="1:48" ht="15" customHeight="1" x14ac:dyDescent="0.25">
      <c r="A2231" s="19">
        <v>18044</v>
      </c>
      <c r="B2231" s="20" t="s">
        <v>21</v>
      </c>
      <c r="C2231" s="20" t="s">
        <v>3966</v>
      </c>
      <c r="D2231" s="20" t="s">
        <v>5714</v>
      </c>
      <c r="E2231" s="20" t="s">
        <v>5715</v>
      </c>
      <c r="F2231" s="20">
        <v>36.508161000000001</v>
      </c>
      <c r="G2231" s="20">
        <v>42.842039999999997</v>
      </c>
      <c r="H2231" s="22">
        <v>17</v>
      </c>
      <c r="I2231" s="22">
        <v>102</v>
      </c>
      <c r="J2231" s="21"/>
      <c r="K2231" s="21"/>
      <c r="L2231" s="21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>
        <v>17</v>
      </c>
      <c r="W2231" s="21"/>
      <c r="X2231" s="21"/>
      <c r="Y2231" s="21"/>
      <c r="Z2231" s="21"/>
      <c r="AA2231" s="21"/>
      <c r="AB2231" s="21"/>
      <c r="AC2231" s="21">
        <v>17</v>
      </c>
      <c r="AD2231" s="21"/>
      <c r="AE2231" s="21"/>
      <c r="AF2231" s="21"/>
      <c r="AG2231" s="21"/>
      <c r="AH2231" s="21"/>
      <c r="AI2231" s="21"/>
      <c r="AJ2231" s="21"/>
      <c r="AK2231" s="21"/>
      <c r="AL2231" s="21"/>
      <c r="AM2231" s="21"/>
      <c r="AN2231" s="21">
        <v>17</v>
      </c>
      <c r="AO2231" s="21"/>
      <c r="AP2231" s="21"/>
      <c r="AQ2231" s="21"/>
      <c r="AR2231" s="21"/>
      <c r="AS2231" s="21"/>
      <c r="AT2231" s="12" t="str">
        <f>HYPERLINK("http://www.openstreetmap.org/?mlat=36.5082&amp;mlon=42.842&amp;zoom=12#map=12/36.5082/42.842","Maplink1")</f>
        <v>Maplink1</v>
      </c>
      <c r="AU2231" s="12" t="str">
        <f>HYPERLINK("https://www.google.iq/maps/search/+36.5082,42.842/@36.5082,42.842,14z?hl=en","Maplink2")</f>
        <v>Maplink2</v>
      </c>
      <c r="AV2231" s="12" t="str">
        <f>HYPERLINK("http://www.bing.com/maps/?lvl=14&amp;sty=h&amp;cp=36.5082~42.842&amp;sp=point.36.5082_42.842","Maplink3")</f>
        <v>Maplink3</v>
      </c>
    </row>
    <row r="2232" spans="1:48" ht="15" customHeight="1" x14ac:dyDescent="0.25">
      <c r="A2232" s="19">
        <v>21604</v>
      </c>
      <c r="B2232" s="20" t="s">
        <v>21</v>
      </c>
      <c r="C2232" s="20" t="s">
        <v>3966</v>
      </c>
      <c r="D2232" s="20" t="s">
        <v>3987</v>
      </c>
      <c r="E2232" s="20" t="s">
        <v>3988</v>
      </c>
      <c r="F2232" s="20">
        <v>36.646171379999998</v>
      </c>
      <c r="G2232" s="20">
        <v>43.116077179999998</v>
      </c>
      <c r="H2232" s="22">
        <v>12</v>
      </c>
      <c r="I2232" s="22">
        <v>72</v>
      </c>
      <c r="J2232" s="21"/>
      <c r="K2232" s="21"/>
      <c r="L2232" s="21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>
        <v>12</v>
      </c>
      <c r="W2232" s="21"/>
      <c r="X2232" s="21"/>
      <c r="Y2232" s="21"/>
      <c r="Z2232" s="21"/>
      <c r="AA2232" s="21"/>
      <c r="AB2232" s="21"/>
      <c r="AC2232" s="21">
        <v>12</v>
      </c>
      <c r="AD2232" s="21"/>
      <c r="AE2232" s="21"/>
      <c r="AF2232" s="21"/>
      <c r="AG2232" s="21"/>
      <c r="AH2232" s="21"/>
      <c r="AI2232" s="21"/>
      <c r="AJ2232" s="21"/>
      <c r="AK2232" s="21"/>
      <c r="AL2232" s="21"/>
      <c r="AM2232" s="21"/>
      <c r="AN2232" s="21">
        <v>12</v>
      </c>
      <c r="AO2232" s="21"/>
      <c r="AP2232" s="21"/>
      <c r="AQ2232" s="21"/>
      <c r="AR2232" s="21"/>
      <c r="AS2232" s="21"/>
      <c r="AT2232" s="12" t="str">
        <f>HYPERLINK("http://www.openstreetmap.org/?mlat=36.6462&amp;mlon=43.1161&amp;zoom=12#map=12/36.6462/43.1161","Maplink1")</f>
        <v>Maplink1</v>
      </c>
      <c r="AU2232" s="12" t="str">
        <f>HYPERLINK("https://www.google.iq/maps/search/+36.6462,43.1161/@36.6462,43.1161,14z?hl=en","Maplink2")</f>
        <v>Maplink2</v>
      </c>
      <c r="AV2232" s="12" t="str">
        <f>HYPERLINK("http://www.bing.com/maps/?lvl=14&amp;sty=h&amp;cp=36.6462~43.1161&amp;sp=point.36.6462_43.1161","Maplink3")</f>
        <v>Maplink3</v>
      </c>
    </row>
    <row r="2233" spans="1:48" ht="15" customHeight="1" x14ac:dyDescent="0.25">
      <c r="A2233" s="19">
        <v>24797</v>
      </c>
      <c r="B2233" s="20" t="s">
        <v>21</v>
      </c>
      <c r="C2233" s="20" t="s">
        <v>3966</v>
      </c>
      <c r="D2233" s="20" t="s">
        <v>6195</v>
      </c>
      <c r="E2233" s="20" t="s">
        <v>3989</v>
      </c>
      <c r="F2233" s="20">
        <v>36.645555999999999</v>
      </c>
      <c r="G2233" s="20">
        <v>43.236944000000001</v>
      </c>
      <c r="H2233" s="22">
        <v>95</v>
      </c>
      <c r="I2233" s="22">
        <v>570</v>
      </c>
      <c r="J2233" s="21"/>
      <c r="K2233" s="21"/>
      <c r="L2233" s="21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>
        <v>95</v>
      </c>
      <c r="W2233" s="21"/>
      <c r="X2233" s="21"/>
      <c r="Y2233" s="21"/>
      <c r="Z2233" s="21"/>
      <c r="AA2233" s="21"/>
      <c r="AB2233" s="21">
        <v>95</v>
      </c>
      <c r="AC2233" s="21"/>
      <c r="AD2233" s="21"/>
      <c r="AE2233" s="21"/>
      <c r="AF2233" s="21"/>
      <c r="AG2233" s="21"/>
      <c r="AH2233" s="21"/>
      <c r="AI2233" s="21"/>
      <c r="AJ2233" s="21"/>
      <c r="AK2233" s="21"/>
      <c r="AL2233" s="21"/>
      <c r="AM2233" s="21"/>
      <c r="AN2233" s="21"/>
      <c r="AO2233" s="21"/>
      <c r="AP2233" s="21">
        <v>48</v>
      </c>
      <c r="AQ2233" s="21">
        <v>47</v>
      </c>
      <c r="AR2233" s="21"/>
      <c r="AS2233" s="21"/>
      <c r="AT2233" s="12" t="str">
        <f>HYPERLINK("http://www.openstreetmap.org/?mlat=36.6456&amp;mlon=43.2369&amp;zoom=12#map=12/36.6456/43.2369","Maplink1")</f>
        <v>Maplink1</v>
      </c>
      <c r="AU2233" s="12" t="str">
        <f>HYPERLINK("https://www.google.iq/maps/search/+36.6456,43.2369/@36.6456,43.2369,14z?hl=en","Maplink2")</f>
        <v>Maplink2</v>
      </c>
      <c r="AV2233" s="12" t="str">
        <f>HYPERLINK("http://www.bing.com/maps/?lvl=14&amp;sty=h&amp;cp=36.6456~43.2369&amp;sp=point.36.6456_43.2369","Maplink3")</f>
        <v>Maplink3</v>
      </c>
    </row>
    <row r="2234" spans="1:48" ht="15" customHeight="1" x14ac:dyDescent="0.25">
      <c r="A2234" s="19">
        <v>18055</v>
      </c>
      <c r="B2234" s="20" t="s">
        <v>21</v>
      </c>
      <c r="C2234" s="20" t="s">
        <v>3966</v>
      </c>
      <c r="D2234" s="20" t="s">
        <v>3990</v>
      </c>
      <c r="E2234" s="20" t="s">
        <v>3991</v>
      </c>
      <c r="F2234" s="20">
        <v>36.659984880000003</v>
      </c>
      <c r="G2234" s="20">
        <v>43.048349860000002</v>
      </c>
      <c r="H2234" s="22">
        <v>44</v>
      </c>
      <c r="I2234" s="22">
        <v>264</v>
      </c>
      <c r="J2234" s="21"/>
      <c r="K2234" s="21"/>
      <c r="L2234" s="21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>
        <v>44</v>
      </c>
      <c r="W2234" s="21"/>
      <c r="X2234" s="21"/>
      <c r="Y2234" s="21"/>
      <c r="Z2234" s="21"/>
      <c r="AA2234" s="21"/>
      <c r="AB2234" s="21"/>
      <c r="AC2234" s="21">
        <v>44</v>
      </c>
      <c r="AD2234" s="21"/>
      <c r="AE2234" s="21"/>
      <c r="AF2234" s="21"/>
      <c r="AG2234" s="21"/>
      <c r="AH2234" s="21"/>
      <c r="AI2234" s="21"/>
      <c r="AJ2234" s="21"/>
      <c r="AK2234" s="21"/>
      <c r="AL2234" s="21"/>
      <c r="AM2234" s="21"/>
      <c r="AN2234" s="21">
        <v>44</v>
      </c>
      <c r="AO2234" s="21"/>
      <c r="AP2234" s="21"/>
      <c r="AQ2234" s="21"/>
      <c r="AR2234" s="21"/>
      <c r="AS2234" s="21"/>
      <c r="AT2234" s="12" t="str">
        <f>HYPERLINK("http://www.openstreetmap.org/?mlat=36.66&amp;mlon=43.0483&amp;zoom=12#map=12/36.66/43.0483","Maplink1")</f>
        <v>Maplink1</v>
      </c>
      <c r="AU2234" s="12" t="str">
        <f>HYPERLINK("https://www.google.iq/maps/search/+36.66,43.0483/@36.66,43.0483,14z?hl=en","Maplink2")</f>
        <v>Maplink2</v>
      </c>
      <c r="AV2234" s="12" t="str">
        <f>HYPERLINK("http://www.bing.com/maps/?lvl=14&amp;sty=h&amp;cp=36.66~43.0483&amp;sp=point.36.66_43.0483","Maplink3")</f>
        <v>Maplink3</v>
      </c>
    </row>
    <row r="2235" spans="1:48" ht="15" customHeight="1" x14ac:dyDescent="0.25">
      <c r="A2235" s="19">
        <v>24703</v>
      </c>
      <c r="B2235" s="20" t="s">
        <v>21</v>
      </c>
      <c r="C2235" s="20" t="s">
        <v>3966</v>
      </c>
      <c r="D2235" s="20" t="s">
        <v>3992</v>
      </c>
      <c r="E2235" s="20" t="s">
        <v>3993</v>
      </c>
      <c r="F2235" s="20">
        <v>36.716344399999997</v>
      </c>
      <c r="G2235" s="20">
        <v>42.955842939999997</v>
      </c>
      <c r="H2235" s="22">
        <v>70</v>
      </c>
      <c r="I2235" s="22">
        <v>420</v>
      </c>
      <c r="J2235" s="21"/>
      <c r="K2235" s="21"/>
      <c r="L2235" s="21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>
        <v>70</v>
      </c>
      <c r="W2235" s="21"/>
      <c r="X2235" s="21"/>
      <c r="Y2235" s="21"/>
      <c r="Z2235" s="21"/>
      <c r="AA2235" s="21"/>
      <c r="AB2235" s="21"/>
      <c r="AC2235" s="21">
        <v>25</v>
      </c>
      <c r="AD2235" s="21"/>
      <c r="AE2235" s="21"/>
      <c r="AF2235" s="21"/>
      <c r="AG2235" s="21"/>
      <c r="AH2235" s="21">
        <v>44</v>
      </c>
      <c r="AI2235" s="21"/>
      <c r="AJ2235" s="21">
        <v>1</v>
      </c>
      <c r="AK2235" s="21"/>
      <c r="AL2235" s="21"/>
      <c r="AM2235" s="21"/>
      <c r="AN2235" s="21">
        <v>63</v>
      </c>
      <c r="AO2235" s="21"/>
      <c r="AP2235" s="21"/>
      <c r="AQ2235" s="21"/>
      <c r="AR2235" s="21"/>
      <c r="AS2235" s="21">
        <v>7</v>
      </c>
      <c r="AT2235" s="12" t="str">
        <f>HYPERLINK("http://www.openstreetmap.org/?mlat=36.7163&amp;mlon=42.9558&amp;zoom=12#map=12/36.7163/42.9558","Maplink1")</f>
        <v>Maplink1</v>
      </c>
      <c r="AU2235" s="12" t="str">
        <f>HYPERLINK("https://www.google.iq/maps/search/+36.7163,42.9558/@36.7163,42.9558,14z?hl=en","Maplink2")</f>
        <v>Maplink2</v>
      </c>
      <c r="AV2235" s="12" t="str">
        <f>HYPERLINK("http://www.bing.com/maps/?lvl=14&amp;sty=h&amp;cp=36.7163~42.9558&amp;sp=point.36.7163_42.9558","Maplink3")</f>
        <v>Maplink3</v>
      </c>
    </row>
    <row r="2236" spans="1:48" ht="15" customHeight="1" x14ac:dyDescent="0.25">
      <c r="A2236" s="19">
        <v>17830</v>
      </c>
      <c r="B2236" s="20" t="s">
        <v>21</v>
      </c>
      <c r="C2236" s="20" t="s">
        <v>3966</v>
      </c>
      <c r="D2236" s="20" t="s">
        <v>3994</v>
      </c>
      <c r="E2236" s="20" t="s">
        <v>3995</v>
      </c>
      <c r="F2236" s="20">
        <v>36.700396689999998</v>
      </c>
      <c r="G2236" s="20">
        <v>43.211743269999999</v>
      </c>
      <c r="H2236" s="22">
        <v>15</v>
      </c>
      <c r="I2236" s="22">
        <v>90</v>
      </c>
      <c r="J2236" s="21"/>
      <c r="K2236" s="21"/>
      <c r="L2236" s="21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>
        <v>15</v>
      </c>
      <c r="W2236" s="21"/>
      <c r="X2236" s="21"/>
      <c r="Y2236" s="21"/>
      <c r="Z2236" s="21"/>
      <c r="AA2236" s="21"/>
      <c r="AB2236" s="21"/>
      <c r="AC2236" s="21">
        <v>15</v>
      </c>
      <c r="AD2236" s="21"/>
      <c r="AE2236" s="21"/>
      <c r="AF2236" s="21"/>
      <c r="AG2236" s="21"/>
      <c r="AH2236" s="21"/>
      <c r="AI2236" s="21"/>
      <c r="AJ2236" s="21"/>
      <c r="AK2236" s="21"/>
      <c r="AL2236" s="21"/>
      <c r="AM2236" s="21"/>
      <c r="AN2236" s="21">
        <v>15</v>
      </c>
      <c r="AO2236" s="21"/>
      <c r="AP2236" s="21"/>
      <c r="AQ2236" s="21"/>
      <c r="AR2236" s="21"/>
      <c r="AS2236" s="21"/>
      <c r="AT2236" s="12" t="str">
        <f>HYPERLINK("http://www.openstreetmap.org/?mlat=36.7004&amp;mlon=43.2117&amp;zoom=12#map=12/36.7004/43.2117","Maplink1")</f>
        <v>Maplink1</v>
      </c>
      <c r="AU2236" s="12" t="str">
        <f>HYPERLINK("https://www.google.iq/maps/search/+36.7004,43.2117/@36.7004,43.2117,14z?hl=en","Maplink2")</f>
        <v>Maplink2</v>
      </c>
      <c r="AV2236" s="12" t="str">
        <f>HYPERLINK("http://www.bing.com/maps/?lvl=14&amp;sty=h&amp;cp=36.7004~43.2117&amp;sp=point.36.7004_43.2117","Maplink3")</f>
        <v>Maplink3</v>
      </c>
    </row>
    <row r="2237" spans="1:48" ht="15" customHeight="1" x14ac:dyDescent="0.25">
      <c r="A2237" s="19">
        <v>25278</v>
      </c>
      <c r="B2237" s="20" t="s">
        <v>21</v>
      </c>
      <c r="C2237" s="20" t="s">
        <v>3966</v>
      </c>
      <c r="D2237" s="20" t="s">
        <v>3996</v>
      </c>
      <c r="E2237" s="20" t="s">
        <v>3997</v>
      </c>
      <c r="F2237" s="20">
        <v>36.698231999999997</v>
      </c>
      <c r="G2237" s="20">
        <v>43.222859749999998</v>
      </c>
      <c r="H2237" s="22">
        <v>9</v>
      </c>
      <c r="I2237" s="22">
        <v>54</v>
      </c>
      <c r="J2237" s="21"/>
      <c r="K2237" s="21"/>
      <c r="L2237" s="21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>
        <v>9</v>
      </c>
      <c r="W2237" s="21"/>
      <c r="X2237" s="21"/>
      <c r="Y2237" s="21"/>
      <c r="Z2237" s="21"/>
      <c r="AA2237" s="21"/>
      <c r="AB2237" s="21"/>
      <c r="AC2237" s="21">
        <v>9</v>
      </c>
      <c r="AD2237" s="21"/>
      <c r="AE2237" s="21"/>
      <c r="AF2237" s="21"/>
      <c r="AG2237" s="21"/>
      <c r="AH2237" s="21"/>
      <c r="AI2237" s="21"/>
      <c r="AJ2237" s="21"/>
      <c r="AK2237" s="21"/>
      <c r="AL2237" s="21"/>
      <c r="AM2237" s="21"/>
      <c r="AN2237" s="21">
        <v>9</v>
      </c>
      <c r="AO2237" s="21"/>
      <c r="AP2237" s="21"/>
      <c r="AQ2237" s="21"/>
      <c r="AR2237" s="21"/>
      <c r="AS2237" s="21"/>
      <c r="AT2237" s="12" t="str">
        <f>HYPERLINK("http://www.openstreetmap.org/?mlat=36.6982&amp;mlon=43.2229&amp;zoom=12#map=12/36.6982/43.2229","Maplink1")</f>
        <v>Maplink1</v>
      </c>
      <c r="AU2237" s="12" t="str">
        <f>HYPERLINK("https://www.google.iq/maps/search/+36.6982,43.2229/@36.6982,43.2229,14z?hl=en","Maplink2")</f>
        <v>Maplink2</v>
      </c>
      <c r="AV2237" s="12" t="str">
        <f>HYPERLINK("http://www.bing.com/maps/?lvl=14&amp;sty=h&amp;cp=36.6982~43.2229&amp;sp=point.36.6982_43.2229","Maplink3")</f>
        <v>Maplink3</v>
      </c>
    </row>
    <row r="2238" spans="1:48" ht="15" customHeight="1" x14ac:dyDescent="0.25">
      <c r="A2238" s="19">
        <v>24637</v>
      </c>
      <c r="B2238" s="20" t="s">
        <v>21</v>
      </c>
      <c r="C2238" s="20" t="s">
        <v>3966</v>
      </c>
      <c r="D2238" s="20" t="s">
        <v>3998</v>
      </c>
      <c r="E2238" s="20" t="s">
        <v>3999</v>
      </c>
      <c r="F2238" s="20">
        <v>36.596336450000003</v>
      </c>
      <c r="G2238" s="20">
        <v>43.21224204</v>
      </c>
      <c r="H2238" s="22">
        <v>40</v>
      </c>
      <c r="I2238" s="22">
        <v>240</v>
      </c>
      <c r="J2238" s="21"/>
      <c r="K2238" s="21"/>
      <c r="L2238" s="21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>
        <v>40</v>
      </c>
      <c r="W2238" s="21"/>
      <c r="X2238" s="21"/>
      <c r="Y2238" s="21"/>
      <c r="Z2238" s="21"/>
      <c r="AA2238" s="21"/>
      <c r="AB2238" s="21"/>
      <c r="AC2238" s="21">
        <v>40</v>
      </c>
      <c r="AD2238" s="21"/>
      <c r="AE2238" s="21"/>
      <c r="AF2238" s="21"/>
      <c r="AG2238" s="21"/>
      <c r="AH2238" s="21"/>
      <c r="AI2238" s="21"/>
      <c r="AJ2238" s="21"/>
      <c r="AK2238" s="21"/>
      <c r="AL2238" s="21"/>
      <c r="AM2238" s="21"/>
      <c r="AN2238" s="21">
        <v>25</v>
      </c>
      <c r="AO2238" s="21">
        <v>15</v>
      </c>
      <c r="AP2238" s="21"/>
      <c r="AQ2238" s="21"/>
      <c r="AR2238" s="21"/>
      <c r="AS2238" s="21"/>
      <c r="AT2238" s="12" t="str">
        <f>HYPERLINK("http://www.openstreetmap.org/?mlat=36.5963&amp;mlon=43.2122&amp;zoom=12#map=12/36.5963/43.2122","Maplink1")</f>
        <v>Maplink1</v>
      </c>
      <c r="AU2238" s="12" t="str">
        <f>HYPERLINK("https://www.google.iq/maps/search/+36.5963,43.2122/@36.5963,43.2122,14z?hl=en","Maplink2")</f>
        <v>Maplink2</v>
      </c>
      <c r="AV2238" s="12" t="str">
        <f>HYPERLINK("http://www.bing.com/maps/?lvl=14&amp;sty=h&amp;cp=36.5963~43.2122&amp;sp=point.36.5963_43.2122","Maplink3")</f>
        <v>Maplink3</v>
      </c>
    </row>
    <row r="2239" spans="1:48" ht="15" customHeight="1" x14ac:dyDescent="0.25">
      <c r="A2239" s="19">
        <v>18379</v>
      </c>
      <c r="B2239" s="20" t="s">
        <v>21</v>
      </c>
      <c r="C2239" s="20" t="s">
        <v>3966</v>
      </c>
      <c r="D2239" s="20" t="s">
        <v>4000</v>
      </c>
      <c r="E2239" s="20" t="s">
        <v>4001</v>
      </c>
      <c r="F2239" s="20">
        <v>36.674355570000003</v>
      </c>
      <c r="G2239" s="20">
        <v>43.21740707</v>
      </c>
      <c r="H2239" s="22">
        <v>2</v>
      </c>
      <c r="I2239" s="22">
        <v>12</v>
      </c>
      <c r="J2239" s="21"/>
      <c r="K2239" s="21"/>
      <c r="L2239" s="21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>
        <v>2</v>
      </c>
      <c r="W2239" s="21"/>
      <c r="X2239" s="21"/>
      <c r="Y2239" s="21"/>
      <c r="Z2239" s="21"/>
      <c r="AA2239" s="21"/>
      <c r="AB2239" s="21"/>
      <c r="AC2239" s="21">
        <v>2</v>
      </c>
      <c r="AD2239" s="21"/>
      <c r="AE2239" s="21"/>
      <c r="AF2239" s="21"/>
      <c r="AG2239" s="21"/>
      <c r="AH2239" s="21"/>
      <c r="AI2239" s="21"/>
      <c r="AJ2239" s="21"/>
      <c r="AK2239" s="21"/>
      <c r="AL2239" s="21"/>
      <c r="AM2239" s="21"/>
      <c r="AN2239" s="21">
        <v>2</v>
      </c>
      <c r="AO2239" s="21"/>
      <c r="AP2239" s="21"/>
      <c r="AQ2239" s="21"/>
      <c r="AR2239" s="21"/>
      <c r="AS2239" s="21"/>
      <c r="AT2239" s="12" t="str">
        <f>HYPERLINK("http://www.openstreetmap.org/?mlat=36.6744&amp;mlon=43.2174&amp;zoom=12#map=12/36.6744/43.2174","Maplink1")</f>
        <v>Maplink1</v>
      </c>
      <c r="AU2239" s="12" t="str">
        <f>HYPERLINK("https://www.google.iq/maps/search/+36.6744,43.2174/@36.6744,43.2174,14z?hl=en","Maplink2")</f>
        <v>Maplink2</v>
      </c>
      <c r="AV2239" s="12" t="str">
        <f>HYPERLINK("http://www.bing.com/maps/?lvl=14&amp;sty=h&amp;cp=36.6744~43.2174&amp;sp=point.36.6744_43.2174","Maplink3")</f>
        <v>Maplink3</v>
      </c>
    </row>
    <row r="2240" spans="1:48" ht="15" customHeight="1" x14ac:dyDescent="0.25">
      <c r="A2240" s="19">
        <v>24685</v>
      </c>
      <c r="B2240" s="20" t="s">
        <v>21</v>
      </c>
      <c r="C2240" s="20" t="s">
        <v>3966</v>
      </c>
      <c r="D2240" s="20" t="s">
        <v>4002</v>
      </c>
      <c r="E2240" s="20" t="s">
        <v>4003</v>
      </c>
      <c r="F2240" s="20">
        <v>36.64268757</v>
      </c>
      <c r="G2240" s="20">
        <v>43.233986489999999</v>
      </c>
      <c r="H2240" s="22">
        <v>2</v>
      </c>
      <c r="I2240" s="22">
        <v>12</v>
      </c>
      <c r="J2240" s="21"/>
      <c r="K2240" s="21"/>
      <c r="L2240" s="21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>
        <v>2</v>
      </c>
      <c r="W2240" s="21"/>
      <c r="X2240" s="21"/>
      <c r="Y2240" s="21"/>
      <c r="Z2240" s="21"/>
      <c r="AA2240" s="21"/>
      <c r="AB2240" s="21"/>
      <c r="AC2240" s="21">
        <v>2</v>
      </c>
      <c r="AD2240" s="21"/>
      <c r="AE2240" s="21"/>
      <c r="AF2240" s="21"/>
      <c r="AG2240" s="21"/>
      <c r="AH2240" s="21"/>
      <c r="AI2240" s="21"/>
      <c r="AJ2240" s="21"/>
      <c r="AK2240" s="21"/>
      <c r="AL2240" s="21"/>
      <c r="AM2240" s="21"/>
      <c r="AN2240" s="21">
        <v>2</v>
      </c>
      <c r="AO2240" s="21"/>
      <c r="AP2240" s="21"/>
      <c r="AQ2240" s="21"/>
      <c r="AR2240" s="21"/>
      <c r="AS2240" s="21"/>
      <c r="AT2240" s="12" t="str">
        <f>HYPERLINK("http://www.openstreetmap.org/?mlat=36.6427&amp;mlon=43.234&amp;zoom=12#map=12/36.6427/43.234","Maplink1")</f>
        <v>Maplink1</v>
      </c>
      <c r="AU2240" s="12" t="str">
        <f>HYPERLINK("https://www.google.iq/maps/search/+36.6427,43.234/@36.6427,43.234,14z?hl=en","Maplink2")</f>
        <v>Maplink2</v>
      </c>
      <c r="AV2240" s="12" t="str">
        <f>HYPERLINK("http://www.bing.com/maps/?lvl=14&amp;sty=h&amp;cp=36.6427~43.234&amp;sp=point.36.6427_43.234","Maplink3")</f>
        <v>Maplink3</v>
      </c>
    </row>
    <row r="2241" spans="1:48" ht="15" customHeight="1" x14ac:dyDescent="0.25">
      <c r="A2241" s="19">
        <v>17564</v>
      </c>
      <c r="B2241" s="20" t="s">
        <v>21</v>
      </c>
      <c r="C2241" s="20" t="s">
        <v>3966</v>
      </c>
      <c r="D2241" s="20" t="s">
        <v>4004</v>
      </c>
      <c r="E2241" s="20" t="s">
        <v>4005</v>
      </c>
      <c r="F2241" s="20">
        <v>36.695408720000003</v>
      </c>
      <c r="G2241" s="20">
        <v>43.222559320000002</v>
      </c>
      <c r="H2241" s="22">
        <v>4</v>
      </c>
      <c r="I2241" s="22">
        <v>24</v>
      </c>
      <c r="J2241" s="21"/>
      <c r="K2241" s="21"/>
      <c r="L2241" s="21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>
        <v>4</v>
      </c>
      <c r="W2241" s="21"/>
      <c r="X2241" s="21"/>
      <c r="Y2241" s="21"/>
      <c r="Z2241" s="21"/>
      <c r="AA2241" s="21"/>
      <c r="AB2241" s="21"/>
      <c r="AC2241" s="21">
        <v>4</v>
      </c>
      <c r="AD2241" s="21"/>
      <c r="AE2241" s="21"/>
      <c r="AF2241" s="21"/>
      <c r="AG2241" s="21"/>
      <c r="AH2241" s="21"/>
      <c r="AI2241" s="21"/>
      <c r="AJ2241" s="21"/>
      <c r="AK2241" s="21"/>
      <c r="AL2241" s="21"/>
      <c r="AM2241" s="21"/>
      <c r="AN2241" s="21">
        <v>4</v>
      </c>
      <c r="AO2241" s="21"/>
      <c r="AP2241" s="21"/>
      <c r="AQ2241" s="21"/>
      <c r="AR2241" s="21"/>
      <c r="AS2241" s="21"/>
      <c r="AT2241" s="12" t="str">
        <f>HYPERLINK("http://www.openstreetmap.org/?mlat=36.6954&amp;mlon=43.2226&amp;zoom=12#map=12/36.6954/43.2226","Maplink1")</f>
        <v>Maplink1</v>
      </c>
      <c r="AU2241" s="12" t="str">
        <f>HYPERLINK("https://www.google.iq/maps/search/+36.6954,43.2226/@36.6954,43.2226,14z?hl=en","Maplink2")</f>
        <v>Maplink2</v>
      </c>
      <c r="AV2241" s="12" t="str">
        <f>HYPERLINK("http://www.bing.com/maps/?lvl=14&amp;sty=h&amp;cp=36.6954~43.2226&amp;sp=point.36.6954_43.2226","Maplink3")</f>
        <v>Maplink3</v>
      </c>
    </row>
    <row r="2242" spans="1:48" ht="15" customHeight="1" x14ac:dyDescent="0.25">
      <c r="A2242" s="19">
        <v>17849</v>
      </c>
      <c r="B2242" s="20" t="s">
        <v>21</v>
      </c>
      <c r="C2242" s="20" t="s">
        <v>3966</v>
      </c>
      <c r="D2242" s="20" t="s">
        <v>4006</v>
      </c>
      <c r="E2242" s="20" t="s">
        <v>4007</v>
      </c>
      <c r="F2242" s="20">
        <v>36.630195000000001</v>
      </c>
      <c r="G2242" s="20">
        <v>43.176265999999998</v>
      </c>
      <c r="H2242" s="22">
        <v>1</v>
      </c>
      <c r="I2242" s="22">
        <v>6</v>
      </c>
      <c r="J2242" s="21"/>
      <c r="K2242" s="21"/>
      <c r="L2242" s="21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>
        <v>1</v>
      </c>
      <c r="W2242" s="21"/>
      <c r="X2242" s="21"/>
      <c r="Y2242" s="21"/>
      <c r="Z2242" s="21"/>
      <c r="AA2242" s="21"/>
      <c r="AB2242" s="21"/>
      <c r="AC2242" s="21">
        <v>1</v>
      </c>
      <c r="AD2242" s="21"/>
      <c r="AE2242" s="21"/>
      <c r="AF2242" s="21"/>
      <c r="AG2242" s="21"/>
      <c r="AH2242" s="21"/>
      <c r="AI2242" s="21"/>
      <c r="AJ2242" s="21"/>
      <c r="AK2242" s="21"/>
      <c r="AL2242" s="21"/>
      <c r="AM2242" s="21"/>
      <c r="AN2242" s="21">
        <v>1</v>
      </c>
      <c r="AO2242" s="21"/>
      <c r="AP2242" s="21"/>
      <c r="AQ2242" s="21"/>
      <c r="AR2242" s="21"/>
      <c r="AS2242" s="21"/>
      <c r="AT2242" s="12" t="str">
        <f>HYPERLINK("http://www.openstreetmap.org/?mlat=36.6302&amp;mlon=43.1763&amp;zoom=12#map=12/36.6302/43.1763","Maplink1")</f>
        <v>Maplink1</v>
      </c>
      <c r="AU2242" s="12" t="str">
        <f>HYPERLINK("https://www.google.iq/maps/search/+36.6302,43.1763/@36.6302,43.1763,14z?hl=en","Maplink2")</f>
        <v>Maplink2</v>
      </c>
      <c r="AV2242" s="12" t="str">
        <f>HYPERLINK("http://www.bing.com/maps/?lvl=14&amp;sty=h&amp;cp=36.6302~43.1763&amp;sp=point.36.6302_43.1763","Maplink3")</f>
        <v>Maplink3</v>
      </c>
    </row>
    <row r="2243" spans="1:48" ht="15" customHeight="1" x14ac:dyDescent="0.25">
      <c r="A2243" s="19">
        <v>18046</v>
      </c>
      <c r="B2243" s="20" t="s">
        <v>21</v>
      </c>
      <c r="C2243" s="20" t="s">
        <v>3966</v>
      </c>
      <c r="D2243" s="20" t="s">
        <v>2676</v>
      </c>
      <c r="E2243" s="20" t="s">
        <v>4008</v>
      </c>
      <c r="F2243" s="20">
        <v>36.615128550000001</v>
      </c>
      <c r="G2243" s="20">
        <v>42.98922177</v>
      </c>
      <c r="H2243" s="22">
        <v>83</v>
      </c>
      <c r="I2243" s="22">
        <v>498</v>
      </c>
      <c r="J2243" s="21"/>
      <c r="K2243" s="21"/>
      <c r="L2243" s="21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>
        <v>83</v>
      </c>
      <c r="W2243" s="21"/>
      <c r="X2243" s="21"/>
      <c r="Y2243" s="21"/>
      <c r="Z2243" s="21"/>
      <c r="AA2243" s="21"/>
      <c r="AB2243" s="21"/>
      <c r="AC2243" s="21">
        <v>65</v>
      </c>
      <c r="AD2243" s="21"/>
      <c r="AE2243" s="21"/>
      <c r="AF2243" s="21"/>
      <c r="AG2243" s="21"/>
      <c r="AH2243" s="21">
        <v>5</v>
      </c>
      <c r="AI2243" s="21"/>
      <c r="AJ2243" s="21">
        <v>13</v>
      </c>
      <c r="AK2243" s="21"/>
      <c r="AL2243" s="21"/>
      <c r="AM2243" s="21"/>
      <c r="AN2243" s="21">
        <v>83</v>
      </c>
      <c r="AO2243" s="21"/>
      <c r="AP2243" s="21"/>
      <c r="AQ2243" s="21"/>
      <c r="AR2243" s="21"/>
      <c r="AS2243" s="21"/>
      <c r="AT2243" s="12" t="str">
        <f>HYPERLINK("http://www.openstreetmap.org/?mlat=36.6151&amp;mlon=42.9892&amp;zoom=12#map=12/36.6151/42.9892","Maplink1")</f>
        <v>Maplink1</v>
      </c>
      <c r="AU2243" s="12" t="str">
        <f>HYPERLINK("https://www.google.iq/maps/search/+36.6151,42.9892/@36.6151,42.9892,14z?hl=en","Maplink2")</f>
        <v>Maplink2</v>
      </c>
      <c r="AV2243" s="12" t="str">
        <f>HYPERLINK("http://www.bing.com/maps/?lvl=14&amp;sty=h&amp;cp=36.6151~42.9892&amp;sp=point.36.6151_42.9892","Maplink3")</f>
        <v>Maplink3</v>
      </c>
    </row>
    <row r="2244" spans="1:48" ht="15" customHeight="1" x14ac:dyDescent="0.25">
      <c r="A2244" s="19">
        <v>23480</v>
      </c>
      <c r="B2244" s="20" t="s">
        <v>21</v>
      </c>
      <c r="C2244" s="20" t="s">
        <v>3966</v>
      </c>
      <c r="D2244" s="20" t="s">
        <v>5941</v>
      </c>
      <c r="E2244" s="20" t="s">
        <v>5942</v>
      </c>
      <c r="F2244" s="20">
        <v>36.559229000000002</v>
      </c>
      <c r="G2244" s="20">
        <v>42.965119999999999</v>
      </c>
      <c r="H2244" s="22">
        <v>6</v>
      </c>
      <c r="I2244" s="22">
        <v>36</v>
      </c>
      <c r="J2244" s="21"/>
      <c r="K2244" s="21"/>
      <c r="L2244" s="21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>
        <v>6</v>
      </c>
      <c r="W2244" s="21"/>
      <c r="X2244" s="21"/>
      <c r="Y2244" s="21"/>
      <c r="Z2244" s="21"/>
      <c r="AA2244" s="21"/>
      <c r="AB2244" s="21"/>
      <c r="AC2244" s="21">
        <v>3</v>
      </c>
      <c r="AD2244" s="21"/>
      <c r="AE2244" s="21"/>
      <c r="AF2244" s="21"/>
      <c r="AG2244" s="21"/>
      <c r="AH2244" s="21"/>
      <c r="AI2244" s="21"/>
      <c r="AJ2244" s="21">
        <v>3</v>
      </c>
      <c r="AK2244" s="21"/>
      <c r="AL2244" s="21"/>
      <c r="AM2244" s="21"/>
      <c r="AN2244" s="21">
        <v>6</v>
      </c>
      <c r="AO2244" s="21"/>
      <c r="AP2244" s="21"/>
      <c r="AQ2244" s="21"/>
      <c r="AR2244" s="21"/>
      <c r="AS2244" s="21"/>
      <c r="AT2244" s="12" t="str">
        <f>HYPERLINK("http://www.openstreetmap.org/?mlat=36.5592&amp;mlon=42.9651&amp;zoom=12#map=12/36.5592/42.9651","Maplink1")</f>
        <v>Maplink1</v>
      </c>
      <c r="AU2244" s="12" t="str">
        <f>HYPERLINK("https://www.google.iq/maps/search/+36.5592,42.9651/@36.5592,42.9651,14z?hl=en","Maplink2")</f>
        <v>Maplink2</v>
      </c>
      <c r="AV2244" s="12" t="str">
        <f>HYPERLINK("http://www.bing.com/maps/?lvl=14&amp;sty=h&amp;cp=36.5592~42.9651&amp;sp=point.36.5592_42.9651","Maplink3")</f>
        <v>Maplink3</v>
      </c>
    </row>
    <row r="2245" spans="1:48" ht="15" customHeight="1" x14ac:dyDescent="0.25">
      <c r="A2245" s="19">
        <v>23414</v>
      </c>
      <c r="B2245" s="20" t="s">
        <v>21</v>
      </c>
      <c r="C2245" s="20" t="s">
        <v>3966</v>
      </c>
      <c r="D2245" s="20" t="s">
        <v>5943</v>
      </c>
      <c r="E2245" s="20" t="s">
        <v>5991</v>
      </c>
      <c r="F2245" s="20">
        <v>36.562385999999996</v>
      </c>
      <c r="G2245" s="20">
        <v>42.968066999999998</v>
      </c>
      <c r="H2245" s="22">
        <v>5</v>
      </c>
      <c r="I2245" s="22">
        <v>30</v>
      </c>
      <c r="J2245" s="21"/>
      <c r="K2245" s="21"/>
      <c r="L2245" s="21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>
        <v>5</v>
      </c>
      <c r="W2245" s="21"/>
      <c r="X2245" s="21"/>
      <c r="Y2245" s="21"/>
      <c r="Z2245" s="21"/>
      <c r="AA2245" s="21"/>
      <c r="AB2245" s="21"/>
      <c r="AC2245" s="21">
        <v>2</v>
      </c>
      <c r="AD2245" s="21"/>
      <c r="AE2245" s="21"/>
      <c r="AF2245" s="21"/>
      <c r="AG2245" s="21"/>
      <c r="AH2245" s="21"/>
      <c r="AI2245" s="21"/>
      <c r="AJ2245" s="21">
        <v>3</v>
      </c>
      <c r="AK2245" s="21"/>
      <c r="AL2245" s="21"/>
      <c r="AM2245" s="21"/>
      <c r="AN2245" s="21">
        <v>5</v>
      </c>
      <c r="AO2245" s="21"/>
      <c r="AP2245" s="21"/>
      <c r="AQ2245" s="21"/>
      <c r="AR2245" s="21"/>
      <c r="AS2245" s="21"/>
      <c r="AT2245" s="12" t="str">
        <f>HYPERLINK("http://www.openstreetmap.org/?mlat=36.5624&amp;mlon=42.9681&amp;zoom=12#map=12/36.5624/42.9681","Maplink1")</f>
        <v>Maplink1</v>
      </c>
      <c r="AU2245" s="12" t="str">
        <f>HYPERLINK("https://www.google.iq/maps/search/+36.5624,42.9681/@36.5624,42.9681,14z?hl=en","Maplink2")</f>
        <v>Maplink2</v>
      </c>
      <c r="AV2245" s="12" t="str">
        <f>HYPERLINK("http://www.bing.com/maps/?lvl=14&amp;sty=h&amp;cp=36.5624~42.9681&amp;sp=point.36.5624_42.9681","Maplink3")</f>
        <v>Maplink3</v>
      </c>
    </row>
    <row r="2246" spans="1:48" ht="15" customHeight="1" x14ac:dyDescent="0.25">
      <c r="A2246" s="19">
        <v>18380</v>
      </c>
      <c r="B2246" s="20" t="s">
        <v>21</v>
      </c>
      <c r="C2246" s="20" t="s">
        <v>3966</v>
      </c>
      <c r="D2246" s="20" t="s">
        <v>4009</v>
      </c>
      <c r="E2246" s="20" t="s">
        <v>4010</v>
      </c>
      <c r="F2246" s="20">
        <v>36.698791360000001</v>
      </c>
      <c r="G2246" s="20">
        <v>43.218488030000003</v>
      </c>
      <c r="H2246" s="22">
        <v>56</v>
      </c>
      <c r="I2246" s="22">
        <v>336</v>
      </c>
      <c r="J2246" s="21"/>
      <c r="K2246" s="21"/>
      <c r="L2246" s="21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>
        <v>56</v>
      </c>
      <c r="W2246" s="21"/>
      <c r="X2246" s="21"/>
      <c r="Y2246" s="21"/>
      <c r="Z2246" s="21"/>
      <c r="AA2246" s="21"/>
      <c r="AB2246" s="21"/>
      <c r="AC2246" s="21">
        <v>56</v>
      </c>
      <c r="AD2246" s="21"/>
      <c r="AE2246" s="21"/>
      <c r="AF2246" s="21"/>
      <c r="AG2246" s="21"/>
      <c r="AH2246" s="21"/>
      <c r="AI2246" s="21"/>
      <c r="AJ2246" s="21"/>
      <c r="AK2246" s="21"/>
      <c r="AL2246" s="21"/>
      <c r="AM2246" s="21"/>
      <c r="AN2246" s="21">
        <v>56</v>
      </c>
      <c r="AO2246" s="21"/>
      <c r="AP2246" s="21"/>
      <c r="AQ2246" s="21"/>
      <c r="AR2246" s="21"/>
      <c r="AS2246" s="21"/>
      <c r="AT2246" s="12" t="str">
        <f>HYPERLINK("http://www.openstreetmap.org/?mlat=36.6988&amp;mlon=43.2185&amp;zoom=12#map=12/36.6988/43.2185","Maplink1")</f>
        <v>Maplink1</v>
      </c>
      <c r="AU2246" s="12" t="str">
        <f>HYPERLINK("https://www.google.iq/maps/search/+36.6988,43.2185/@36.6988,43.2185,14z?hl=en","Maplink2")</f>
        <v>Maplink2</v>
      </c>
      <c r="AV2246" s="12" t="str">
        <f>HYPERLINK("http://www.bing.com/maps/?lvl=14&amp;sty=h&amp;cp=36.6988~43.2185&amp;sp=point.36.6988_43.2185","Maplink3")</f>
        <v>Maplink3</v>
      </c>
    </row>
    <row r="2247" spans="1:48" ht="15" customHeight="1" x14ac:dyDescent="0.25">
      <c r="A2247" s="19">
        <v>25368</v>
      </c>
      <c r="B2247" s="20" t="s">
        <v>21</v>
      </c>
      <c r="C2247" s="20" t="s">
        <v>3966</v>
      </c>
      <c r="D2247" s="20" t="s">
        <v>5612</v>
      </c>
      <c r="E2247" s="20" t="s">
        <v>5613</v>
      </c>
      <c r="F2247" s="20">
        <v>36.624954619999997</v>
      </c>
      <c r="G2247" s="20">
        <v>42.984731259999997</v>
      </c>
      <c r="H2247" s="22">
        <v>20</v>
      </c>
      <c r="I2247" s="22">
        <v>120</v>
      </c>
      <c r="J2247" s="21"/>
      <c r="K2247" s="21"/>
      <c r="L2247" s="21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>
        <v>20</v>
      </c>
      <c r="W2247" s="21"/>
      <c r="X2247" s="21"/>
      <c r="Y2247" s="21"/>
      <c r="Z2247" s="21"/>
      <c r="AA2247" s="21"/>
      <c r="AB2247" s="21"/>
      <c r="AC2247" s="21">
        <v>20</v>
      </c>
      <c r="AD2247" s="21"/>
      <c r="AE2247" s="21"/>
      <c r="AF2247" s="21"/>
      <c r="AG2247" s="21"/>
      <c r="AH2247" s="21"/>
      <c r="AI2247" s="21"/>
      <c r="AJ2247" s="21"/>
      <c r="AK2247" s="21"/>
      <c r="AL2247" s="21"/>
      <c r="AM2247" s="21"/>
      <c r="AN2247" s="21"/>
      <c r="AO2247" s="21"/>
      <c r="AP2247" s="21"/>
      <c r="AQ2247" s="21"/>
      <c r="AR2247" s="21"/>
      <c r="AS2247" s="21">
        <v>20</v>
      </c>
      <c r="AT2247" s="12" t="str">
        <f>HYPERLINK("http://www.openstreetmap.org/?mlat=36.625&amp;mlon=42.9847&amp;zoom=12#map=12/36.625/42.9847","Maplink1")</f>
        <v>Maplink1</v>
      </c>
      <c r="AU2247" s="12" t="str">
        <f>HYPERLINK("https://www.google.iq/maps/search/+36.625,42.9847/@36.625,42.9847,14z?hl=en","Maplink2")</f>
        <v>Maplink2</v>
      </c>
      <c r="AV2247" s="12" t="str">
        <f>HYPERLINK("http://www.bing.com/maps/?lvl=14&amp;sty=h&amp;cp=36.625~42.9847&amp;sp=point.36.625_42.9847","Maplink3")</f>
        <v>Maplink3</v>
      </c>
    </row>
    <row r="2248" spans="1:48" ht="15" customHeight="1" x14ac:dyDescent="0.25">
      <c r="A2248" s="19">
        <v>17551</v>
      </c>
      <c r="B2248" s="20" t="s">
        <v>21</v>
      </c>
      <c r="C2248" s="20" t="s">
        <v>3966</v>
      </c>
      <c r="D2248" s="20" t="s">
        <v>4011</v>
      </c>
      <c r="E2248" s="20" t="s">
        <v>4012</v>
      </c>
      <c r="F2248" s="20">
        <v>36.633448860000001</v>
      </c>
      <c r="G2248" s="20">
        <v>43.146843490000002</v>
      </c>
      <c r="H2248" s="22">
        <v>9</v>
      </c>
      <c r="I2248" s="22">
        <v>54</v>
      </c>
      <c r="J2248" s="21"/>
      <c r="K2248" s="21"/>
      <c r="L2248" s="21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>
        <v>9</v>
      </c>
      <c r="W2248" s="21"/>
      <c r="X2248" s="21"/>
      <c r="Y2248" s="21"/>
      <c r="Z2248" s="21"/>
      <c r="AA2248" s="21"/>
      <c r="AB2248" s="21"/>
      <c r="AC2248" s="21">
        <v>9</v>
      </c>
      <c r="AD2248" s="21"/>
      <c r="AE2248" s="21"/>
      <c r="AF2248" s="21"/>
      <c r="AG2248" s="21"/>
      <c r="AH2248" s="21"/>
      <c r="AI2248" s="21"/>
      <c r="AJ2248" s="21"/>
      <c r="AK2248" s="21"/>
      <c r="AL2248" s="21"/>
      <c r="AM2248" s="21"/>
      <c r="AN2248" s="21">
        <v>9</v>
      </c>
      <c r="AO2248" s="21"/>
      <c r="AP2248" s="21"/>
      <c r="AQ2248" s="21"/>
      <c r="AR2248" s="21"/>
      <c r="AS2248" s="21"/>
      <c r="AT2248" s="12" t="str">
        <f>HYPERLINK("http://www.openstreetmap.org/?mlat=36.6334&amp;mlon=43.1468&amp;zoom=12#map=12/36.6334/43.1468","Maplink1")</f>
        <v>Maplink1</v>
      </c>
      <c r="AU2248" s="12" t="str">
        <f>HYPERLINK("https://www.google.iq/maps/search/+36.6334,43.1468/@36.6334,43.1468,14z?hl=en","Maplink2")</f>
        <v>Maplink2</v>
      </c>
      <c r="AV2248" s="12" t="str">
        <f>HYPERLINK("http://www.bing.com/maps/?lvl=14&amp;sty=h&amp;cp=36.6334~43.1468&amp;sp=point.36.6334_43.1468","Maplink3")</f>
        <v>Maplink3</v>
      </c>
    </row>
    <row r="2249" spans="1:48" ht="15" customHeight="1" x14ac:dyDescent="0.25">
      <c r="A2249" s="19">
        <v>25277</v>
      </c>
      <c r="B2249" s="20" t="s">
        <v>21</v>
      </c>
      <c r="C2249" s="20" t="s">
        <v>3966</v>
      </c>
      <c r="D2249" s="20" t="s">
        <v>4013</v>
      </c>
      <c r="E2249" s="20" t="s">
        <v>4014</v>
      </c>
      <c r="F2249" s="20">
        <v>36.689017470000003</v>
      </c>
      <c r="G2249" s="20">
        <v>43.094599760000001</v>
      </c>
      <c r="H2249" s="22">
        <v>10</v>
      </c>
      <c r="I2249" s="22">
        <v>60</v>
      </c>
      <c r="J2249" s="21"/>
      <c r="K2249" s="21"/>
      <c r="L2249" s="21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>
        <v>10</v>
      </c>
      <c r="W2249" s="21"/>
      <c r="X2249" s="21"/>
      <c r="Y2249" s="21"/>
      <c r="Z2249" s="21"/>
      <c r="AA2249" s="21"/>
      <c r="AB2249" s="21"/>
      <c r="AC2249" s="21">
        <v>10</v>
      </c>
      <c r="AD2249" s="21"/>
      <c r="AE2249" s="21"/>
      <c r="AF2249" s="21"/>
      <c r="AG2249" s="21"/>
      <c r="AH2249" s="21"/>
      <c r="AI2249" s="21"/>
      <c r="AJ2249" s="21"/>
      <c r="AK2249" s="21"/>
      <c r="AL2249" s="21"/>
      <c r="AM2249" s="21"/>
      <c r="AN2249" s="21">
        <v>10</v>
      </c>
      <c r="AO2249" s="21"/>
      <c r="AP2249" s="21"/>
      <c r="AQ2249" s="21"/>
      <c r="AR2249" s="21"/>
      <c r="AS2249" s="21"/>
      <c r="AT2249" s="12" t="str">
        <f>HYPERLINK("http://www.openstreetmap.org/?mlat=36.689&amp;mlon=43.0946&amp;zoom=12#map=12/36.689/43.0946","Maplink1")</f>
        <v>Maplink1</v>
      </c>
      <c r="AU2249" s="12" t="str">
        <f>HYPERLINK("https://www.google.iq/maps/search/+36.689,43.0946/@36.689,43.0946,14z?hl=en","Maplink2")</f>
        <v>Maplink2</v>
      </c>
      <c r="AV2249" s="12" t="str">
        <f>HYPERLINK("http://www.bing.com/maps/?lvl=14&amp;sty=h&amp;cp=36.689~43.0946&amp;sp=point.36.689_43.0946","Maplink3")</f>
        <v>Maplink3</v>
      </c>
    </row>
    <row r="2250" spans="1:48" ht="15" customHeight="1" x14ac:dyDescent="0.25">
      <c r="A2250" s="19">
        <v>22365</v>
      </c>
      <c r="B2250" s="20" t="s">
        <v>21</v>
      </c>
      <c r="C2250" s="20" t="s">
        <v>3966</v>
      </c>
      <c r="D2250" s="20" t="s">
        <v>4015</v>
      </c>
      <c r="E2250" s="20" t="s">
        <v>4016</v>
      </c>
      <c r="F2250" s="20">
        <v>36.691804179999998</v>
      </c>
      <c r="G2250" s="20">
        <v>43.165373359999997</v>
      </c>
      <c r="H2250" s="22">
        <v>80</v>
      </c>
      <c r="I2250" s="22">
        <v>480</v>
      </c>
      <c r="J2250" s="21"/>
      <c r="K2250" s="21"/>
      <c r="L2250" s="21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>
        <v>80</v>
      </c>
      <c r="W2250" s="21"/>
      <c r="X2250" s="21"/>
      <c r="Y2250" s="21"/>
      <c r="Z2250" s="21"/>
      <c r="AA2250" s="21"/>
      <c r="AB2250" s="21"/>
      <c r="AC2250" s="21">
        <v>80</v>
      </c>
      <c r="AD2250" s="21"/>
      <c r="AE2250" s="21"/>
      <c r="AF2250" s="21"/>
      <c r="AG2250" s="21"/>
      <c r="AH2250" s="21"/>
      <c r="AI2250" s="21"/>
      <c r="AJ2250" s="21"/>
      <c r="AK2250" s="21"/>
      <c r="AL2250" s="21"/>
      <c r="AM2250" s="21"/>
      <c r="AN2250" s="21">
        <v>80</v>
      </c>
      <c r="AO2250" s="21"/>
      <c r="AP2250" s="21"/>
      <c r="AQ2250" s="21"/>
      <c r="AR2250" s="21"/>
      <c r="AS2250" s="21"/>
      <c r="AT2250" s="12" t="str">
        <f>HYPERLINK("http://www.openstreetmap.org/?mlat=36.6918&amp;mlon=43.1654&amp;zoom=12#map=12/36.6918/43.1654","Maplink1")</f>
        <v>Maplink1</v>
      </c>
      <c r="AU2250" s="12" t="str">
        <f>HYPERLINK("https://www.google.iq/maps/search/+36.6918,43.1654/@36.6918,43.1654,14z?hl=en","Maplink2")</f>
        <v>Maplink2</v>
      </c>
      <c r="AV2250" s="12" t="str">
        <f>HYPERLINK("http://www.bing.com/maps/?lvl=14&amp;sty=h&amp;cp=36.6918~43.1654&amp;sp=point.36.6918_43.1654","Maplink3")</f>
        <v>Maplink3</v>
      </c>
    </row>
    <row r="2251" spans="1:48" ht="15" customHeight="1" x14ac:dyDescent="0.25">
      <c r="A2251" s="19">
        <v>16978</v>
      </c>
      <c r="B2251" s="20" t="s">
        <v>21</v>
      </c>
      <c r="C2251" s="20" t="s">
        <v>3966</v>
      </c>
      <c r="D2251" s="20" t="s">
        <v>4017</v>
      </c>
      <c r="E2251" s="20" t="s">
        <v>4018</v>
      </c>
      <c r="F2251" s="20">
        <v>36.696427479999997</v>
      </c>
      <c r="G2251" s="20">
        <v>43.219281930000001</v>
      </c>
      <c r="H2251" s="22">
        <v>7</v>
      </c>
      <c r="I2251" s="22">
        <v>42</v>
      </c>
      <c r="J2251" s="21"/>
      <c r="K2251" s="21"/>
      <c r="L2251" s="21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>
        <v>7</v>
      </c>
      <c r="W2251" s="21"/>
      <c r="X2251" s="21"/>
      <c r="Y2251" s="21"/>
      <c r="Z2251" s="21"/>
      <c r="AA2251" s="21"/>
      <c r="AB2251" s="21"/>
      <c r="AC2251" s="21">
        <v>7</v>
      </c>
      <c r="AD2251" s="21"/>
      <c r="AE2251" s="21"/>
      <c r="AF2251" s="21"/>
      <c r="AG2251" s="21"/>
      <c r="AH2251" s="21"/>
      <c r="AI2251" s="21"/>
      <c r="AJ2251" s="21"/>
      <c r="AK2251" s="21"/>
      <c r="AL2251" s="21"/>
      <c r="AM2251" s="21"/>
      <c r="AN2251" s="21">
        <v>7</v>
      </c>
      <c r="AO2251" s="21"/>
      <c r="AP2251" s="21"/>
      <c r="AQ2251" s="21"/>
      <c r="AR2251" s="21"/>
      <c r="AS2251" s="21"/>
      <c r="AT2251" s="12" t="str">
        <f>HYPERLINK("http://www.openstreetmap.org/?mlat=36.6964&amp;mlon=43.2193&amp;zoom=12#map=12/36.6964/43.2193","Maplink1")</f>
        <v>Maplink1</v>
      </c>
      <c r="AU2251" s="12" t="str">
        <f>HYPERLINK("https://www.google.iq/maps/search/+36.6964,43.2193/@36.6964,43.2193,14z?hl=en","Maplink2")</f>
        <v>Maplink2</v>
      </c>
      <c r="AV2251" s="12" t="str">
        <f>HYPERLINK("http://www.bing.com/maps/?lvl=14&amp;sty=h&amp;cp=36.6964~43.2193&amp;sp=point.36.6964_43.2193","Maplink3")</f>
        <v>Maplink3</v>
      </c>
    </row>
    <row r="2252" spans="1:48" ht="15" customHeight="1" x14ac:dyDescent="0.25">
      <c r="A2252" s="19">
        <v>17931</v>
      </c>
      <c r="B2252" s="20" t="s">
        <v>21</v>
      </c>
      <c r="C2252" s="20" t="s">
        <v>3966</v>
      </c>
      <c r="D2252" s="20" t="s">
        <v>4019</v>
      </c>
      <c r="E2252" s="20" t="s">
        <v>4020</v>
      </c>
      <c r="F2252" s="20">
        <v>36.61065095</v>
      </c>
      <c r="G2252" s="20">
        <v>42.983273070000003</v>
      </c>
      <c r="H2252" s="22">
        <v>40</v>
      </c>
      <c r="I2252" s="22">
        <v>240</v>
      </c>
      <c r="J2252" s="21"/>
      <c r="K2252" s="21"/>
      <c r="L2252" s="21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>
        <v>40</v>
      </c>
      <c r="W2252" s="21"/>
      <c r="X2252" s="21"/>
      <c r="Y2252" s="21"/>
      <c r="Z2252" s="21"/>
      <c r="AA2252" s="21"/>
      <c r="AB2252" s="21"/>
      <c r="AC2252" s="21">
        <v>20</v>
      </c>
      <c r="AD2252" s="21"/>
      <c r="AE2252" s="21"/>
      <c r="AF2252" s="21"/>
      <c r="AG2252" s="21"/>
      <c r="AH2252" s="21"/>
      <c r="AI2252" s="21"/>
      <c r="AJ2252" s="21">
        <v>20</v>
      </c>
      <c r="AK2252" s="21"/>
      <c r="AL2252" s="21"/>
      <c r="AM2252" s="21">
        <v>9</v>
      </c>
      <c r="AN2252" s="21">
        <v>31</v>
      </c>
      <c r="AO2252" s="21"/>
      <c r="AP2252" s="21"/>
      <c r="AQ2252" s="21"/>
      <c r="AR2252" s="21"/>
      <c r="AS2252" s="21"/>
      <c r="AT2252" s="12" t="str">
        <f>HYPERLINK("http://www.openstreetmap.org/?mlat=36.6107&amp;mlon=42.9833&amp;zoom=12#map=12/36.6107/42.9833","Maplink1")</f>
        <v>Maplink1</v>
      </c>
      <c r="AU2252" s="12" t="str">
        <f>HYPERLINK("https://www.google.iq/maps/search/+36.6107,42.9833/@36.6107,42.9833,14z?hl=en","Maplink2")</f>
        <v>Maplink2</v>
      </c>
      <c r="AV2252" s="12" t="str">
        <f>HYPERLINK("http://www.bing.com/maps/?lvl=14&amp;sty=h&amp;cp=36.6107~42.9833&amp;sp=point.36.6107_42.9833","Maplink3")</f>
        <v>Maplink3</v>
      </c>
    </row>
    <row r="2253" spans="1:48" ht="15" customHeight="1" x14ac:dyDescent="0.25">
      <c r="A2253" s="19">
        <v>17959</v>
      </c>
      <c r="B2253" s="20" t="s">
        <v>21</v>
      </c>
      <c r="C2253" s="20" t="s">
        <v>3966</v>
      </c>
      <c r="D2253" s="20" t="s">
        <v>5614</v>
      </c>
      <c r="E2253" s="20" t="s">
        <v>5615</v>
      </c>
      <c r="F2253" s="20">
        <v>36.599922999999997</v>
      </c>
      <c r="G2253" s="20">
        <v>43.106865999999997</v>
      </c>
      <c r="H2253" s="22">
        <v>280</v>
      </c>
      <c r="I2253" s="22">
        <v>1680</v>
      </c>
      <c r="J2253" s="21"/>
      <c r="K2253" s="21"/>
      <c r="L2253" s="21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>
        <v>280</v>
      </c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21"/>
      <c r="AH2253" s="21">
        <v>280</v>
      </c>
      <c r="AI2253" s="21"/>
      <c r="AJ2253" s="21"/>
      <c r="AK2253" s="21"/>
      <c r="AL2253" s="21"/>
      <c r="AM2253" s="21"/>
      <c r="AN2253" s="21"/>
      <c r="AO2253" s="21"/>
      <c r="AP2253" s="21"/>
      <c r="AQ2253" s="21"/>
      <c r="AR2253" s="21"/>
      <c r="AS2253" s="21">
        <v>280</v>
      </c>
      <c r="AT2253" s="12" t="str">
        <f>HYPERLINK("http://www.openstreetmap.org/?mlat=36.5999&amp;mlon=43.1069&amp;zoom=12#map=12/36.5999/43.1069","Maplink1")</f>
        <v>Maplink1</v>
      </c>
      <c r="AU2253" s="12" t="str">
        <f>HYPERLINK("https://www.google.iq/maps/search/+36.5999,43.1069/@36.5999,43.1069,14z?hl=en","Maplink2")</f>
        <v>Maplink2</v>
      </c>
      <c r="AV2253" s="12" t="str">
        <f>HYPERLINK("http://www.bing.com/maps/?lvl=14&amp;sty=h&amp;cp=36.5999~43.1069&amp;sp=point.36.5999_43.1069","Maplink3")</f>
        <v>Maplink3</v>
      </c>
    </row>
    <row r="2254" spans="1:48" ht="15" customHeight="1" x14ac:dyDescent="0.25">
      <c r="A2254" s="19">
        <v>17941</v>
      </c>
      <c r="B2254" s="20" t="s">
        <v>21</v>
      </c>
      <c r="C2254" s="20" t="s">
        <v>3966</v>
      </c>
      <c r="D2254" s="20" t="s">
        <v>4021</v>
      </c>
      <c r="E2254" s="20" t="s">
        <v>4022</v>
      </c>
      <c r="F2254" s="20">
        <v>36.489660000000001</v>
      </c>
      <c r="G2254" s="20">
        <v>43.119173000000004</v>
      </c>
      <c r="H2254" s="22">
        <v>140</v>
      </c>
      <c r="I2254" s="22">
        <v>840</v>
      </c>
      <c r="J2254" s="21"/>
      <c r="K2254" s="21"/>
      <c r="L2254" s="21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>
        <v>140</v>
      </c>
      <c r="W2254" s="21"/>
      <c r="X2254" s="21"/>
      <c r="Y2254" s="21"/>
      <c r="Z2254" s="21"/>
      <c r="AA2254" s="21"/>
      <c r="AB2254" s="21"/>
      <c r="AC2254" s="21">
        <v>140</v>
      </c>
      <c r="AD2254" s="21"/>
      <c r="AE2254" s="21"/>
      <c r="AF2254" s="21"/>
      <c r="AG2254" s="21"/>
      <c r="AH2254" s="21"/>
      <c r="AI2254" s="21"/>
      <c r="AJ2254" s="21"/>
      <c r="AK2254" s="21"/>
      <c r="AL2254" s="21"/>
      <c r="AM2254" s="21"/>
      <c r="AN2254" s="21">
        <v>50</v>
      </c>
      <c r="AO2254" s="21"/>
      <c r="AP2254" s="21"/>
      <c r="AQ2254" s="21"/>
      <c r="AR2254" s="21">
        <v>90</v>
      </c>
      <c r="AS2254" s="21"/>
      <c r="AT2254" s="12" t="str">
        <f>HYPERLINK("http://www.openstreetmap.org/?mlat=36.4897&amp;mlon=43.1192&amp;zoom=12#map=12/36.4897/43.1192","Maplink1")</f>
        <v>Maplink1</v>
      </c>
      <c r="AU2254" s="12" t="str">
        <f>HYPERLINK("https://www.google.iq/maps/search/+36.4897,43.1192/@36.4897,43.1192,14z?hl=en","Maplink2")</f>
        <v>Maplink2</v>
      </c>
      <c r="AV2254" s="12" t="str">
        <f>HYPERLINK("http://www.bing.com/maps/?lvl=14&amp;sty=h&amp;cp=36.4897~43.1192&amp;sp=point.36.4897_43.1192","Maplink3")</f>
        <v>Maplink3</v>
      </c>
    </row>
    <row r="2255" spans="1:48" ht="15" customHeight="1" x14ac:dyDescent="0.25">
      <c r="A2255" s="19">
        <v>17133</v>
      </c>
      <c r="B2255" s="20" t="s">
        <v>21</v>
      </c>
      <c r="C2255" s="20" t="s">
        <v>3966</v>
      </c>
      <c r="D2255" s="20" t="s">
        <v>4023</v>
      </c>
      <c r="E2255" s="20" t="s">
        <v>4024</v>
      </c>
      <c r="F2255" s="20">
        <v>36.532456740000001</v>
      </c>
      <c r="G2255" s="20">
        <v>42.7592298</v>
      </c>
      <c r="H2255" s="22">
        <v>60</v>
      </c>
      <c r="I2255" s="22">
        <v>360</v>
      </c>
      <c r="J2255" s="21"/>
      <c r="K2255" s="21"/>
      <c r="L2255" s="21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>
        <v>60</v>
      </c>
      <c r="W2255" s="21"/>
      <c r="X2255" s="21"/>
      <c r="Y2255" s="21"/>
      <c r="Z2255" s="21"/>
      <c r="AA2255" s="21"/>
      <c r="AB2255" s="21"/>
      <c r="AC2255" s="21">
        <v>20</v>
      </c>
      <c r="AD2255" s="21"/>
      <c r="AE2255" s="21"/>
      <c r="AF2255" s="21"/>
      <c r="AG2255" s="21"/>
      <c r="AH2255" s="21">
        <v>35</v>
      </c>
      <c r="AI2255" s="21"/>
      <c r="AJ2255" s="21">
        <v>5</v>
      </c>
      <c r="AK2255" s="21"/>
      <c r="AL2255" s="21"/>
      <c r="AM2255" s="21"/>
      <c r="AN2255" s="21"/>
      <c r="AO2255" s="21"/>
      <c r="AP2255" s="21">
        <v>50</v>
      </c>
      <c r="AQ2255" s="21">
        <v>10</v>
      </c>
      <c r="AR2255" s="21"/>
      <c r="AS2255" s="21"/>
      <c r="AT2255" s="12" t="str">
        <f>HYPERLINK("http://www.openstreetmap.org/?mlat=36.5325&amp;mlon=42.7592&amp;zoom=12#map=12/36.5325/42.7592","Maplink1")</f>
        <v>Maplink1</v>
      </c>
      <c r="AU2255" s="12" t="str">
        <f>HYPERLINK("https://www.google.iq/maps/search/+36.5325,42.7592/@36.5325,42.7592,14z?hl=en","Maplink2")</f>
        <v>Maplink2</v>
      </c>
      <c r="AV2255" s="12" t="str">
        <f>HYPERLINK("http://www.bing.com/maps/?lvl=14&amp;sty=h&amp;cp=36.5325~42.7592&amp;sp=point.36.5325_42.7592","Maplink3")</f>
        <v>Maplink3</v>
      </c>
    </row>
    <row r="2256" spans="1:48" ht="15" customHeight="1" x14ac:dyDescent="0.25">
      <c r="A2256" s="19">
        <v>24207</v>
      </c>
      <c r="B2256" s="20" t="s">
        <v>22</v>
      </c>
      <c r="C2256" s="20" t="s">
        <v>4025</v>
      </c>
      <c r="D2256" s="20" t="s">
        <v>4026</v>
      </c>
      <c r="E2256" s="20" t="s">
        <v>4027</v>
      </c>
      <c r="F2256" s="20">
        <v>32.116014069999999</v>
      </c>
      <c r="G2256" s="20">
        <v>45.114113160000002</v>
      </c>
      <c r="H2256" s="22">
        <v>11</v>
      </c>
      <c r="I2256" s="22">
        <v>66</v>
      </c>
      <c r="J2256" s="21"/>
      <c r="K2256" s="21"/>
      <c r="L2256" s="21"/>
      <c r="M2256" s="21"/>
      <c r="N2256" s="21"/>
      <c r="O2256" s="21"/>
      <c r="P2256" s="21"/>
      <c r="Q2256" s="21"/>
      <c r="R2256" s="21">
        <v>5</v>
      </c>
      <c r="S2256" s="21"/>
      <c r="T2256" s="21"/>
      <c r="U2256" s="21"/>
      <c r="V2256" s="21">
        <v>6</v>
      </c>
      <c r="W2256" s="21"/>
      <c r="X2256" s="21"/>
      <c r="Y2256" s="21"/>
      <c r="Z2256" s="21"/>
      <c r="AA2256" s="21"/>
      <c r="AB2256" s="21"/>
      <c r="AC2256" s="21">
        <v>1</v>
      </c>
      <c r="AD2256" s="21"/>
      <c r="AE2256" s="21"/>
      <c r="AF2256" s="21"/>
      <c r="AG2256" s="21"/>
      <c r="AH2256" s="21">
        <v>10</v>
      </c>
      <c r="AI2256" s="21"/>
      <c r="AJ2256" s="21"/>
      <c r="AK2256" s="21"/>
      <c r="AL2256" s="21"/>
      <c r="AM2256" s="21">
        <v>5</v>
      </c>
      <c r="AN2256" s="21">
        <v>6</v>
      </c>
      <c r="AO2256" s="21"/>
      <c r="AP2256" s="21"/>
      <c r="AQ2256" s="21"/>
      <c r="AR2256" s="21"/>
      <c r="AS2256" s="21"/>
      <c r="AT2256" s="12" t="str">
        <f>HYPERLINK("http://www.openstreetmap.org/?mlat=32.116&amp;mlon=45.1141&amp;zoom=12#map=12/32.116/45.1141","Maplink1")</f>
        <v>Maplink1</v>
      </c>
      <c r="AU2256" s="12" t="str">
        <f>HYPERLINK("https://www.google.iq/maps/search/+32.116,45.1141/@32.116,45.1141,14z?hl=en","Maplink2")</f>
        <v>Maplink2</v>
      </c>
      <c r="AV2256" s="12" t="str">
        <f>HYPERLINK("http://www.bing.com/maps/?lvl=14&amp;sty=h&amp;cp=32.116~45.1141&amp;sp=point.32.116_45.1141","Maplink3")</f>
        <v>Maplink3</v>
      </c>
    </row>
    <row r="2257" spans="1:48" ht="15" customHeight="1" x14ac:dyDescent="0.25">
      <c r="A2257" s="19">
        <v>3392</v>
      </c>
      <c r="B2257" s="20" t="s">
        <v>22</v>
      </c>
      <c r="C2257" s="20" t="s">
        <v>4025</v>
      </c>
      <c r="D2257" s="20" t="s">
        <v>4028</v>
      </c>
      <c r="E2257" s="20" t="s">
        <v>4029</v>
      </c>
      <c r="F2257" s="20">
        <v>32.054377000000002</v>
      </c>
      <c r="G2257" s="20">
        <v>45.231952999999997</v>
      </c>
      <c r="H2257" s="22">
        <v>11</v>
      </c>
      <c r="I2257" s="22">
        <v>66</v>
      </c>
      <c r="J2257" s="21"/>
      <c r="K2257" s="21"/>
      <c r="L2257" s="21"/>
      <c r="M2257" s="21"/>
      <c r="N2257" s="21"/>
      <c r="O2257" s="21"/>
      <c r="P2257" s="21"/>
      <c r="Q2257" s="21"/>
      <c r="R2257" s="21">
        <v>3</v>
      </c>
      <c r="S2257" s="21"/>
      <c r="T2257" s="21"/>
      <c r="U2257" s="21"/>
      <c r="V2257" s="21">
        <v>8</v>
      </c>
      <c r="W2257" s="21"/>
      <c r="X2257" s="21"/>
      <c r="Y2257" s="21"/>
      <c r="Z2257" s="21"/>
      <c r="AA2257" s="21"/>
      <c r="AB2257" s="21"/>
      <c r="AC2257" s="21">
        <v>1</v>
      </c>
      <c r="AD2257" s="21">
        <v>2</v>
      </c>
      <c r="AE2257" s="21"/>
      <c r="AF2257" s="21"/>
      <c r="AG2257" s="21">
        <v>4</v>
      </c>
      <c r="AH2257" s="21">
        <v>4</v>
      </c>
      <c r="AI2257" s="21"/>
      <c r="AJ2257" s="21"/>
      <c r="AK2257" s="21"/>
      <c r="AL2257" s="21"/>
      <c r="AM2257" s="21">
        <v>6</v>
      </c>
      <c r="AN2257" s="21">
        <v>5</v>
      </c>
      <c r="AO2257" s="21"/>
      <c r="AP2257" s="21"/>
      <c r="AQ2257" s="21"/>
      <c r="AR2257" s="21"/>
      <c r="AS2257" s="21"/>
      <c r="AT2257" s="12" t="str">
        <f>HYPERLINK("http://www.openstreetmap.org/?mlat=32.0544&amp;mlon=45.232&amp;zoom=12#map=12/32.0544/45.232","Maplink1")</f>
        <v>Maplink1</v>
      </c>
      <c r="AU2257" s="12" t="str">
        <f>HYPERLINK("https://www.google.iq/maps/search/+32.0544,45.232/@32.0544,45.232,14z?hl=en","Maplink2")</f>
        <v>Maplink2</v>
      </c>
      <c r="AV2257" s="12" t="str">
        <f>HYPERLINK("http://www.bing.com/maps/?lvl=14&amp;sty=h&amp;cp=32.0544~45.232&amp;sp=point.32.0544_45.232","Maplink3")</f>
        <v>Maplink3</v>
      </c>
    </row>
    <row r="2258" spans="1:48" ht="15" customHeight="1" x14ac:dyDescent="0.25">
      <c r="A2258" s="19">
        <v>24601</v>
      </c>
      <c r="B2258" s="20" t="s">
        <v>22</v>
      </c>
      <c r="C2258" s="20" t="s">
        <v>4025</v>
      </c>
      <c r="D2258" s="20" t="s">
        <v>4030</v>
      </c>
      <c r="E2258" s="20" t="s">
        <v>4031</v>
      </c>
      <c r="F2258" s="20">
        <v>32.152483349999997</v>
      </c>
      <c r="G2258" s="20">
        <v>45.00582928</v>
      </c>
      <c r="H2258" s="22">
        <v>13</v>
      </c>
      <c r="I2258" s="22">
        <v>78</v>
      </c>
      <c r="J2258" s="21"/>
      <c r="K2258" s="21"/>
      <c r="L2258" s="21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>
        <v>13</v>
      </c>
      <c r="W2258" s="21"/>
      <c r="X2258" s="21"/>
      <c r="Y2258" s="21"/>
      <c r="Z2258" s="21"/>
      <c r="AA2258" s="21"/>
      <c r="AB2258" s="21"/>
      <c r="AC2258" s="21">
        <v>3</v>
      </c>
      <c r="AD2258" s="21"/>
      <c r="AE2258" s="21"/>
      <c r="AF2258" s="21"/>
      <c r="AG2258" s="21"/>
      <c r="AH2258" s="21">
        <v>10</v>
      </c>
      <c r="AI2258" s="21"/>
      <c r="AJ2258" s="21"/>
      <c r="AK2258" s="21"/>
      <c r="AL2258" s="21"/>
      <c r="AM2258" s="21"/>
      <c r="AN2258" s="21">
        <v>13</v>
      </c>
      <c r="AO2258" s="21"/>
      <c r="AP2258" s="21"/>
      <c r="AQ2258" s="21"/>
      <c r="AR2258" s="21"/>
      <c r="AS2258" s="21"/>
      <c r="AT2258" s="12" t="str">
        <f>HYPERLINK("http://www.openstreetmap.org/?mlat=32.1525&amp;mlon=45.0058&amp;zoom=12#map=12/32.1525/45.0058","Maplink1")</f>
        <v>Maplink1</v>
      </c>
      <c r="AU2258" s="12" t="str">
        <f>HYPERLINK("https://www.google.iq/maps/search/+32.1525,45.0058/@32.1525,45.0058,14z?hl=en","Maplink2")</f>
        <v>Maplink2</v>
      </c>
      <c r="AV2258" s="12" t="str">
        <f>HYPERLINK("http://www.bing.com/maps/?lvl=14&amp;sty=h&amp;cp=32.1525~45.0058&amp;sp=point.32.1525_45.0058","Maplink3")</f>
        <v>Maplink3</v>
      </c>
    </row>
    <row r="2259" spans="1:48" ht="15" customHeight="1" x14ac:dyDescent="0.25">
      <c r="A2259" s="19">
        <v>3116</v>
      </c>
      <c r="B2259" s="20" t="s">
        <v>22</v>
      </c>
      <c r="C2259" s="20" t="s">
        <v>4025</v>
      </c>
      <c r="D2259" s="20" t="s">
        <v>4032</v>
      </c>
      <c r="E2259" s="20" t="s">
        <v>4033</v>
      </c>
      <c r="F2259" s="20">
        <v>32.059365120000002</v>
      </c>
      <c r="G2259" s="20">
        <v>45.170130260000001</v>
      </c>
      <c r="H2259" s="22">
        <v>9</v>
      </c>
      <c r="I2259" s="22">
        <v>54</v>
      </c>
      <c r="J2259" s="21"/>
      <c r="K2259" s="21"/>
      <c r="L2259" s="21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>
        <v>9</v>
      </c>
      <c r="W2259" s="21"/>
      <c r="X2259" s="21"/>
      <c r="Y2259" s="21"/>
      <c r="Z2259" s="21"/>
      <c r="AA2259" s="21"/>
      <c r="AB2259" s="21"/>
      <c r="AC2259" s="21">
        <v>5</v>
      </c>
      <c r="AD2259" s="21"/>
      <c r="AE2259" s="21"/>
      <c r="AF2259" s="21"/>
      <c r="AG2259" s="21"/>
      <c r="AH2259" s="21">
        <v>4</v>
      </c>
      <c r="AI2259" s="21"/>
      <c r="AJ2259" s="21"/>
      <c r="AK2259" s="21"/>
      <c r="AL2259" s="21"/>
      <c r="AM2259" s="21">
        <v>2</v>
      </c>
      <c r="AN2259" s="21">
        <v>7</v>
      </c>
      <c r="AO2259" s="21"/>
      <c r="AP2259" s="21"/>
      <c r="AQ2259" s="21"/>
      <c r="AR2259" s="21"/>
      <c r="AS2259" s="21"/>
      <c r="AT2259" s="12" t="str">
        <f>HYPERLINK("http://www.openstreetmap.org/?mlat=32.0594&amp;mlon=45.1701&amp;zoom=12#map=12/32.0594/45.1701","Maplink1")</f>
        <v>Maplink1</v>
      </c>
      <c r="AU2259" s="12" t="str">
        <f>HYPERLINK("https://www.google.iq/maps/search/+32.0594,45.1701/@32.0594,45.1701,14z?hl=en","Maplink2")</f>
        <v>Maplink2</v>
      </c>
      <c r="AV2259" s="12" t="str">
        <f>HYPERLINK("http://www.bing.com/maps/?lvl=14&amp;sty=h&amp;cp=32.0594~45.1701&amp;sp=point.32.0594_45.1701","Maplink3")</f>
        <v>Maplink3</v>
      </c>
    </row>
    <row r="2260" spans="1:48" ht="15" customHeight="1" x14ac:dyDescent="0.25">
      <c r="A2260" s="19">
        <v>3109</v>
      </c>
      <c r="B2260" s="20" t="s">
        <v>22</v>
      </c>
      <c r="C2260" s="20" t="s">
        <v>4025</v>
      </c>
      <c r="D2260" s="20" t="s">
        <v>4034</v>
      </c>
      <c r="E2260" s="20" t="s">
        <v>4035</v>
      </c>
      <c r="F2260" s="20">
        <v>32.057569068900001</v>
      </c>
      <c r="G2260" s="20">
        <v>45.169047480400003</v>
      </c>
      <c r="H2260" s="22">
        <v>5</v>
      </c>
      <c r="I2260" s="22">
        <v>30</v>
      </c>
      <c r="J2260" s="21"/>
      <c r="K2260" s="21"/>
      <c r="L2260" s="21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>
        <v>5</v>
      </c>
      <c r="W2260" s="21"/>
      <c r="X2260" s="21"/>
      <c r="Y2260" s="21"/>
      <c r="Z2260" s="21"/>
      <c r="AA2260" s="21"/>
      <c r="AB2260" s="21"/>
      <c r="AC2260" s="21">
        <v>3</v>
      </c>
      <c r="AD2260" s="21"/>
      <c r="AE2260" s="21"/>
      <c r="AF2260" s="21"/>
      <c r="AG2260" s="21"/>
      <c r="AH2260" s="21">
        <v>2</v>
      </c>
      <c r="AI2260" s="21"/>
      <c r="AJ2260" s="21"/>
      <c r="AK2260" s="21"/>
      <c r="AL2260" s="21"/>
      <c r="AM2260" s="21"/>
      <c r="AN2260" s="21">
        <v>5</v>
      </c>
      <c r="AO2260" s="21"/>
      <c r="AP2260" s="21"/>
      <c r="AQ2260" s="21"/>
      <c r="AR2260" s="21"/>
      <c r="AS2260" s="21"/>
      <c r="AT2260" s="12" t="str">
        <f>HYPERLINK("http://www.openstreetmap.org/?mlat=32.0576&amp;mlon=45.169&amp;zoom=12#map=12/32.0576/45.169","Maplink1")</f>
        <v>Maplink1</v>
      </c>
      <c r="AU2260" s="12" t="str">
        <f>HYPERLINK("https://www.google.iq/maps/search/+32.0576,45.169/@32.0576,45.169,14z?hl=en","Maplink2")</f>
        <v>Maplink2</v>
      </c>
      <c r="AV2260" s="12" t="str">
        <f>HYPERLINK("http://www.bing.com/maps/?lvl=14&amp;sty=h&amp;cp=32.0576~45.169&amp;sp=point.32.0576_45.169","Maplink3")</f>
        <v>Maplink3</v>
      </c>
    </row>
    <row r="2261" spans="1:48" ht="15" customHeight="1" x14ac:dyDescent="0.25">
      <c r="A2261" s="19">
        <v>24287</v>
      </c>
      <c r="B2261" s="20" t="s">
        <v>22</v>
      </c>
      <c r="C2261" s="20" t="s">
        <v>4025</v>
      </c>
      <c r="D2261" s="20" t="s">
        <v>4036</v>
      </c>
      <c r="E2261" s="20" t="s">
        <v>4037</v>
      </c>
      <c r="F2261" s="20">
        <v>31.96760149</v>
      </c>
      <c r="G2261" s="20">
        <v>45.406449129999999</v>
      </c>
      <c r="H2261" s="22">
        <v>15</v>
      </c>
      <c r="I2261" s="22">
        <v>90</v>
      </c>
      <c r="J2261" s="21"/>
      <c r="K2261" s="21"/>
      <c r="L2261" s="21"/>
      <c r="M2261" s="21"/>
      <c r="N2261" s="21"/>
      <c r="O2261" s="21"/>
      <c r="P2261" s="21"/>
      <c r="Q2261" s="21"/>
      <c r="R2261" s="21">
        <v>10</v>
      </c>
      <c r="S2261" s="21"/>
      <c r="T2261" s="21"/>
      <c r="U2261" s="21"/>
      <c r="V2261" s="21">
        <v>5</v>
      </c>
      <c r="W2261" s="21"/>
      <c r="X2261" s="21"/>
      <c r="Y2261" s="21"/>
      <c r="Z2261" s="21"/>
      <c r="AA2261" s="21"/>
      <c r="AB2261" s="21"/>
      <c r="AC2261" s="21">
        <v>3</v>
      </c>
      <c r="AD2261" s="21">
        <v>2</v>
      </c>
      <c r="AE2261" s="21"/>
      <c r="AF2261" s="21"/>
      <c r="AG2261" s="21"/>
      <c r="AH2261" s="21">
        <v>10</v>
      </c>
      <c r="AI2261" s="21"/>
      <c r="AJ2261" s="21"/>
      <c r="AK2261" s="21"/>
      <c r="AL2261" s="21"/>
      <c r="AM2261" s="21">
        <v>5</v>
      </c>
      <c r="AN2261" s="21">
        <v>10</v>
      </c>
      <c r="AO2261" s="21"/>
      <c r="AP2261" s="21"/>
      <c r="AQ2261" s="21"/>
      <c r="AR2261" s="21"/>
      <c r="AS2261" s="21"/>
      <c r="AT2261" s="12" t="str">
        <f>HYPERLINK("http://www.openstreetmap.org/?mlat=31.9676&amp;mlon=45.4064&amp;zoom=12#map=12/31.9676/45.4064","Maplink1")</f>
        <v>Maplink1</v>
      </c>
      <c r="AU2261" s="12" t="str">
        <f>HYPERLINK("https://www.google.iq/maps/search/+31.9676,45.4064/@31.9676,45.4064,14z?hl=en","Maplink2")</f>
        <v>Maplink2</v>
      </c>
      <c r="AV2261" s="12" t="str">
        <f>HYPERLINK("http://www.bing.com/maps/?lvl=14&amp;sty=h&amp;cp=31.9676~45.4064&amp;sp=point.31.9676_45.4064","Maplink3")</f>
        <v>Maplink3</v>
      </c>
    </row>
    <row r="2262" spans="1:48" ht="15" customHeight="1" x14ac:dyDescent="0.25">
      <c r="A2262" s="19">
        <v>22751</v>
      </c>
      <c r="B2262" s="20" t="s">
        <v>22</v>
      </c>
      <c r="C2262" s="20" t="s">
        <v>4025</v>
      </c>
      <c r="D2262" s="20" t="s">
        <v>4038</v>
      </c>
      <c r="E2262" s="20" t="s">
        <v>4039</v>
      </c>
      <c r="F2262" s="20">
        <v>32.152901</v>
      </c>
      <c r="G2262" s="20">
        <v>45.004078</v>
      </c>
      <c r="H2262" s="22">
        <v>10</v>
      </c>
      <c r="I2262" s="22">
        <v>60</v>
      </c>
      <c r="J2262" s="21"/>
      <c r="K2262" s="21"/>
      <c r="L2262" s="21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>
        <v>10</v>
      </c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21"/>
      <c r="AH2262" s="21">
        <v>10</v>
      </c>
      <c r="AI2262" s="21"/>
      <c r="AJ2262" s="21"/>
      <c r="AK2262" s="21"/>
      <c r="AL2262" s="21"/>
      <c r="AM2262" s="21">
        <v>3</v>
      </c>
      <c r="AN2262" s="21">
        <v>7</v>
      </c>
      <c r="AO2262" s="21"/>
      <c r="AP2262" s="21"/>
      <c r="AQ2262" s="21"/>
      <c r="AR2262" s="21"/>
      <c r="AS2262" s="21"/>
      <c r="AT2262" s="12" t="str">
        <f>HYPERLINK("http://www.openstreetmap.org/?mlat=32.1529&amp;mlon=45.0041&amp;zoom=12#map=12/32.1529/45.0041","Maplink1")</f>
        <v>Maplink1</v>
      </c>
      <c r="AU2262" s="12" t="str">
        <f>HYPERLINK("https://www.google.iq/maps/search/+32.1529,45.0041/@32.1529,45.0041,14z?hl=en","Maplink2")</f>
        <v>Maplink2</v>
      </c>
      <c r="AV2262" s="12" t="str">
        <f>HYPERLINK("http://www.bing.com/maps/?lvl=14&amp;sty=h&amp;cp=32.1529~45.0041&amp;sp=point.32.1529_45.0041","Maplink3")</f>
        <v>Maplink3</v>
      </c>
    </row>
    <row r="2263" spans="1:48" ht="15" customHeight="1" x14ac:dyDescent="0.25">
      <c r="A2263" s="19">
        <v>24288</v>
      </c>
      <c r="B2263" s="20" t="s">
        <v>22</v>
      </c>
      <c r="C2263" s="20" t="s">
        <v>4025</v>
      </c>
      <c r="D2263" s="20" t="s">
        <v>217</v>
      </c>
      <c r="E2263" s="20" t="s">
        <v>1416</v>
      </c>
      <c r="F2263" s="20">
        <v>32.063445999999999</v>
      </c>
      <c r="G2263" s="20">
        <v>45.234028000000002</v>
      </c>
      <c r="H2263" s="22">
        <v>13</v>
      </c>
      <c r="I2263" s="22">
        <v>78</v>
      </c>
      <c r="J2263" s="21"/>
      <c r="K2263" s="21"/>
      <c r="L2263" s="21"/>
      <c r="M2263" s="21"/>
      <c r="N2263" s="21"/>
      <c r="O2263" s="21"/>
      <c r="P2263" s="21"/>
      <c r="Q2263" s="21"/>
      <c r="R2263" s="21">
        <v>6</v>
      </c>
      <c r="S2263" s="21"/>
      <c r="T2263" s="21"/>
      <c r="U2263" s="21"/>
      <c r="V2263" s="21">
        <v>7</v>
      </c>
      <c r="W2263" s="21"/>
      <c r="X2263" s="21"/>
      <c r="Y2263" s="21"/>
      <c r="Z2263" s="21"/>
      <c r="AA2263" s="21"/>
      <c r="AB2263" s="21"/>
      <c r="AC2263" s="21">
        <v>2</v>
      </c>
      <c r="AD2263" s="21">
        <v>2</v>
      </c>
      <c r="AE2263" s="21"/>
      <c r="AF2263" s="21"/>
      <c r="AG2263" s="21">
        <v>4</v>
      </c>
      <c r="AH2263" s="21">
        <v>5</v>
      </c>
      <c r="AI2263" s="21"/>
      <c r="AJ2263" s="21"/>
      <c r="AK2263" s="21"/>
      <c r="AL2263" s="21"/>
      <c r="AM2263" s="21">
        <v>8</v>
      </c>
      <c r="AN2263" s="21">
        <v>5</v>
      </c>
      <c r="AO2263" s="21"/>
      <c r="AP2263" s="21"/>
      <c r="AQ2263" s="21"/>
      <c r="AR2263" s="21"/>
      <c r="AS2263" s="21"/>
      <c r="AT2263" s="12" t="str">
        <f>HYPERLINK("http://www.openstreetmap.org/?mlat=32.0634&amp;mlon=45.234&amp;zoom=12#map=12/32.0634/45.234","Maplink1")</f>
        <v>Maplink1</v>
      </c>
      <c r="AU2263" s="12" t="str">
        <f>HYPERLINK("https://www.google.iq/maps/search/+32.0634,45.234/@32.0634,45.234,14z?hl=en","Maplink2")</f>
        <v>Maplink2</v>
      </c>
      <c r="AV2263" s="12" t="str">
        <f>HYPERLINK("http://www.bing.com/maps/?lvl=14&amp;sty=h&amp;cp=32.0634~45.234&amp;sp=point.32.0634_45.234","Maplink3")</f>
        <v>Maplink3</v>
      </c>
    </row>
    <row r="2264" spans="1:48" ht="15" customHeight="1" x14ac:dyDescent="0.25">
      <c r="A2264" s="19">
        <v>3362</v>
      </c>
      <c r="B2264" s="20" t="s">
        <v>22</v>
      </c>
      <c r="C2264" s="20" t="s">
        <v>4025</v>
      </c>
      <c r="D2264" s="20" t="s">
        <v>221</v>
      </c>
      <c r="E2264" s="20" t="s">
        <v>222</v>
      </c>
      <c r="F2264" s="20">
        <v>32.065086999999998</v>
      </c>
      <c r="G2264" s="20">
        <v>45.238249000000003</v>
      </c>
      <c r="H2264" s="22">
        <v>8</v>
      </c>
      <c r="I2264" s="22">
        <v>48</v>
      </c>
      <c r="J2264" s="21"/>
      <c r="K2264" s="21"/>
      <c r="L2264" s="21"/>
      <c r="M2264" s="21"/>
      <c r="N2264" s="21"/>
      <c r="O2264" s="21"/>
      <c r="P2264" s="21"/>
      <c r="Q2264" s="21"/>
      <c r="R2264" s="21">
        <v>1</v>
      </c>
      <c r="S2264" s="21"/>
      <c r="T2264" s="21"/>
      <c r="U2264" s="21"/>
      <c r="V2264" s="21">
        <v>7</v>
      </c>
      <c r="W2264" s="21"/>
      <c r="X2264" s="21"/>
      <c r="Y2264" s="21"/>
      <c r="Z2264" s="21"/>
      <c r="AA2264" s="21"/>
      <c r="AB2264" s="21"/>
      <c r="AC2264" s="21">
        <v>3</v>
      </c>
      <c r="AD2264" s="21">
        <v>1</v>
      </c>
      <c r="AE2264" s="21"/>
      <c r="AF2264" s="21"/>
      <c r="AG2264" s="21"/>
      <c r="AH2264" s="21">
        <v>4</v>
      </c>
      <c r="AI2264" s="21"/>
      <c r="AJ2264" s="21"/>
      <c r="AK2264" s="21"/>
      <c r="AL2264" s="21"/>
      <c r="AM2264" s="21">
        <v>3</v>
      </c>
      <c r="AN2264" s="21">
        <v>5</v>
      </c>
      <c r="AO2264" s="21"/>
      <c r="AP2264" s="21"/>
      <c r="AQ2264" s="21"/>
      <c r="AR2264" s="21"/>
      <c r="AS2264" s="21"/>
      <c r="AT2264" s="12" t="str">
        <f>HYPERLINK("http://www.openstreetmap.org/?mlat=32.0651&amp;mlon=45.2382&amp;zoom=12#map=12/32.0651/45.2382","Maplink1")</f>
        <v>Maplink1</v>
      </c>
      <c r="AU2264" s="12" t="str">
        <f>HYPERLINK("https://www.google.iq/maps/search/+32.0651,45.2382/@32.0651,45.2382,14z?hl=en","Maplink2")</f>
        <v>Maplink2</v>
      </c>
      <c r="AV2264" s="12" t="str">
        <f>HYPERLINK("http://www.bing.com/maps/?lvl=14&amp;sty=h&amp;cp=32.0651~45.2382&amp;sp=point.32.0651_45.2382","Maplink3")</f>
        <v>Maplink3</v>
      </c>
    </row>
    <row r="2265" spans="1:48" ht="15" customHeight="1" x14ac:dyDescent="0.25">
      <c r="A2265" s="19">
        <v>25502</v>
      </c>
      <c r="B2265" s="20" t="s">
        <v>22</v>
      </c>
      <c r="C2265" s="20" t="s">
        <v>4025</v>
      </c>
      <c r="D2265" s="20" t="s">
        <v>1411</v>
      </c>
      <c r="E2265" s="20" t="s">
        <v>112</v>
      </c>
      <c r="F2265" s="20">
        <v>32.146779170000002</v>
      </c>
      <c r="G2265" s="20">
        <v>44.995294989999998</v>
      </c>
      <c r="H2265" s="22">
        <v>10</v>
      </c>
      <c r="I2265" s="22">
        <v>60</v>
      </c>
      <c r="J2265" s="21"/>
      <c r="K2265" s="21"/>
      <c r="L2265" s="21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>
        <v>10</v>
      </c>
      <c r="W2265" s="21"/>
      <c r="X2265" s="21"/>
      <c r="Y2265" s="21"/>
      <c r="Z2265" s="21"/>
      <c r="AA2265" s="21"/>
      <c r="AB2265" s="21"/>
      <c r="AC2265" s="21"/>
      <c r="AD2265" s="21">
        <v>3</v>
      </c>
      <c r="AE2265" s="21"/>
      <c r="AF2265" s="21"/>
      <c r="AG2265" s="21"/>
      <c r="AH2265" s="21">
        <v>7</v>
      </c>
      <c r="AI2265" s="21"/>
      <c r="AJ2265" s="21"/>
      <c r="AK2265" s="21"/>
      <c r="AL2265" s="21"/>
      <c r="AM2265" s="21"/>
      <c r="AN2265" s="21">
        <v>10</v>
      </c>
      <c r="AO2265" s="21"/>
      <c r="AP2265" s="21"/>
      <c r="AQ2265" s="21"/>
      <c r="AR2265" s="21"/>
      <c r="AS2265" s="21"/>
      <c r="AT2265" s="12" t="str">
        <f>HYPERLINK("http://www.openstreetmap.org/?mlat=32.1468&amp;mlon=44.9953&amp;zoom=12#map=12/32.1468/44.9953","Maplink1")</f>
        <v>Maplink1</v>
      </c>
      <c r="AU2265" s="12" t="str">
        <f>HYPERLINK("https://www.google.iq/maps/search/+32.1468,44.9953/@32.1468,44.9953,14z?hl=en","Maplink2")</f>
        <v>Maplink2</v>
      </c>
      <c r="AV2265" s="12" t="str">
        <f>HYPERLINK("http://www.bing.com/maps/?lvl=14&amp;sty=h&amp;cp=32.1468~44.9953&amp;sp=point.32.1468_44.9953","Maplink3")</f>
        <v>Maplink3</v>
      </c>
    </row>
    <row r="2266" spans="1:48" ht="15" customHeight="1" x14ac:dyDescent="0.25">
      <c r="A2266" s="19">
        <v>24488</v>
      </c>
      <c r="B2266" s="20" t="s">
        <v>22</v>
      </c>
      <c r="C2266" s="20" t="s">
        <v>4025</v>
      </c>
      <c r="D2266" s="20" t="s">
        <v>4040</v>
      </c>
      <c r="E2266" s="20" t="s">
        <v>3376</v>
      </c>
      <c r="F2266" s="20">
        <v>32.149403800000002</v>
      </c>
      <c r="G2266" s="20">
        <v>44.995511069999999</v>
      </c>
      <c r="H2266" s="22">
        <v>10</v>
      </c>
      <c r="I2266" s="22">
        <v>60</v>
      </c>
      <c r="J2266" s="21"/>
      <c r="K2266" s="21"/>
      <c r="L2266" s="21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>
        <v>10</v>
      </c>
      <c r="W2266" s="21"/>
      <c r="X2266" s="21"/>
      <c r="Y2266" s="21"/>
      <c r="Z2266" s="21"/>
      <c r="AA2266" s="21"/>
      <c r="AB2266" s="21"/>
      <c r="AC2266" s="21">
        <v>2</v>
      </c>
      <c r="AD2266" s="21"/>
      <c r="AE2266" s="21"/>
      <c r="AF2266" s="21"/>
      <c r="AG2266" s="21"/>
      <c r="AH2266" s="21">
        <v>8</v>
      </c>
      <c r="AI2266" s="21"/>
      <c r="AJ2266" s="21"/>
      <c r="AK2266" s="21"/>
      <c r="AL2266" s="21"/>
      <c r="AM2266" s="21"/>
      <c r="AN2266" s="21">
        <v>10</v>
      </c>
      <c r="AO2266" s="21"/>
      <c r="AP2266" s="21"/>
      <c r="AQ2266" s="21"/>
      <c r="AR2266" s="21"/>
      <c r="AS2266" s="21"/>
      <c r="AT2266" s="12" t="str">
        <f>HYPERLINK("http://www.openstreetmap.org/?mlat=32.1494&amp;mlon=44.9955&amp;zoom=12#map=12/32.1494/44.9955","Maplink1")</f>
        <v>Maplink1</v>
      </c>
      <c r="AU2266" s="12" t="str">
        <f>HYPERLINK("https://www.google.iq/maps/search/+32.1494,44.9955/@32.1494,44.9955,14z?hl=en","Maplink2")</f>
        <v>Maplink2</v>
      </c>
      <c r="AV2266" s="12" t="str">
        <f>HYPERLINK("http://www.bing.com/maps/?lvl=14&amp;sty=h&amp;cp=32.1494~44.9955&amp;sp=point.32.1494_44.9955","Maplink3")</f>
        <v>Maplink3</v>
      </c>
    </row>
    <row r="2267" spans="1:48" ht="15" customHeight="1" x14ac:dyDescent="0.25">
      <c r="A2267" s="19">
        <v>25382</v>
      </c>
      <c r="B2267" s="20" t="s">
        <v>22</v>
      </c>
      <c r="C2267" s="20" t="s">
        <v>4025</v>
      </c>
      <c r="D2267" s="20" t="s">
        <v>4041</v>
      </c>
      <c r="E2267" s="20" t="s">
        <v>318</v>
      </c>
      <c r="F2267" s="20">
        <v>32.062399999999997</v>
      </c>
      <c r="G2267" s="20">
        <v>45.252682999999998</v>
      </c>
      <c r="H2267" s="22">
        <v>10</v>
      </c>
      <c r="I2267" s="22">
        <v>60</v>
      </c>
      <c r="J2267" s="21"/>
      <c r="K2267" s="21"/>
      <c r="L2267" s="21"/>
      <c r="M2267" s="21"/>
      <c r="N2267" s="21"/>
      <c r="O2267" s="21"/>
      <c r="P2267" s="21"/>
      <c r="Q2267" s="21"/>
      <c r="R2267" s="21">
        <v>1</v>
      </c>
      <c r="S2267" s="21"/>
      <c r="T2267" s="21"/>
      <c r="U2267" s="21"/>
      <c r="V2267" s="21">
        <v>9</v>
      </c>
      <c r="W2267" s="21"/>
      <c r="X2267" s="21"/>
      <c r="Y2267" s="21"/>
      <c r="Z2267" s="21"/>
      <c r="AA2267" s="21"/>
      <c r="AB2267" s="21"/>
      <c r="AC2267" s="21">
        <v>4</v>
      </c>
      <c r="AD2267" s="21"/>
      <c r="AE2267" s="21"/>
      <c r="AF2267" s="21"/>
      <c r="AG2267" s="21">
        <v>2</v>
      </c>
      <c r="AH2267" s="21">
        <v>4</v>
      </c>
      <c r="AI2267" s="21"/>
      <c r="AJ2267" s="21"/>
      <c r="AK2267" s="21"/>
      <c r="AL2267" s="21"/>
      <c r="AM2267" s="21">
        <v>7</v>
      </c>
      <c r="AN2267" s="21">
        <v>3</v>
      </c>
      <c r="AO2267" s="21"/>
      <c r="AP2267" s="21"/>
      <c r="AQ2267" s="21"/>
      <c r="AR2267" s="21"/>
      <c r="AS2267" s="21"/>
      <c r="AT2267" s="12" t="str">
        <f>HYPERLINK("http://www.openstreetmap.org/?mlat=32.0624&amp;mlon=45.2527&amp;zoom=12#map=12/32.0624/45.2527","Maplink1")</f>
        <v>Maplink1</v>
      </c>
      <c r="AU2267" s="12" t="str">
        <f>HYPERLINK("https://www.google.iq/maps/search/+32.0624,45.2527/@32.0624,45.2527,14z?hl=en","Maplink2")</f>
        <v>Maplink2</v>
      </c>
      <c r="AV2267" s="12" t="str">
        <f>HYPERLINK("http://www.bing.com/maps/?lvl=14&amp;sty=h&amp;cp=32.0624~45.2527&amp;sp=point.32.0624_45.2527","Maplink3")</f>
        <v>Maplink3</v>
      </c>
    </row>
    <row r="2268" spans="1:48" ht="15" customHeight="1" x14ac:dyDescent="0.25">
      <c r="A2268" s="19">
        <v>2802</v>
      </c>
      <c r="B2268" s="20" t="s">
        <v>22</v>
      </c>
      <c r="C2268" s="20" t="s">
        <v>4025</v>
      </c>
      <c r="D2268" s="20" t="s">
        <v>4042</v>
      </c>
      <c r="E2268" s="20" t="s">
        <v>3285</v>
      </c>
      <c r="F2268" s="20">
        <v>31.979253969999998</v>
      </c>
      <c r="G2268" s="20">
        <v>45.411653540000003</v>
      </c>
      <c r="H2268" s="22">
        <v>10</v>
      </c>
      <c r="I2268" s="22">
        <v>60</v>
      </c>
      <c r="J2268" s="21"/>
      <c r="K2268" s="21"/>
      <c r="L2268" s="21"/>
      <c r="M2268" s="21"/>
      <c r="N2268" s="21"/>
      <c r="O2268" s="21"/>
      <c r="P2268" s="21"/>
      <c r="Q2268" s="21"/>
      <c r="R2268" s="21">
        <v>10</v>
      </c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>
        <v>3</v>
      </c>
      <c r="AD2268" s="21"/>
      <c r="AE2268" s="21"/>
      <c r="AF2268" s="21"/>
      <c r="AG2268" s="21"/>
      <c r="AH2268" s="21">
        <v>7</v>
      </c>
      <c r="AI2268" s="21"/>
      <c r="AJ2268" s="21"/>
      <c r="AK2268" s="21"/>
      <c r="AL2268" s="21"/>
      <c r="AM2268" s="21">
        <v>10</v>
      </c>
      <c r="AN2268" s="21"/>
      <c r="AO2268" s="21"/>
      <c r="AP2268" s="21"/>
      <c r="AQ2268" s="21"/>
      <c r="AR2268" s="21"/>
      <c r="AS2268" s="21"/>
      <c r="AT2268" s="12" t="str">
        <f>HYPERLINK("http://www.openstreetmap.org/?mlat=31.9793&amp;mlon=45.4117&amp;zoom=12#map=12/31.9793/45.4117","Maplink1")</f>
        <v>Maplink1</v>
      </c>
      <c r="AU2268" s="12" t="str">
        <f>HYPERLINK("https://www.google.iq/maps/search/+31.9793,45.4117/@31.9793,45.4117,14z?hl=en","Maplink2")</f>
        <v>Maplink2</v>
      </c>
      <c r="AV2268" s="12" t="str">
        <f>HYPERLINK("http://www.bing.com/maps/?lvl=14&amp;sty=h&amp;cp=31.9793~45.4117&amp;sp=point.31.9793_45.4117","Maplink3")</f>
        <v>Maplink3</v>
      </c>
    </row>
    <row r="2269" spans="1:48" ht="15" customHeight="1" x14ac:dyDescent="0.25">
      <c r="A2269" s="19">
        <v>25378</v>
      </c>
      <c r="B2269" s="20" t="s">
        <v>22</v>
      </c>
      <c r="C2269" s="20" t="s">
        <v>4025</v>
      </c>
      <c r="D2269" s="20" t="s">
        <v>4043</v>
      </c>
      <c r="E2269" s="20" t="s">
        <v>1360</v>
      </c>
      <c r="F2269" s="20">
        <v>31.977070885900002</v>
      </c>
      <c r="G2269" s="20">
        <v>45.396445067000002</v>
      </c>
      <c r="H2269" s="22">
        <v>12</v>
      </c>
      <c r="I2269" s="22">
        <v>72</v>
      </c>
      <c r="J2269" s="21"/>
      <c r="K2269" s="21"/>
      <c r="L2269" s="21"/>
      <c r="M2269" s="21"/>
      <c r="N2269" s="21"/>
      <c r="O2269" s="21"/>
      <c r="P2269" s="21"/>
      <c r="Q2269" s="21"/>
      <c r="R2269" s="21">
        <v>5</v>
      </c>
      <c r="S2269" s="21"/>
      <c r="T2269" s="21"/>
      <c r="U2269" s="21"/>
      <c r="V2269" s="21">
        <v>7</v>
      </c>
      <c r="W2269" s="21"/>
      <c r="X2269" s="21"/>
      <c r="Y2269" s="21"/>
      <c r="Z2269" s="21"/>
      <c r="AA2269" s="21"/>
      <c r="AB2269" s="21"/>
      <c r="AC2269" s="21">
        <v>3</v>
      </c>
      <c r="AD2269" s="21">
        <v>3</v>
      </c>
      <c r="AE2269" s="21"/>
      <c r="AF2269" s="21"/>
      <c r="AG2269" s="21"/>
      <c r="AH2269" s="21">
        <v>6</v>
      </c>
      <c r="AI2269" s="21"/>
      <c r="AJ2269" s="21"/>
      <c r="AK2269" s="21"/>
      <c r="AL2269" s="21"/>
      <c r="AM2269" s="21">
        <v>5</v>
      </c>
      <c r="AN2269" s="21">
        <v>7</v>
      </c>
      <c r="AO2269" s="21"/>
      <c r="AP2269" s="21"/>
      <c r="AQ2269" s="21"/>
      <c r="AR2269" s="21"/>
      <c r="AS2269" s="21"/>
      <c r="AT2269" s="12" t="str">
        <f>HYPERLINK("http://www.openstreetmap.org/?mlat=31.9771&amp;mlon=45.3964&amp;zoom=12#map=12/31.9771/45.3964","Maplink1")</f>
        <v>Maplink1</v>
      </c>
      <c r="AU2269" s="12" t="str">
        <f>HYPERLINK("https://www.google.iq/maps/search/+31.9771,45.3964/@31.9771,45.3964,14z?hl=en","Maplink2")</f>
        <v>Maplink2</v>
      </c>
      <c r="AV2269" s="12" t="str">
        <f>HYPERLINK("http://www.bing.com/maps/?lvl=14&amp;sty=h&amp;cp=31.9771~45.3964&amp;sp=point.31.9771_45.3964","Maplink3")</f>
        <v>Maplink3</v>
      </c>
    </row>
    <row r="2270" spans="1:48" ht="15" customHeight="1" x14ac:dyDescent="0.25">
      <c r="A2270" s="19">
        <v>2795</v>
      </c>
      <c r="B2270" s="20" t="s">
        <v>22</v>
      </c>
      <c r="C2270" s="20" t="s">
        <v>4025</v>
      </c>
      <c r="D2270" s="20" t="s">
        <v>4044</v>
      </c>
      <c r="E2270" s="20" t="s">
        <v>4045</v>
      </c>
      <c r="F2270" s="20">
        <v>31.972437429999999</v>
      </c>
      <c r="G2270" s="20">
        <v>45.409262679999998</v>
      </c>
      <c r="H2270" s="22">
        <v>11</v>
      </c>
      <c r="I2270" s="22">
        <v>66</v>
      </c>
      <c r="J2270" s="21"/>
      <c r="K2270" s="21"/>
      <c r="L2270" s="21"/>
      <c r="M2270" s="21"/>
      <c r="N2270" s="21"/>
      <c r="O2270" s="21"/>
      <c r="P2270" s="21"/>
      <c r="Q2270" s="21"/>
      <c r="R2270" s="21">
        <v>11</v>
      </c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>
        <v>1</v>
      </c>
      <c r="AD2270" s="21"/>
      <c r="AE2270" s="21"/>
      <c r="AF2270" s="21"/>
      <c r="AG2270" s="21"/>
      <c r="AH2270" s="21">
        <v>10</v>
      </c>
      <c r="AI2270" s="21"/>
      <c r="AJ2270" s="21"/>
      <c r="AK2270" s="21"/>
      <c r="AL2270" s="21">
        <v>2</v>
      </c>
      <c r="AM2270" s="21">
        <v>6</v>
      </c>
      <c r="AN2270" s="21">
        <v>3</v>
      </c>
      <c r="AO2270" s="21"/>
      <c r="AP2270" s="21"/>
      <c r="AQ2270" s="21"/>
      <c r="AR2270" s="21"/>
      <c r="AS2270" s="21"/>
      <c r="AT2270" s="12" t="str">
        <f>HYPERLINK("http://www.openstreetmap.org/?mlat=31.9724&amp;mlon=45.4093&amp;zoom=12#map=12/31.9724/45.4093","Maplink1")</f>
        <v>Maplink1</v>
      </c>
      <c r="AU2270" s="12" t="str">
        <f>HYPERLINK("https://www.google.iq/maps/search/+31.9724,45.4093/@31.9724,45.4093,14z?hl=en","Maplink2")</f>
        <v>Maplink2</v>
      </c>
      <c r="AV2270" s="12" t="str">
        <f>HYPERLINK("http://www.bing.com/maps/?lvl=14&amp;sty=h&amp;cp=31.9724~45.4093&amp;sp=point.31.9724_45.4093","Maplink3")</f>
        <v>Maplink3</v>
      </c>
    </row>
    <row r="2271" spans="1:48" ht="15" customHeight="1" x14ac:dyDescent="0.25">
      <c r="A2271" s="19">
        <v>25369</v>
      </c>
      <c r="B2271" s="20" t="s">
        <v>22</v>
      </c>
      <c r="C2271" s="20" t="s">
        <v>4025</v>
      </c>
      <c r="D2271" s="20" t="s">
        <v>170</v>
      </c>
      <c r="E2271" s="20" t="s">
        <v>117</v>
      </c>
      <c r="F2271" s="20">
        <v>31.980379660000001</v>
      </c>
      <c r="G2271" s="20">
        <v>45.409309120000003</v>
      </c>
      <c r="H2271" s="22">
        <v>10</v>
      </c>
      <c r="I2271" s="22">
        <v>60</v>
      </c>
      <c r="J2271" s="21"/>
      <c r="K2271" s="21"/>
      <c r="L2271" s="21"/>
      <c r="M2271" s="21"/>
      <c r="N2271" s="21"/>
      <c r="O2271" s="21"/>
      <c r="P2271" s="21"/>
      <c r="Q2271" s="21"/>
      <c r="R2271" s="21">
        <v>6</v>
      </c>
      <c r="S2271" s="21"/>
      <c r="T2271" s="21"/>
      <c r="U2271" s="21"/>
      <c r="V2271" s="21">
        <v>4</v>
      </c>
      <c r="W2271" s="21"/>
      <c r="X2271" s="21"/>
      <c r="Y2271" s="21"/>
      <c r="Z2271" s="21"/>
      <c r="AA2271" s="21"/>
      <c r="AB2271" s="21"/>
      <c r="AC2271" s="21">
        <v>2</v>
      </c>
      <c r="AD2271" s="21"/>
      <c r="AE2271" s="21"/>
      <c r="AF2271" s="21"/>
      <c r="AG2271" s="21"/>
      <c r="AH2271" s="21">
        <v>8</v>
      </c>
      <c r="AI2271" s="21"/>
      <c r="AJ2271" s="21"/>
      <c r="AK2271" s="21"/>
      <c r="AL2271" s="21"/>
      <c r="AM2271" s="21">
        <v>3</v>
      </c>
      <c r="AN2271" s="21">
        <v>7</v>
      </c>
      <c r="AO2271" s="21"/>
      <c r="AP2271" s="21"/>
      <c r="AQ2271" s="21"/>
      <c r="AR2271" s="21"/>
      <c r="AS2271" s="21"/>
      <c r="AT2271" s="12" t="str">
        <f>HYPERLINK("http://www.openstreetmap.org/?mlat=31.9804&amp;mlon=45.4093&amp;zoom=12#map=12/31.9804/45.4093","Maplink1")</f>
        <v>Maplink1</v>
      </c>
      <c r="AU2271" s="12" t="str">
        <f>HYPERLINK("https://www.google.iq/maps/search/+31.9804,45.4093/@31.9804,45.4093,14z?hl=en","Maplink2")</f>
        <v>Maplink2</v>
      </c>
      <c r="AV2271" s="12" t="str">
        <f>HYPERLINK("http://www.bing.com/maps/?lvl=14&amp;sty=h&amp;cp=31.9804~45.4093&amp;sp=point.31.9804_45.4093","Maplink3")</f>
        <v>Maplink3</v>
      </c>
    </row>
    <row r="2272" spans="1:48" ht="15" customHeight="1" x14ac:dyDescent="0.25">
      <c r="A2272" s="19">
        <v>3368</v>
      </c>
      <c r="B2272" s="20" t="s">
        <v>22</v>
      </c>
      <c r="C2272" s="20" t="s">
        <v>4025</v>
      </c>
      <c r="D2272" s="20" t="s">
        <v>4046</v>
      </c>
      <c r="E2272" s="20" t="s">
        <v>4047</v>
      </c>
      <c r="F2272" s="20">
        <v>32.054240450000002</v>
      </c>
      <c r="G2272" s="20">
        <v>45.236602019999999</v>
      </c>
      <c r="H2272" s="22">
        <v>8</v>
      </c>
      <c r="I2272" s="22">
        <v>48</v>
      </c>
      <c r="J2272" s="21"/>
      <c r="K2272" s="21"/>
      <c r="L2272" s="21"/>
      <c r="M2272" s="21"/>
      <c r="N2272" s="21"/>
      <c r="O2272" s="21"/>
      <c r="P2272" s="21"/>
      <c r="Q2272" s="21"/>
      <c r="R2272" s="21">
        <v>2</v>
      </c>
      <c r="S2272" s="21"/>
      <c r="T2272" s="21"/>
      <c r="U2272" s="21"/>
      <c r="V2272" s="21">
        <v>6</v>
      </c>
      <c r="W2272" s="21"/>
      <c r="X2272" s="21"/>
      <c r="Y2272" s="21"/>
      <c r="Z2272" s="21"/>
      <c r="AA2272" s="21"/>
      <c r="AB2272" s="21"/>
      <c r="AC2272" s="21"/>
      <c r="AD2272" s="21">
        <v>1</v>
      </c>
      <c r="AE2272" s="21"/>
      <c r="AF2272" s="21"/>
      <c r="AG2272" s="21"/>
      <c r="AH2272" s="21">
        <v>7</v>
      </c>
      <c r="AI2272" s="21"/>
      <c r="AJ2272" s="21"/>
      <c r="AK2272" s="21"/>
      <c r="AL2272" s="21"/>
      <c r="AM2272" s="21">
        <v>3</v>
      </c>
      <c r="AN2272" s="21">
        <v>5</v>
      </c>
      <c r="AO2272" s="21"/>
      <c r="AP2272" s="21"/>
      <c r="AQ2272" s="21"/>
      <c r="AR2272" s="21"/>
      <c r="AS2272" s="21"/>
      <c r="AT2272" s="12" t="str">
        <f>HYPERLINK("http://www.openstreetmap.org/?mlat=32.0542&amp;mlon=45.2366&amp;zoom=12#map=12/32.0542/45.2366","Maplink1")</f>
        <v>Maplink1</v>
      </c>
      <c r="AU2272" s="12" t="str">
        <f>HYPERLINK("https://www.google.iq/maps/search/+32.0542,45.2366/@32.0542,45.2366,14z?hl=en","Maplink2")</f>
        <v>Maplink2</v>
      </c>
      <c r="AV2272" s="12" t="str">
        <f>HYPERLINK("http://www.bing.com/maps/?lvl=14&amp;sty=h&amp;cp=32.0542~45.2366&amp;sp=point.32.0542_45.2366","Maplink3")</f>
        <v>Maplink3</v>
      </c>
    </row>
    <row r="2273" spans="1:48" ht="15" customHeight="1" x14ac:dyDescent="0.25">
      <c r="A2273" s="19">
        <v>25377</v>
      </c>
      <c r="B2273" s="20" t="s">
        <v>22</v>
      </c>
      <c r="C2273" s="20" t="s">
        <v>4025</v>
      </c>
      <c r="D2273" s="20" t="s">
        <v>4048</v>
      </c>
      <c r="E2273" s="20" t="s">
        <v>4049</v>
      </c>
      <c r="F2273" s="20">
        <v>31.973458010000002</v>
      </c>
      <c r="G2273" s="20">
        <v>45.407941950000001</v>
      </c>
      <c r="H2273" s="22">
        <v>10</v>
      </c>
      <c r="I2273" s="22">
        <v>60</v>
      </c>
      <c r="J2273" s="21"/>
      <c r="K2273" s="21"/>
      <c r="L2273" s="21"/>
      <c r="M2273" s="21"/>
      <c r="N2273" s="21"/>
      <c r="O2273" s="21"/>
      <c r="P2273" s="21"/>
      <c r="Q2273" s="21"/>
      <c r="R2273" s="21">
        <v>8</v>
      </c>
      <c r="S2273" s="21"/>
      <c r="T2273" s="21"/>
      <c r="U2273" s="21"/>
      <c r="V2273" s="21">
        <v>2</v>
      </c>
      <c r="W2273" s="21"/>
      <c r="X2273" s="21"/>
      <c r="Y2273" s="21"/>
      <c r="Z2273" s="21"/>
      <c r="AA2273" s="21"/>
      <c r="AB2273" s="21"/>
      <c r="AC2273" s="21">
        <v>4</v>
      </c>
      <c r="AD2273" s="21">
        <v>1</v>
      </c>
      <c r="AE2273" s="21"/>
      <c r="AF2273" s="21"/>
      <c r="AG2273" s="21">
        <v>2</v>
      </c>
      <c r="AH2273" s="21">
        <v>3</v>
      </c>
      <c r="AI2273" s="21"/>
      <c r="AJ2273" s="21"/>
      <c r="AK2273" s="21"/>
      <c r="AL2273" s="21"/>
      <c r="AM2273" s="21"/>
      <c r="AN2273" s="21">
        <v>10</v>
      </c>
      <c r="AO2273" s="21"/>
      <c r="AP2273" s="21"/>
      <c r="AQ2273" s="21"/>
      <c r="AR2273" s="21"/>
      <c r="AS2273" s="21"/>
      <c r="AT2273" s="12" t="str">
        <f>HYPERLINK("http://www.openstreetmap.org/?mlat=31.9735&amp;mlon=45.4079&amp;zoom=12#map=12/31.9735/45.4079","Maplink1")</f>
        <v>Maplink1</v>
      </c>
      <c r="AU2273" s="12" t="str">
        <f>HYPERLINK("https://www.google.iq/maps/search/+31.9735,45.4079/@31.9735,45.4079,14z?hl=en","Maplink2")</f>
        <v>Maplink2</v>
      </c>
      <c r="AV2273" s="12" t="str">
        <f>HYPERLINK("http://www.bing.com/maps/?lvl=14&amp;sty=h&amp;cp=31.9735~45.4079&amp;sp=point.31.9735_45.4079","Maplink3")</f>
        <v>Maplink3</v>
      </c>
    </row>
    <row r="2274" spans="1:48" ht="15" customHeight="1" x14ac:dyDescent="0.25">
      <c r="A2274" s="19">
        <v>25374</v>
      </c>
      <c r="B2274" s="20" t="s">
        <v>22</v>
      </c>
      <c r="C2274" s="20" t="s">
        <v>4025</v>
      </c>
      <c r="D2274" s="20" t="s">
        <v>4050</v>
      </c>
      <c r="E2274" s="20" t="s">
        <v>4051</v>
      </c>
      <c r="F2274" s="20">
        <v>31.97025219</v>
      </c>
      <c r="G2274" s="20">
        <v>45.419359190000002</v>
      </c>
      <c r="H2274" s="22">
        <v>10</v>
      </c>
      <c r="I2274" s="22">
        <v>60</v>
      </c>
      <c r="J2274" s="21"/>
      <c r="K2274" s="21"/>
      <c r="L2274" s="21"/>
      <c r="M2274" s="21"/>
      <c r="N2274" s="21"/>
      <c r="O2274" s="21"/>
      <c r="P2274" s="21"/>
      <c r="Q2274" s="21"/>
      <c r="R2274" s="21">
        <v>10</v>
      </c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>
        <v>4</v>
      </c>
      <c r="AD2274" s="21"/>
      <c r="AE2274" s="21"/>
      <c r="AF2274" s="21"/>
      <c r="AG2274" s="21"/>
      <c r="AH2274" s="21">
        <v>6</v>
      </c>
      <c r="AI2274" s="21"/>
      <c r="AJ2274" s="21"/>
      <c r="AK2274" s="21"/>
      <c r="AL2274" s="21"/>
      <c r="AM2274" s="21">
        <v>4</v>
      </c>
      <c r="AN2274" s="21">
        <v>6</v>
      </c>
      <c r="AO2274" s="21"/>
      <c r="AP2274" s="21"/>
      <c r="AQ2274" s="21"/>
      <c r="AR2274" s="21"/>
      <c r="AS2274" s="21"/>
      <c r="AT2274" s="12" t="str">
        <f>HYPERLINK("http://www.openstreetmap.org/?mlat=31.9703&amp;mlon=45.4194&amp;zoom=12#map=12/31.9703/45.4194","Maplink1")</f>
        <v>Maplink1</v>
      </c>
      <c r="AU2274" s="12" t="str">
        <f>HYPERLINK("https://www.google.iq/maps/search/+31.9703,45.4194/@31.9703,45.4194,14z?hl=en","Maplink2")</f>
        <v>Maplink2</v>
      </c>
      <c r="AV2274" s="12" t="str">
        <f>HYPERLINK("http://www.bing.com/maps/?lvl=14&amp;sty=h&amp;cp=31.9703~45.4194&amp;sp=point.31.9703_45.4194","Maplink3")</f>
        <v>Maplink3</v>
      </c>
    </row>
    <row r="2275" spans="1:48" ht="15" customHeight="1" x14ac:dyDescent="0.25">
      <c r="A2275" s="19">
        <v>25373</v>
      </c>
      <c r="B2275" s="20" t="s">
        <v>22</v>
      </c>
      <c r="C2275" s="20" t="s">
        <v>4025</v>
      </c>
      <c r="D2275" s="20" t="s">
        <v>4052</v>
      </c>
      <c r="E2275" s="20" t="s">
        <v>4053</v>
      </c>
      <c r="F2275" s="20">
        <v>31.975309238800001</v>
      </c>
      <c r="G2275" s="20">
        <v>45.397328529500001</v>
      </c>
      <c r="H2275" s="22">
        <v>9</v>
      </c>
      <c r="I2275" s="22">
        <v>54</v>
      </c>
      <c r="J2275" s="21"/>
      <c r="K2275" s="21"/>
      <c r="L2275" s="21"/>
      <c r="M2275" s="21"/>
      <c r="N2275" s="21"/>
      <c r="O2275" s="21"/>
      <c r="P2275" s="21"/>
      <c r="Q2275" s="21"/>
      <c r="R2275" s="21">
        <v>8</v>
      </c>
      <c r="S2275" s="21"/>
      <c r="T2275" s="21"/>
      <c r="U2275" s="21"/>
      <c r="V2275" s="21">
        <v>1</v>
      </c>
      <c r="W2275" s="21"/>
      <c r="X2275" s="21"/>
      <c r="Y2275" s="21"/>
      <c r="Z2275" s="21"/>
      <c r="AA2275" s="21"/>
      <c r="AB2275" s="21"/>
      <c r="AC2275" s="21">
        <v>4</v>
      </c>
      <c r="AD2275" s="21"/>
      <c r="AE2275" s="21">
        <v>2</v>
      </c>
      <c r="AF2275" s="21"/>
      <c r="AG2275" s="21"/>
      <c r="AH2275" s="21">
        <v>3</v>
      </c>
      <c r="AI2275" s="21"/>
      <c r="AJ2275" s="21"/>
      <c r="AK2275" s="21"/>
      <c r="AL2275" s="21"/>
      <c r="AM2275" s="21">
        <v>3</v>
      </c>
      <c r="AN2275" s="21">
        <v>6</v>
      </c>
      <c r="AO2275" s="21"/>
      <c r="AP2275" s="21"/>
      <c r="AQ2275" s="21"/>
      <c r="AR2275" s="21"/>
      <c r="AS2275" s="21"/>
      <c r="AT2275" s="12" t="str">
        <f>HYPERLINK("http://www.openstreetmap.org/?mlat=31.9753&amp;mlon=45.3973&amp;zoom=12#map=12/31.9753/45.3973","Maplink1")</f>
        <v>Maplink1</v>
      </c>
      <c r="AU2275" s="12" t="str">
        <f>HYPERLINK("https://www.google.iq/maps/search/+31.9753,45.3973/@31.9753,45.3973,14z?hl=en","Maplink2")</f>
        <v>Maplink2</v>
      </c>
      <c r="AV2275" s="12" t="str">
        <f>HYPERLINK("http://www.bing.com/maps/?lvl=14&amp;sty=h&amp;cp=31.9753~45.3973&amp;sp=point.31.9753_45.3973","Maplink3")</f>
        <v>Maplink3</v>
      </c>
    </row>
    <row r="2276" spans="1:48" ht="15" customHeight="1" x14ac:dyDescent="0.25">
      <c r="A2276" s="19">
        <v>25375</v>
      </c>
      <c r="B2276" s="20" t="s">
        <v>22</v>
      </c>
      <c r="C2276" s="20" t="s">
        <v>4025</v>
      </c>
      <c r="D2276" s="20" t="s">
        <v>4054</v>
      </c>
      <c r="E2276" s="20" t="s">
        <v>4055</v>
      </c>
      <c r="F2276" s="20">
        <v>31.976530400000001</v>
      </c>
      <c r="G2276" s="20">
        <v>45.415603339999997</v>
      </c>
      <c r="H2276" s="22">
        <v>11</v>
      </c>
      <c r="I2276" s="22">
        <v>66</v>
      </c>
      <c r="J2276" s="21"/>
      <c r="K2276" s="21"/>
      <c r="L2276" s="21"/>
      <c r="M2276" s="21"/>
      <c r="N2276" s="21"/>
      <c r="O2276" s="21"/>
      <c r="P2276" s="21"/>
      <c r="Q2276" s="21"/>
      <c r="R2276" s="21">
        <v>8</v>
      </c>
      <c r="S2276" s="21"/>
      <c r="T2276" s="21"/>
      <c r="U2276" s="21"/>
      <c r="V2276" s="21">
        <v>3</v>
      </c>
      <c r="W2276" s="21"/>
      <c r="X2276" s="21"/>
      <c r="Y2276" s="21"/>
      <c r="Z2276" s="21"/>
      <c r="AA2276" s="21"/>
      <c r="AB2276" s="21"/>
      <c r="AC2276" s="21">
        <v>3</v>
      </c>
      <c r="AD2276" s="21"/>
      <c r="AE2276" s="21"/>
      <c r="AF2276" s="21"/>
      <c r="AG2276" s="21">
        <v>4</v>
      </c>
      <c r="AH2276" s="21">
        <v>4</v>
      </c>
      <c r="AI2276" s="21"/>
      <c r="AJ2276" s="21"/>
      <c r="AK2276" s="21"/>
      <c r="AL2276" s="21"/>
      <c r="AM2276" s="21"/>
      <c r="AN2276" s="21">
        <v>8</v>
      </c>
      <c r="AO2276" s="21">
        <v>3</v>
      </c>
      <c r="AP2276" s="21"/>
      <c r="AQ2276" s="21"/>
      <c r="AR2276" s="21"/>
      <c r="AS2276" s="21"/>
      <c r="AT2276" s="12" t="str">
        <f>HYPERLINK("http://www.openstreetmap.org/?mlat=31.9765&amp;mlon=45.4156&amp;zoom=12#map=12/31.9765/45.4156","Maplink1")</f>
        <v>Maplink1</v>
      </c>
      <c r="AU2276" s="12" t="str">
        <f>HYPERLINK("https://www.google.iq/maps/search/+31.9765,45.4156/@31.9765,45.4156,14z?hl=en","Maplink2")</f>
        <v>Maplink2</v>
      </c>
      <c r="AV2276" s="12" t="str">
        <f>HYPERLINK("http://www.bing.com/maps/?lvl=14&amp;sty=h&amp;cp=31.9765~45.4156&amp;sp=point.31.9765_45.4156","Maplink3")</f>
        <v>Maplink3</v>
      </c>
    </row>
    <row r="2277" spans="1:48" ht="15" customHeight="1" x14ac:dyDescent="0.25">
      <c r="A2277" s="19">
        <v>25505</v>
      </c>
      <c r="B2277" s="20" t="s">
        <v>22</v>
      </c>
      <c r="C2277" s="20" t="s">
        <v>4056</v>
      </c>
      <c r="D2277" s="20" t="s">
        <v>4057</v>
      </c>
      <c r="E2277" s="20" t="s">
        <v>4058</v>
      </c>
      <c r="F2277" s="20">
        <v>32.04074885</v>
      </c>
      <c r="G2277" s="20">
        <v>44.560459119999997</v>
      </c>
      <c r="H2277" s="22">
        <v>4</v>
      </c>
      <c r="I2277" s="22">
        <v>24</v>
      </c>
      <c r="J2277" s="21"/>
      <c r="K2277" s="21"/>
      <c r="L2277" s="21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>
        <v>4</v>
      </c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21"/>
      <c r="AH2277" s="21">
        <v>4</v>
      </c>
      <c r="AI2277" s="21"/>
      <c r="AJ2277" s="21"/>
      <c r="AK2277" s="21"/>
      <c r="AL2277" s="21"/>
      <c r="AM2277" s="21">
        <v>4</v>
      </c>
      <c r="AN2277" s="21"/>
      <c r="AO2277" s="21"/>
      <c r="AP2277" s="21"/>
      <c r="AQ2277" s="21"/>
      <c r="AR2277" s="21"/>
      <c r="AS2277" s="21"/>
      <c r="AT2277" s="12" t="str">
        <f>HYPERLINK("http://www.openstreetmap.org/?mlat=32.0407&amp;mlon=44.5605&amp;zoom=12#map=12/32.0407/44.5605","Maplink1")</f>
        <v>Maplink1</v>
      </c>
      <c r="AU2277" s="12" t="str">
        <f>HYPERLINK("https://www.google.iq/maps/search/+32.0407,44.5605/@32.0407,44.5605,14z?hl=en","Maplink2")</f>
        <v>Maplink2</v>
      </c>
      <c r="AV2277" s="12" t="str">
        <f>HYPERLINK("http://www.bing.com/maps/?lvl=14&amp;sty=h&amp;cp=32.0407~44.5605&amp;sp=point.32.0407_44.5605","Maplink3")</f>
        <v>Maplink3</v>
      </c>
    </row>
    <row r="2278" spans="1:48" ht="15" customHeight="1" x14ac:dyDescent="0.25">
      <c r="A2278" s="19">
        <v>25279</v>
      </c>
      <c r="B2278" s="20" t="s">
        <v>22</v>
      </c>
      <c r="C2278" s="20" t="s">
        <v>4056</v>
      </c>
      <c r="D2278" s="20" t="s">
        <v>4059</v>
      </c>
      <c r="E2278" s="20" t="s">
        <v>4060</v>
      </c>
      <c r="F2278" s="20">
        <v>31.78272475</v>
      </c>
      <c r="G2278" s="20">
        <v>44.583745720000003</v>
      </c>
      <c r="H2278" s="22">
        <v>10</v>
      </c>
      <c r="I2278" s="22">
        <v>60</v>
      </c>
      <c r="J2278" s="21"/>
      <c r="K2278" s="21"/>
      <c r="L2278" s="21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>
        <v>10</v>
      </c>
      <c r="W2278" s="21"/>
      <c r="X2278" s="21"/>
      <c r="Y2278" s="21"/>
      <c r="Z2278" s="21"/>
      <c r="AA2278" s="21"/>
      <c r="AB2278" s="21"/>
      <c r="AC2278" s="21"/>
      <c r="AD2278" s="21">
        <v>3</v>
      </c>
      <c r="AE2278" s="21"/>
      <c r="AF2278" s="21"/>
      <c r="AG2278" s="21"/>
      <c r="AH2278" s="21">
        <v>4</v>
      </c>
      <c r="AI2278" s="21"/>
      <c r="AJ2278" s="21">
        <v>3</v>
      </c>
      <c r="AK2278" s="21"/>
      <c r="AL2278" s="21"/>
      <c r="AM2278" s="21">
        <v>8</v>
      </c>
      <c r="AN2278" s="21">
        <v>2</v>
      </c>
      <c r="AO2278" s="21"/>
      <c r="AP2278" s="21"/>
      <c r="AQ2278" s="21"/>
      <c r="AR2278" s="21"/>
      <c r="AS2278" s="21"/>
      <c r="AT2278" s="12" t="str">
        <f>HYPERLINK("http://www.openstreetmap.org/?mlat=31.7827&amp;mlon=44.5837&amp;zoom=12#map=12/31.7827/44.5837","Maplink1")</f>
        <v>Maplink1</v>
      </c>
      <c r="AU2278" s="12" t="str">
        <f>HYPERLINK("https://www.google.iq/maps/search/+31.7827,44.5837/@31.7827,44.5837,14z?hl=en","Maplink2")</f>
        <v>Maplink2</v>
      </c>
      <c r="AV2278" s="12" t="str">
        <f>HYPERLINK("http://www.bing.com/maps/?lvl=14&amp;sty=h&amp;cp=31.7827~44.5837&amp;sp=point.31.7827_44.5837","Maplink3")</f>
        <v>Maplink3</v>
      </c>
    </row>
    <row r="2279" spans="1:48" ht="15" customHeight="1" x14ac:dyDescent="0.25">
      <c r="A2279" s="19">
        <v>2998</v>
      </c>
      <c r="B2279" s="20" t="s">
        <v>22</v>
      </c>
      <c r="C2279" s="20" t="s">
        <v>4056</v>
      </c>
      <c r="D2279" s="20" t="s">
        <v>4061</v>
      </c>
      <c r="E2279" s="20" t="s">
        <v>4062</v>
      </c>
      <c r="F2279" s="20">
        <v>32.0223561488</v>
      </c>
      <c r="G2279" s="20">
        <v>44.542745724299998</v>
      </c>
      <c r="H2279" s="22">
        <v>6</v>
      </c>
      <c r="I2279" s="22">
        <v>36</v>
      </c>
      <c r="J2279" s="21"/>
      <c r="K2279" s="21"/>
      <c r="L2279" s="21"/>
      <c r="M2279" s="21"/>
      <c r="N2279" s="21"/>
      <c r="O2279" s="21"/>
      <c r="P2279" s="21"/>
      <c r="Q2279" s="21"/>
      <c r="R2279" s="21">
        <v>2</v>
      </c>
      <c r="S2279" s="21"/>
      <c r="T2279" s="21"/>
      <c r="U2279" s="21"/>
      <c r="V2279" s="21">
        <v>4</v>
      </c>
      <c r="W2279" s="21"/>
      <c r="X2279" s="21"/>
      <c r="Y2279" s="21"/>
      <c r="Z2279" s="21"/>
      <c r="AA2279" s="21"/>
      <c r="AB2279" s="21"/>
      <c r="AC2279" s="21">
        <v>1</v>
      </c>
      <c r="AD2279" s="21"/>
      <c r="AE2279" s="21"/>
      <c r="AF2279" s="21"/>
      <c r="AG2279" s="21">
        <v>2</v>
      </c>
      <c r="AH2279" s="21">
        <v>3</v>
      </c>
      <c r="AI2279" s="21"/>
      <c r="AJ2279" s="21"/>
      <c r="AK2279" s="21"/>
      <c r="AL2279" s="21"/>
      <c r="AM2279" s="21">
        <v>6</v>
      </c>
      <c r="AN2279" s="21"/>
      <c r="AO2279" s="21"/>
      <c r="AP2279" s="21"/>
      <c r="AQ2279" s="21"/>
      <c r="AR2279" s="21"/>
      <c r="AS2279" s="21"/>
      <c r="AT2279" s="12" t="str">
        <f>HYPERLINK("http://www.openstreetmap.org/?mlat=32.0224&amp;mlon=44.5427&amp;zoom=12#map=12/32.0224/44.5427","Maplink1")</f>
        <v>Maplink1</v>
      </c>
      <c r="AU2279" s="12" t="str">
        <f>HYPERLINK("https://www.google.iq/maps/search/+32.0224,44.5427/@32.0224,44.5427,14z?hl=en","Maplink2")</f>
        <v>Maplink2</v>
      </c>
      <c r="AV2279" s="12" t="str">
        <f>HYPERLINK("http://www.bing.com/maps/?lvl=14&amp;sty=h&amp;cp=32.0224~44.5427&amp;sp=point.32.0224_44.5427","Maplink3")</f>
        <v>Maplink3</v>
      </c>
    </row>
    <row r="2280" spans="1:48" ht="15" customHeight="1" x14ac:dyDescent="0.25">
      <c r="A2280" s="19">
        <v>25858</v>
      </c>
      <c r="B2280" s="20" t="s">
        <v>22</v>
      </c>
      <c r="C2280" s="20" t="s">
        <v>4056</v>
      </c>
      <c r="D2280" s="20" t="s">
        <v>4063</v>
      </c>
      <c r="E2280" s="20" t="s">
        <v>4064</v>
      </c>
      <c r="F2280" s="20">
        <v>31.738932819999999</v>
      </c>
      <c r="G2280" s="20">
        <v>44.604858309999997</v>
      </c>
      <c r="H2280" s="22">
        <v>12</v>
      </c>
      <c r="I2280" s="22">
        <v>72</v>
      </c>
      <c r="J2280" s="21"/>
      <c r="K2280" s="21"/>
      <c r="L2280" s="21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>
        <v>12</v>
      </c>
      <c r="W2280" s="21"/>
      <c r="X2280" s="21"/>
      <c r="Y2280" s="21"/>
      <c r="Z2280" s="21"/>
      <c r="AA2280" s="21"/>
      <c r="AB2280" s="21"/>
      <c r="AC2280" s="21">
        <v>3</v>
      </c>
      <c r="AD2280" s="21">
        <v>2</v>
      </c>
      <c r="AE2280" s="21"/>
      <c r="AF2280" s="21"/>
      <c r="AG2280" s="21"/>
      <c r="AH2280" s="21">
        <v>7</v>
      </c>
      <c r="AI2280" s="21"/>
      <c r="AJ2280" s="21"/>
      <c r="AK2280" s="21"/>
      <c r="AL2280" s="21"/>
      <c r="AM2280" s="21">
        <v>3</v>
      </c>
      <c r="AN2280" s="21">
        <v>9</v>
      </c>
      <c r="AO2280" s="21"/>
      <c r="AP2280" s="21"/>
      <c r="AQ2280" s="21"/>
      <c r="AR2280" s="21"/>
      <c r="AS2280" s="21"/>
      <c r="AT2280" s="12" t="str">
        <f>HYPERLINK("http://www.openstreetmap.org/?mlat=31.7389&amp;mlon=44.6049&amp;zoom=12#map=12/31.7389/44.6049","Maplink1")</f>
        <v>Maplink1</v>
      </c>
      <c r="AU2280" s="12" t="str">
        <f>HYPERLINK("https://www.google.iq/maps/search/+31.7389,44.6049/@31.7389,44.6049,14z?hl=en","Maplink2")</f>
        <v>Maplink2</v>
      </c>
      <c r="AV2280" s="12" t="str">
        <f>HYPERLINK("http://www.bing.com/maps/?lvl=14&amp;sty=h&amp;cp=31.7389~44.6049&amp;sp=point.31.7389_44.6049","Maplink3")</f>
        <v>Maplink3</v>
      </c>
    </row>
    <row r="2281" spans="1:48" ht="15" customHeight="1" x14ac:dyDescent="0.25">
      <c r="A2281" s="19">
        <v>25857</v>
      </c>
      <c r="B2281" s="20" t="s">
        <v>22</v>
      </c>
      <c r="C2281" s="20" t="s">
        <v>4056</v>
      </c>
      <c r="D2281" s="20" t="s">
        <v>4065</v>
      </c>
      <c r="E2281" s="20" t="s">
        <v>4066</v>
      </c>
      <c r="F2281" s="20">
        <v>31.750126219999999</v>
      </c>
      <c r="G2281" s="20">
        <v>44.613818729999998</v>
      </c>
      <c r="H2281" s="22">
        <v>8</v>
      </c>
      <c r="I2281" s="22">
        <v>48</v>
      </c>
      <c r="J2281" s="21"/>
      <c r="K2281" s="21"/>
      <c r="L2281" s="21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>
        <v>8</v>
      </c>
      <c r="W2281" s="21"/>
      <c r="X2281" s="21"/>
      <c r="Y2281" s="21"/>
      <c r="Z2281" s="21"/>
      <c r="AA2281" s="21"/>
      <c r="AB2281" s="21"/>
      <c r="AC2281" s="21">
        <v>2</v>
      </c>
      <c r="AD2281" s="21"/>
      <c r="AE2281" s="21"/>
      <c r="AF2281" s="21"/>
      <c r="AG2281" s="21"/>
      <c r="AH2281" s="21">
        <v>6</v>
      </c>
      <c r="AI2281" s="21"/>
      <c r="AJ2281" s="21"/>
      <c r="AK2281" s="21"/>
      <c r="AL2281" s="21"/>
      <c r="AM2281" s="21"/>
      <c r="AN2281" s="21">
        <v>8</v>
      </c>
      <c r="AO2281" s="21"/>
      <c r="AP2281" s="21"/>
      <c r="AQ2281" s="21"/>
      <c r="AR2281" s="21"/>
      <c r="AS2281" s="21"/>
      <c r="AT2281" s="12" t="str">
        <f>HYPERLINK("http://www.openstreetmap.org/?mlat=31.7501&amp;mlon=44.6138&amp;zoom=12#map=12/31.7501/44.6138","Maplink1")</f>
        <v>Maplink1</v>
      </c>
      <c r="AU2281" s="12" t="str">
        <f>HYPERLINK("https://www.google.iq/maps/search/+31.7501,44.6138/@31.7501,44.6138,14z?hl=en","Maplink2")</f>
        <v>Maplink2</v>
      </c>
      <c r="AV2281" s="12" t="str">
        <f>HYPERLINK("http://www.bing.com/maps/?lvl=14&amp;sty=h&amp;cp=31.7501~44.6138&amp;sp=point.31.7501_44.6138","Maplink3")</f>
        <v>Maplink3</v>
      </c>
    </row>
    <row r="2282" spans="1:48" ht="15" customHeight="1" x14ac:dyDescent="0.25">
      <c r="A2282" s="19">
        <v>2459</v>
      </c>
      <c r="B2282" s="20" t="s">
        <v>22</v>
      </c>
      <c r="C2282" s="20" t="s">
        <v>4056</v>
      </c>
      <c r="D2282" s="20" t="s">
        <v>4067</v>
      </c>
      <c r="E2282" s="20" t="s">
        <v>4068</v>
      </c>
      <c r="F2282" s="20">
        <v>31.76398382</v>
      </c>
      <c r="G2282" s="20">
        <v>44.608389690000003</v>
      </c>
      <c r="H2282" s="22">
        <v>16</v>
      </c>
      <c r="I2282" s="22">
        <v>96</v>
      </c>
      <c r="J2282" s="21"/>
      <c r="K2282" s="21"/>
      <c r="L2282" s="21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>
        <v>16</v>
      </c>
      <c r="W2282" s="21"/>
      <c r="X2282" s="21"/>
      <c r="Y2282" s="21"/>
      <c r="Z2282" s="21"/>
      <c r="AA2282" s="21"/>
      <c r="AB2282" s="21"/>
      <c r="AC2282" s="21">
        <v>2</v>
      </c>
      <c r="AD2282" s="21">
        <v>3</v>
      </c>
      <c r="AE2282" s="21"/>
      <c r="AF2282" s="21"/>
      <c r="AG2282" s="21">
        <v>4</v>
      </c>
      <c r="AH2282" s="21">
        <v>7</v>
      </c>
      <c r="AI2282" s="21"/>
      <c r="AJ2282" s="21"/>
      <c r="AK2282" s="21"/>
      <c r="AL2282" s="21"/>
      <c r="AM2282" s="21">
        <v>8</v>
      </c>
      <c r="AN2282" s="21">
        <v>8</v>
      </c>
      <c r="AO2282" s="21"/>
      <c r="AP2282" s="21"/>
      <c r="AQ2282" s="21"/>
      <c r="AR2282" s="21"/>
      <c r="AS2282" s="21"/>
      <c r="AT2282" s="12" t="str">
        <f>HYPERLINK("http://www.openstreetmap.org/?mlat=31.764&amp;mlon=44.6084&amp;zoom=12#map=12/31.764/44.6084","Maplink1")</f>
        <v>Maplink1</v>
      </c>
      <c r="AU2282" s="12" t="str">
        <f>HYPERLINK("https://www.google.iq/maps/search/+31.764,44.6084/@31.764,44.6084,14z?hl=en","Maplink2")</f>
        <v>Maplink2</v>
      </c>
      <c r="AV2282" s="12" t="str">
        <f>HYPERLINK("http://www.bing.com/maps/?lvl=14&amp;sty=h&amp;cp=31.764~44.6084&amp;sp=point.31.764_44.6084","Maplink3")</f>
        <v>Maplink3</v>
      </c>
    </row>
    <row r="2283" spans="1:48" ht="15" customHeight="1" x14ac:dyDescent="0.25">
      <c r="A2283" s="19">
        <v>22593</v>
      </c>
      <c r="B2283" s="20" t="s">
        <v>22</v>
      </c>
      <c r="C2283" s="20" t="s">
        <v>4056</v>
      </c>
      <c r="D2283" s="20" t="s">
        <v>4069</v>
      </c>
      <c r="E2283" s="20" t="s">
        <v>4070</v>
      </c>
      <c r="F2283" s="20">
        <v>31.748961000000001</v>
      </c>
      <c r="G2283" s="20">
        <v>44.614896999999999</v>
      </c>
      <c r="H2283" s="22">
        <v>21</v>
      </c>
      <c r="I2283" s="22">
        <v>126</v>
      </c>
      <c r="J2283" s="21"/>
      <c r="K2283" s="21"/>
      <c r="L2283" s="21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>
        <v>21</v>
      </c>
      <c r="W2283" s="21"/>
      <c r="X2283" s="21"/>
      <c r="Y2283" s="21"/>
      <c r="Z2283" s="21"/>
      <c r="AA2283" s="21"/>
      <c r="AB2283" s="21"/>
      <c r="AC2283" s="21">
        <v>4</v>
      </c>
      <c r="AD2283" s="21">
        <v>4</v>
      </c>
      <c r="AE2283" s="21"/>
      <c r="AF2283" s="21"/>
      <c r="AG2283" s="21">
        <v>4</v>
      </c>
      <c r="AH2283" s="21">
        <v>9</v>
      </c>
      <c r="AI2283" s="21"/>
      <c r="AJ2283" s="21"/>
      <c r="AK2283" s="21"/>
      <c r="AL2283" s="21"/>
      <c r="AM2283" s="21"/>
      <c r="AN2283" s="21">
        <v>21</v>
      </c>
      <c r="AO2283" s="21"/>
      <c r="AP2283" s="21"/>
      <c r="AQ2283" s="21"/>
      <c r="AR2283" s="21"/>
      <c r="AS2283" s="21"/>
      <c r="AT2283" s="12" t="str">
        <f>HYPERLINK("http://www.openstreetmap.org/?mlat=31.749&amp;mlon=44.6149&amp;zoom=12#map=12/31.749/44.6149","Maplink1")</f>
        <v>Maplink1</v>
      </c>
      <c r="AU2283" s="12" t="str">
        <f>HYPERLINK("https://www.google.iq/maps/search/+31.749,44.6149/@31.749,44.6149,14z?hl=en","Maplink2")</f>
        <v>Maplink2</v>
      </c>
      <c r="AV2283" s="12" t="str">
        <f>HYPERLINK("http://www.bing.com/maps/?lvl=14&amp;sty=h&amp;cp=31.749~44.6149&amp;sp=point.31.749_44.6149","Maplink3")</f>
        <v>Maplink3</v>
      </c>
    </row>
    <row r="2284" spans="1:48" ht="15" customHeight="1" x14ac:dyDescent="0.25">
      <c r="A2284" s="19">
        <v>2749</v>
      </c>
      <c r="B2284" s="20" t="s">
        <v>22</v>
      </c>
      <c r="C2284" s="20" t="s">
        <v>4056</v>
      </c>
      <c r="D2284" s="20" t="s">
        <v>4071</v>
      </c>
      <c r="E2284" s="20" t="s">
        <v>4072</v>
      </c>
      <c r="F2284" s="20">
        <v>31.95826422</v>
      </c>
      <c r="G2284" s="20">
        <v>44.572774979999998</v>
      </c>
      <c r="H2284" s="22">
        <v>18</v>
      </c>
      <c r="I2284" s="22">
        <v>108</v>
      </c>
      <c r="J2284" s="21"/>
      <c r="K2284" s="21"/>
      <c r="L2284" s="21"/>
      <c r="M2284" s="21"/>
      <c r="N2284" s="21"/>
      <c r="O2284" s="21"/>
      <c r="P2284" s="21"/>
      <c r="Q2284" s="21"/>
      <c r="R2284" s="21">
        <v>2</v>
      </c>
      <c r="S2284" s="21"/>
      <c r="T2284" s="21"/>
      <c r="U2284" s="21"/>
      <c r="V2284" s="21">
        <v>16</v>
      </c>
      <c r="W2284" s="21"/>
      <c r="X2284" s="21"/>
      <c r="Y2284" s="21"/>
      <c r="Z2284" s="21"/>
      <c r="AA2284" s="21"/>
      <c r="AB2284" s="21"/>
      <c r="AC2284" s="21">
        <v>4</v>
      </c>
      <c r="AD2284" s="21">
        <v>2</v>
      </c>
      <c r="AE2284" s="21"/>
      <c r="AF2284" s="21"/>
      <c r="AG2284" s="21">
        <v>6</v>
      </c>
      <c r="AH2284" s="21">
        <v>6</v>
      </c>
      <c r="AI2284" s="21"/>
      <c r="AJ2284" s="21"/>
      <c r="AK2284" s="21"/>
      <c r="AL2284" s="21"/>
      <c r="AM2284" s="21">
        <v>12</v>
      </c>
      <c r="AN2284" s="21">
        <v>6</v>
      </c>
      <c r="AO2284" s="21"/>
      <c r="AP2284" s="21"/>
      <c r="AQ2284" s="21"/>
      <c r="AR2284" s="21"/>
      <c r="AS2284" s="21"/>
      <c r="AT2284" s="12" t="str">
        <f>HYPERLINK("http://www.openstreetmap.org/?mlat=31.9583&amp;mlon=44.5728&amp;zoom=12#map=12/31.9583/44.5728","Maplink1")</f>
        <v>Maplink1</v>
      </c>
      <c r="AU2284" s="12" t="str">
        <f>HYPERLINK("https://www.google.iq/maps/search/+31.9583,44.5728/@31.9583,44.5728,14z?hl=en","Maplink2")</f>
        <v>Maplink2</v>
      </c>
      <c r="AV2284" s="12" t="str">
        <f>HYPERLINK("http://www.bing.com/maps/?lvl=14&amp;sty=h&amp;cp=31.9583~44.5728&amp;sp=point.31.9583_44.5728","Maplink3")</f>
        <v>Maplink3</v>
      </c>
    </row>
    <row r="2285" spans="1:48" ht="15" customHeight="1" x14ac:dyDescent="0.25">
      <c r="A2285" s="19">
        <v>2789</v>
      </c>
      <c r="B2285" s="20" t="s">
        <v>22</v>
      </c>
      <c r="C2285" s="20" t="s">
        <v>4056</v>
      </c>
      <c r="D2285" s="20" t="s">
        <v>4073</v>
      </c>
      <c r="E2285" s="20" t="s">
        <v>4074</v>
      </c>
      <c r="F2285" s="20">
        <v>31.96343053</v>
      </c>
      <c r="G2285" s="20">
        <v>44.607402219999997</v>
      </c>
      <c r="H2285" s="22">
        <v>13</v>
      </c>
      <c r="I2285" s="22">
        <v>78</v>
      </c>
      <c r="J2285" s="21"/>
      <c r="K2285" s="21"/>
      <c r="L2285" s="21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>
        <v>13</v>
      </c>
      <c r="W2285" s="21"/>
      <c r="X2285" s="21"/>
      <c r="Y2285" s="21"/>
      <c r="Z2285" s="21"/>
      <c r="AA2285" s="21"/>
      <c r="AB2285" s="21"/>
      <c r="AC2285" s="21">
        <v>4</v>
      </c>
      <c r="AD2285" s="21"/>
      <c r="AE2285" s="21"/>
      <c r="AF2285" s="21"/>
      <c r="AG2285" s="21"/>
      <c r="AH2285" s="21">
        <v>9</v>
      </c>
      <c r="AI2285" s="21"/>
      <c r="AJ2285" s="21"/>
      <c r="AK2285" s="21"/>
      <c r="AL2285" s="21"/>
      <c r="AM2285" s="21">
        <v>3</v>
      </c>
      <c r="AN2285" s="21">
        <v>10</v>
      </c>
      <c r="AO2285" s="21"/>
      <c r="AP2285" s="21"/>
      <c r="AQ2285" s="21"/>
      <c r="AR2285" s="21"/>
      <c r="AS2285" s="21"/>
      <c r="AT2285" s="12" t="str">
        <f>HYPERLINK("http://www.openstreetmap.org/?mlat=31.9634&amp;mlon=44.6074&amp;zoom=12#map=12/31.9634/44.6074","Maplink1")</f>
        <v>Maplink1</v>
      </c>
      <c r="AU2285" s="12" t="str">
        <f>HYPERLINK("https://www.google.iq/maps/search/+31.9634,44.6074/@31.9634,44.6074,14z?hl=en","Maplink2")</f>
        <v>Maplink2</v>
      </c>
      <c r="AV2285" s="12" t="str">
        <f>HYPERLINK("http://www.bing.com/maps/?lvl=14&amp;sty=h&amp;cp=31.9634~44.6074&amp;sp=point.31.9634_44.6074","Maplink3")</f>
        <v>Maplink3</v>
      </c>
    </row>
    <row r="2286" spans="1:48" ht="15" customHeight="1" x14ac:dyDescent="0.25">
      <c r="A2286" s="19">
        <v>24490</v>
      </c>
      <c r="B2286" s="20" t="s">
        <v>22</v>
      </c>
      <c r="C2286" s="20" t="s">
        <v>4056</v>
      </c>
      <c r="D2286" s="20" t="s">
        <v>3295</v>
      </c>
      <c r="E2286" s="20" t="s">
        <v>277</v>
      </c>
      <c r="F2286" s="20">
        <v>32.048625000000001</v>
      </c>
      <c r="G2286" s="20">
        <v>44.558055000000003</v>
      </c>
      <c r="H2286" s="22">
        <v>4</v>
      </c>
      <c r="I2286" s="22">
        <v>24</v>
      </c>
      <c r="J2286" s="21"/>
      <c r="K2286" s="21"/>
      <c r="L2286" s="21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>
        <v>4</v>
      </c>
      <c r="W2286" s="21"/>
      <c r="X2286" s="21"/>
      <c r="Y2286" s="21"/>
      <c r="Z2286" s="21"/>
      <c r="AA2286" s="21"/>
      <c r="AB2286" s="21"/>
      <c r="AC2286" s="21">
        <v>1</v>
      </c>
      <c r="AD2286" s="21"/>
      <c r="AE2286" s="21"/>
      <c r="AF2286" s="21"/>
      <c r="AG2286" s="21"/>
      <c r="AH2286" s="21">
        <v>3</v>
      </c>
      <c r="AI2286" s="21"/>
      <c r="AJ2286" s="21"/>
      <c r="AK2286" s="21"/>
      <c r="AL2286" s="21"/>
      <c r="AM2286" s="21"/>
      <c r="AN2286" s="21">
        <v>4</v>
      </c>
      <c r="AO2286" s="21"/>
      <c r="AP2286" s="21"/>
      <c r="AQ2286" s="21"/>
      <c r="AR2286" s="21"/>
      <c r="AS2286" s="21"/>
      <c r="AT2286" s="12" t="str">
        <f>HYPERLINK("http://www.openstreetmap.org/?mlat=32.0486&amp;mlon=44.5581&amp;zoom=12#map=12/32.0486/44.5581","Maplink1")</f>
        <v>Maplink1</v>
      </c>
      <c r="AU2286" s="12" t="str">
        <f>HYPERLINK("https://www.google.iq/maps/search/+32.0486,44.5581/@32.0486,44.5581,14z?hl=en","Maplink2")</f>
        <v>Maplink2</v>
      </c>
      <c r="AV2286" s="12" t="str">
        <f>HYPERLINK("http://www.bing.com/maps/?lvl=14&amp;sty=h&amp;cp=32.0486~44.5581&amp;sp=point.32.0486_44.5581","Maplink3")</f>
        <v>Maplink3</v>
      </c>
    </row>
    <row r="2287" spans="1:48" ht="15" customHeight="1" x14ac:dyDescent="0.25">
      <c r="A2287" s="19">
        <v>25566</v>
      </c>
      <c r="B2287" s="20" t="s">
        <v>22</v>
      </c>
      <c r="C2287" s="20" t="s">
        <v>4056</v>
      </c>
      <c r="D2287" s="20" t="s">
        <v>1411</v>
      </c>
      <c r="E2287" s="20" t="s">
        <v>112</v>
      </c>
      <c r="F2287" s="20">
        <v>32.052247000000001</v>
      </c>
      <c r="G2287" s="20">
        <v>44.563285</v>
      </c>
      <c r="H2287" s="22">
        <v>4</v>
      </c>
      <c r="I2287" s="22">
        <v>24</v>
      </c>
      <c r="J2287" s="21"/>
      <c r="K2287" s="21"/>
      <c r="L2287" s="21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>
        <v>4</v>
      </c>
      <c r="W2287" s="21"/>
      <c r="X2287" s="21"/>
      <c r="Y2287" s="21"/>
      <c r="Z2287" s="21"/>
      <c r="AA2287" s="21"/>
      <c r="AB2287" s="21"/>
      <c r="AC2287" s="21">
        <v>1</v>
      </c>
      <c r="AD2287" s="21"/>
      <c r="AE2287" s="21"/>
      <c r="AF2287" s="21"/>
      <c r="AG2287" s="21"/>
      <c r="AH2287" s="21">
        <v>3</v>
      </c>
      <c r="AI2287" s="21"/>
      <c r="AJ2287" s="21"/>
      <c r="AK2287" s="21"/>
      <c r="AL2287" s="21"/>
      <c r="AM2287" s="21"/>
      <c r="AN2287" s="21">
        <v>4</v>
      </c>
      <c r="AO2287" s="21"/>
      <c r="AP2287" s="21"/>
      <c r="AQ2287" s="21"/>
      <c r="AR2287" s="21"/>
      <c r="AS2287" s="21"/>
      <c r="AT2287" s="12" t="str">
        <f>HYPERLINK("http://www.openstreetmap.org/?mlat=32.0522&amp;mlon=44.5633&amp;zoom=12#map=12/32.0522/44.5633","Maplink1")</f>
        <v>Maplink1</v>
      </c>
      <c r="AU2287" s="12" t="str">
        <f>HYPERLINK("https://www.google.iq/maps/search/+32.0522,44.5633/@32.0522,44.5633,14z?hl=en","Maplink2")</f>
        <v>Maplink2</v>
      </c>
      <c r="AV2287" s="12" t="str">
        <f>HYPERLINK("http://www.bing.com/maps/?lvl=14&amp;sty=h&amp;cp=32.0522~44.5633&amp;sp=point.32.0522_44.5633","Maplink3")</f>
        <v>Maplink3</v>
      </c>
    </row>
    <row r="2288" spans="1:48" ht="15" customHeight="1" x14ac:dyDescent="0.25">
      <c r="A2288" s="19">
        <v>2741</v>
      </c>
      <c r="B2288" s="20" t="s">
        <v>22</v>
      </c>
      <c r="C2288" s="20" t="s">
        <v>4056</v>
      </c>
      <c r="D2288" s="20" t="s">
        <v>4076</v>
      </c>
      <c r="E2288" s="20" t="s">
        <v>318</v>
      </c>
      <c r="F2288" s="20">
        <v>31.961971999999999</v>
      </c>
      <c r="G2288" s="20">
        <v>44.586123999999998</v>
      </c>
      <c r="H2288" s="22">
        <v>5</v>
      </c>
      <c r="I2288" s="22">
        <v>30</v>
      </c>
      <c r="J2288" s="21"/>
      <c r="K2288" s="21"/>
      <c r="L2288" s="21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>
        <v>5</v>
      </c>
      <c r="W2288" s="21"/>
      <c r="X2288" s="21"/>
      <c r="Y2288" s="21"/>
      <c r="Z2288" s="21"/>
      <c r="AA2288" s="21"/>
      <c r="AB2288" s="21"/>
      <c r="AC2288" s="21">
        <v>4</v>
      </c>
      <c r="AD2288" s="21"/>
      <c r="AE2288" s="21"/>
      <c r="AF2288" s="21"/>
      <c r="AG2288" s="21"/>
      <c r="AH2288" s="21">
        <v>1</v>
      </c>
      <c r="AI2288" s="21"/>
      <c r="AJ2288" s="21"/>
      <c r="AK2288" s="21"/>
      <c r="AL2288" s="21">
        <v>1</v>
      </c>
      <c r="AM2288" s="21">
        <v>4</v>
      </c>
      <c r="AN2288" s="21"/>
      <c r="AO2288" s="21"/>
      <c r="AP2288" s="21"/>
      <c r="AQ2288" s="21"/>
      <c r="AR2288" s="21"/>
      <c r="AS2288" s="21"/>
      <c r="AT2288" s="12" t="str">
        <f>HYPERLINK("http://www.openstreetmap.org/?mlat=31.962&amp;mlon=44.5861&amp;zoom=12#map=12/31.962/44.5861","Maplink1")</f>
        <v>Maplink1</v>
      </c>
      <c r="AU2288" s="12" t="str">
        <f>HYPERLINK("https://www.google.iq/maps/search/+31.962,44.5861/@31.962,44.5861,14z?hl=en","Maplink2")</f>
        <v>Maplink2</v>
      </c>
      <c r="AV2288" s="12" t="str">
        <f>HYPERLINK("http://www.bing.com/maps/?lvl=14&amp;sty=h&amp;cp=31.962~44.5861&amp;sp=point.31.962_44.5861","Maplink3")</f>
        <v>Maplink3</v>
      </c>
    </row>
    <row r="2289" spans="1:48" ht="15" customHeight="1" x14ac:dyDescent="0.25">
      <c r="A2289" s="19">
        <v>25910</v>
      </c>
      <c r="B2289" s="20" t="s">
        <v>22</v>
      </c>
      <c r="C2289" s="20" t="s">
        <v>4056</v>
      </c>
      <c r="D2289" s="20" t="s">
        <v>4041</v>
      </c>
      <c r="E2289" s="20" t="s">
        <v>318</v>
      </c>
      <c r="F2289" s="20">
        <v>32.052958480000001</v>
      </c>
      <c r="G2289" s="20">
        <v>44.556665629999998</v>
      </c>
      <c r="H2289" s="22">
        <v>7</v>
      </c>
      <c r="I2289" s="22">
        <v>42</v>
      </c>
      <c r="J2289" s="21">
        <v>2</v>
      </c>
      <c r="K2289" s="21"/>
      <c r="L2289" s="21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>
        <v>5</v>
      </c>
      <c r="W2289" s="21"/>
      <c r="X2289" s="21"/>
      <c r="Y2289" s="21"/>
      <c r="Z2289" s="21"/>
      <c r="AA2289" s="21"/>
      <c r="AB2289" s="21"/>
      <c r="AC2289" s="21">
        <v>3</v>
      </c>
      <c r="AD2289" s="21">
        <v>1</v>
      </c>
      <c r="AE2289" s="21"/>
      <c r="AF2289" s="21"/>
      <c r="AG2289" s="21"/>
      <c r="AH2289" s="21">
        <v>3</v>
      </c>
      <c r="AI2289" s="21"/>
      <c r="AJ2289" s="21"/>
      <c r="AK2289" s="21"/>
      <c r="AL2289" s="21"/>
      <c r="AM2289" s="21"/>
      <c r="AN2289" s="21">
        <v>5</v>
      </c>
      <c r="AO2289" s="21">
        <v>2</v>
      </c>
      <c r="AP2289" s="21"/>
      <c r="AQ2289" s="21"/>
      <c r="AR2289" s="21"/>
      <c r="AS2289" s="21"/>
      <c r="AT2289" s="12" t="str">
        <f>HYPERLINK("http://www.openstreetmap.org/?mlat=32.053&amp;mlon=44.5567&amp;zoom=12#map=12/32.053/44.5567","Maplink1")</f>
        <v>Maplink1</v>
      </c>
      <c r="AU2289" s="12" t="str">
        <f>HYPERLINK("https://www.google.iq/maps/search/+32.053,44.5567/@32.053,44.5567,14z?hl=en","Maplink2")</f>
        <v>Maplink2</v>
      </c>
      <c r="AV2289" s="12" t="str">
        <f>HYPERLINK("http://www.bing.com/maps/?lvl=14&amp;sty=h&amp;cp=32.053~44.5567&amp;sp=point.32.053_44.5567","Maplink3")</f>
        <v>Maplink3</v>
      </c>
    </row>
    <row r="2290" spans="1:48" ht="15" customHeight="1" x14ac:dyDescent="0.25">
      <c r="A2290" s="19">
        <v>2759</v>
      </c>
      <c r="B2290" s="20" t="s">
        <v>22</v>
      </c>
      <c r="C2290" s="20" t="s">
        <v>4056</v>
      </c>
      <c r="D2290" s="20" t="s">
        <v>4077</v>
      </c>
      <c r="E2290" s="20" t="s">
        <v>4078</v>
      </c>
      <c r="F2290" s="20">
        <v>31.962896000000001</v>
      </c>
      <c r="G2290" s="20">
        <v>44.604008</v>
      </c>
      <c r="H2290" s="22">
        <v>10</v>
      </c>
      <c r="I2290" s="22">
        <v>60</v>
      </c>
      <c r="J2290" s="21"/>
      <c r="K2290" s="21"/>
      <c r="L2290" s="21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>
        <v>10</v>
      </c>
      <c r="W2290" s="21"/>
      <c r="X2290" s="21"/>
      <c r="Y2290" s="21"/>
      <c r="Z2290" s="21"/>
      <c r="AA2290" s="21"/>
      <c r="AB2290" s="21"/>
      <c r="AC2290" s="21">
        <v>4</v>
      </c>
      <c r="AD2290" s="21"/>
      <c r="AE2290" s="21"/>
      <c r="AF2290" s="21"/>
      <c r="AG2290" s="21"/>
      <c r="AH2290" s="21">
        <v>6</v>
      </c>
      <c r="AI2290" s="21"/>
      <c r="AJ2290" s="21"/>
      <c r="AK2290" s="21"/>
      <c r="AL2290" s="21"/>
      <c r="AM2290" s="21"/>
      <c r="AN2290" s="21">
        <v>10</v>
      </c>
      <c r="AO2290" s="21"/>
      <c r="AP2290" s="21"/>
      <c r="AQ2290" s="21"/>
      <c r="AR2290" s="21"/>
      <c r="AS2290" s="21"/>
      <c r="AT2290" s="12" t="str">
        <f>HYPERLINK("http://www.openstreetmap.org/?mlat=31.9629&amp;mlon=44.604&amp;zoom=12#map=12/31.9629/44.604","Maplink1")</f>
        <v>Maplink1</v>
      </c>
      <c r="AU2290" s="12" t="str">
        <f>HYPERLINK("https://www.google.iq/maps/search/+31.9629,44.604/@31.9629,44.604,14z?hl=en","Maplink2")</f>
        <v>Maplink2</v>
      </c>
      <c r="AV2290" s="12" t="str">
        <f>HYPERLINK("http://www.bing.com/maps/?lvl=14&amp;sty=h&amp;cp=31.9629~44.604&amp;sp=point.31.9629_44.604","Maplink3")</f>
        <v>Maplink3</v>
      </c>
    </row>
    <row r="2291" spans="1:48" ht="15" customHeight="1" x14ac:dyDescent="0.25">
      <c r="A2291" s="19">
        <v>2792</v>
      </c>
      <c r="B2291" s="20" t="s">
        <v>22</v>
      </c>
      <c r="C2291" s="20" t="s">
        <v>4056</v>
      </c>
      <c r="D2291" s="20" t="s">
        <v>4079</v>
      </c>
      <c r="E2291" s="20" t="s">
        <v>2335</v>
      </c>
      <c r="F2291" s="20">
        <v>31.966243670000001</v>
      </c>
      <c r="G2291" s="20">
        <v>44.60046887</v>
      </c>
      <c r="H2291" s="22">
        <v>8</v>
      </c>
      <c r="I2291" s="22">
        <v>48</v>
      </c>
      <c r="J2291" s="21"/>
      <c r="K2291" s="21"/>
      <c r="L2291" s="21">
        <v>5</v>
      </c>
      <c r="M2291" s="21"/>
      <c r="N2291" s="21"/>
      <c r="O2291" s="21"/>
      <c r="P2291" s="21"/>
      <c r="Q2291" s="21"/>
      <c r="R2291" s="21"/>
      <c r="S2291" s="21"/>
      <c r="T2291" s="21"/>
      <c r="U2291" s="21"/>
      <c r="V2291" s="21">
        <v>3</v>
      </c>
      <c r="W2291" s="21"/>
      <c r="X2291" s="21"/>
      <c r="Y2291" s="21"/>
      <c r="Z2291" s="21"/>
      <c r="AA2291" s="21"/>
      <c r="AB2291" s="21"/>
      <c r="AC2291" s="21">
        <v>2</v>
      </c>
      <c r="AD2291" s="21"/>
      <c r="AE2291" s="21"/>
      <c r="AF2291" s="21"/>
      <c r="AG2291" s="21"/>
      <c r="AH2291" s="21">
        <v>6</v>
      </c>
      <c r="AI2291" s="21"/>
      <c r="AJ2291" s="21"/>
      <c r="AK2291" s="21"/>
      <c r="AL2291" s="21"/>
      <c r="AM2291" s="21"/>
      <c r="AN2291" s="21">
        <v>3</v>
      </c>
      <c r="AO2291" s="21">
        <v>5</v>
      </c>
      <c r="AP2291" s="21"/>
      <c r="AQ2291" s="21"/>
      <c r="AR2291" s="21"/>
      <c r="AS2291" s="21"/>
      <c r="AT2291" s="12" t="str">
        <f>HYPERLINK("http://www.openstreetmap.org/?mlat=31.9662&amp;mlon=44.6005&amp;zoom=12#map=12/31.9662/44.6005","Maplink1")</f>
        <v>Maplink1</v>
      </c>
      <c r="AU2291" s="12" t="str">
        <f>HYPERLINK("https://www.google.iq/maps/search/+31.9662,44.6005/@31.9662,44.6005,14z?hl=en","Maplink2")</f>
        <v>Maplink2</v>
      </c>
      <c r="AV2291" s="12" t="str">
        <f>HYPERLINK("http://www.bing.com/maps/?lvl=14&amp;sty=h&amp;cp=31.9662~44.6005&amp;sp=point.31.9662_44.6005","Maplink3")</f>
        <v>Maplink3</v>
      </c>
    </row>
    <row r="2292" spans="1:48" ht="15" customHeight="1" x14ac:dyDescent="0.25">
      <c r="A2292" s="19">
        <v>25908</v>
      </c>
      <c r="B2292" s="20" t="s">
        <v>22</v>
      </c>
      <c r="C2292" s="20" t="s">
        <v>4056</v>
      </c>
      <c r="D2292" s="20" t="s">
        <v>4043</v>
      </c>
      <c r="E2292" s="20" t="s">
        <v>1360</v>
      </c>
      <c r="F2292" s="20">
        <v>32.04844327</v>
      </c>
      <c r="G2292" s="20">
        <v>44.560727</v>
      </c>
      <c r="H2292" s="22">
        <v>6</v>
      </c>
      <c r="I2292" s="22">
        <v>36</v>
      </c>
      <c r="J2292" s="21"/>
      <c r="K2292" s="21"/>
      <c r="L2292" s="21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>
        <v>6</v>
      </c>
      <c r="W2292" s="21"/>
      <c r="X2292" s="21"/>
      <c r="Y2292" s="21"/>
      <c r="Z2292" s="21"/>
      <c r="AA2292" s="21"/>
      <c r="AB2292" s="21"/>
      <c r="AC2292" s="21">
        <v>3</v>
      </c>
      <c r="AD2292" s="21"/>
      <c r="AE2292" s="21"/>
      <c r="AF2292" s="21"/>
      <c r="AG2292" s="21"/>
      <c r="AH2292" s="21">
        <v>3</v>
      </c>
      <c r="AI2292" s="21"/>
      <c r="AJ2292" s="21"/>
      <c r="AK2292" s="21"/>
      <c r="AL2292" s="21"/>
      <c r="AM2292" s="21"/>
      <c r="AN2292" s="21">
        <v>6</v>
      </c>
      <c r="AO2292" s="21"/>
      <c r="AP2292" s="21"/>
      <c r="AQ2292" s="21"/>
      <c r="AR2292" s="21"/>
      <c r="AS2292" s="21"/>
      <c r="AT2292" s="12" t="str">
        <f>HYPERLINK("http://www.openstreetmap.org/?mlat=32.0484&amp;mlon=44.5607&amp;zoom=12#map=12/32.0484/44.5607","Maplink1")</f>
        <v>Maplink1</v>
      </c>
      <c r="AU2292" s="12" t="str">
        <f>HYPERLINK("https://www.google.iq/maps/search/+32.0484,44.5607/@32.0484,44.5607,14z?hl=en","Maplink2")</f>
        <v>Maplink2</v>
      </c>
      <c r="AV2292" s="12" t="str">
        <f>HYPERLINK("http://www.bing.com/maps/?lvl=14&amp;sty=h&amp;cp=32.0484~44.5607&amp;sp=point.32.0484_44.5607","Maplink3")</f>
        <v>Maplink3</v>
      </c>
    </row>
    <row r="2293" spans="1:48" ht="15" customHeight="1" x14ac:dyDescent="0.25">
      <c r="A2293" s="19">
        <v>2447</v>
      </c>
      <c r="B2293" s="20" t="s">
        <v>22</v>
      </c>
      <c r="C2293" s="20" t="s">
        <v>4056</v>
      </c>
      <c r="D2293" s="20" t="s">
        <v>490</v>
      </c>
      <c r="E2293" s="20" t="s">
        <v>117</v>
      </c>
      <c r="F2293" s="20">
        <v>31.739601700000001</v>
      </c>
      <c r="G2293" s="20">
        <v>44.614220889999999</v>
      </c>
      <c r="H2293" s="22">
        <v>7</v>
      </c>
      <c r="I2293" s="22">
        <v>42</v>
      </c>
      <c r="J2293" s="21"/>
      <c r="K2293" s="21"/>
      <c r="L2293" s="21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>
        <v>7</v>
      </c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21">
        <v>2</v>
      </c>
      <c r="AH2293" s="21">
        <v>5</v>
      </c>
      <c r="AI2293" s="21"/>
      <c r="AJ2293" s="21"/>
      <c r="AK2293" s="21"/>
      <c r="AL2293" s="21"/>
      <c r="AM2293" s="21">
        <v>5</v>
      </c>
      <c r="AN2293" s="21">
        <v>2</v>
      </c>
      <c r="AO2293" s="21"/>
      <c r="AP2293" s="21"/>
      <c r="AQ2293" s="21"/>
      <c r="AR2293" s="21"/>
      <c r="AS2293" s="21"/>
      <c r="AT2293" s="12" t="str">
        <f>HYPERLINK("http://www.openstreetmap.org/?mlat=31.7396&amp;mlon=44.6142&amp;zoom=12#map=12/31.7396/44.6142","Maplink1")</f>
        <v>Maplink1</v>
      </c>
      <c r="AU2293" s="12" t="str">
        <f>HYPERLINK("https://www.google.iq/maps/search/+31.7396,44.6142/@31.7396,44.6142,14z?hl=en","Maplink2")</f>
        <v>Maplink2</v>
      </c>
      <c r="AV2293" s="12" t="str">
        <f>HYPERLINK("http://www.bing.com/maps/?lvl=14&amp;sty=h&amp;cp=31.7396~44.6142&amp;sp=point.31.7396_44.6142","Maplink3")</f>
        <v>Maplink3</v>
      </c>
    </row>
    <row r="2294" spans="1:48" ht="15" customHeight="1" x14ac:dyDescent="0.25">
      <c r="A2294" s="19">
        <v>24245</v>
      </c>
      <c r="B2294" s="20" t="s">
        <v>22</v>
      </c>
      <c r="C2294" s="20" t="s">
        <v>4056</v>
      </c>
      <c r="D2294" s="20" t="s">
        <v>4080</v>
      </c>
      <c r="E2294" s="20" t="s">
        <v>4081</v>
      </c>
      <c r="F2294" s="20">
        <v>31.968177183200002</v>
      </c>
      <c r="G2294" s="20">
        <v>44.604482728999997</v>
      </c>
      <c r="H2294" s="22">
        <v>10</v>
      </c>
      <c r="I2294" s="22">
        <v>60</v>
      </c>
      <c r="J2294" s="21"/>
      <c r="K2294" s="21"/>
      <c r="L2294" s="21"/>
      <c r="M2294" s="21"/>
      <c r="N2294" s="21"/>
      <c r="O2294" s="21"/>
      <c r="P2294" s="21"/>
      <c r="Q2294" s="21"/>
      <c r="R2294" s="21">
        <v>3</v>
      </c>
      <c r="S2294" s="21"/>
      <c r="T2294" s="21"/>
      <c r="U2294" s="21"/>
      <c r="V2294" s="21">
        <v>7</v>
      </c>
      <c r="W2294" s="21"/>
      <c r="X2294" s="21"/>
      <c r="Y2294" s="21"/>
      <c r="Z2294" s="21"/>
      <c r="AA2294" s="21"/>
      <c r="AB2294" s="21"/>
      <c r="AC2294" s="21">
        <v>3</v>
      </c>
      <c r="AD2294" s="21"/>
      <c r="AE2294" s="21"/>
      <c r="AF2294" s="21"/>
      <c r="AG2294" s="21"/>
      <c r="AH2294" s="21">
        <v>7</v>
      </c>
      <c r="AI2294" s="21"/>
      <c r="AJ2294" s="21"/>
      <c r="AK2294" s="21"/>
      <c r="AL2294" s="21"/>
      <c r="AM2294" s="21">
        <v>5</v>
      </c>
      <c r="AN2294" s="21">
        <v>5</v>
      </c>
      <c r="AO2294" s="21"/>
      <c r="AP2294" s="21"/>
      <c r="AQ2294" s="21"/>
      <c r="AR2294" s="21"/>
      <c r="AS2294" s="21"/>
      <c r="AT2294" s="12" t="str">
        <f>HYPERLINK("http://www.openstreetmap.org/?mlat=31.9682&amp;mlon=44.6045&amp;zoom=12#map=12/31.9682/44.6045","Maplink1")</f>
        <v>Maplink1</v>
      </c>
      <c r="AU2294" s="12" t="str">
        <f>HYPERLINK("https://www.google.iq/maps/search/+31.9682,44.6045/@31.9682,44.6045,14z?hl=en","Maplink2")</f>
        <v>Maplink2</v>
      </c>
      <c r="AV2294" s="12" t="str">
        <f>HYPERLINK("http://www.bing.com/maps/?lvl=14&amp;sty=h&amp;cp=31.9682~44.6045&amp;sp=point.31.9682_44.6045","Maplink3")</f>
        <v>Maplink3</v>
      </c>
    </row>
    <row r="2295" spans="1:48" ht="15" customHeight="1" x14ac:dyDescent="0.25">
      <c r="A2295" s="19">
        <v>25565</v>
      </c>
      <c r="B2295" s="20" t="s">
        <v>22</v>
      </c>
      <c r="C2295" s="20" t="s">
        <v>4056</v>
      </c>
      <c r="D2295" s="20" t="s">
        <v>4082</v>
      </c>
      <c r="E2295" s="20" t="s">
        <v>4083</v>
      </c>
      <c r="F2295" s="20">
        <v>32.059085189999998</v>
      </c>
      <c r="G2295" s="20">
        <v>44.560260210000003</v>
      </c>
      <c r="H2295" s="22">
        <v>4</v>
      </c>
      <c r="I2295" s="22">
        <v>24</v>
      </c>
      <c r="J2295" s="21"/>
      <c r="K2295" s="21"/>
      <c r="L2295" s="21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>
        <v>4</v>
      </c>
      <c r="W2295" s="21"/>
      <c r="X2295" s="21"/>
      <c r="Y2295" s="21"/>
      <c r="Z2295" s="21"/>
      <c r="AA2295" s="21"/>
      <c r="AB2295" s="21"/>
      <c r="AC2295" s="21">
        <v>2</v>
      </c>
      <c r="AD2295" s="21"/>
      <c r="AE2295" s="21"/>
      <c r="AF2295" s="21"/>
      <c r="AG2295" s="21"/>
      <c r="AH2295" s="21">
        <v>2</v>
      </c>
      <c r="AI2295" s="21"/>
      <c r="AJ2295" s="21"/>
      <c r="AK2295" s="21"/>
      <c r="AL2295" s="21"/>
      <c r="AM2295" s="21"/>
      <c r="AN2295" s="21">
        <v>4</v>
      </c>
      <c r="AO2295" s="21"/>
      <c r="AP2295" s="21"/>
      <c r="AQ2295" s="21"/>
      <c r="AR2295" s="21"/>
      <c r="AS2295" s="21"/>
      <c r="AT2295" s="12" t="str">
        <f>HYPERLINK("http://www.openstreetmap.org/?mlat=32.0591&amp;mlon=44.5603&amp;zoom=12#map=12/32.0591/44.5603","Maplink1")</f>
        <v>Maplink1</v>
      </c>
      <c r="AU2295" s="12" t="str">
        <f>HYPERLINK("https://www.google.iq/maps/search/+32.0591,44.5603/@32.0591,44.5603,14z?hl=en","Maplink2")</f>
        <v>Maplink2</v>
      </c>
      <c r="AV2295" s="12" t="str">
        <f>HYPERLINK("http://www.bing.com/maps/?lvl=14&amp;sty=h&amp;cp=32.0591~44.5603&amp;sp=point.32.0591_44.5603","Maplink3")</f>
        <v>Maplink3</v>
      </c>
    </row>
    <row r="2296" spans="1:48" ht="15" customHeight="1" x14ac:dyDescent="0.25">
      <c r="A2296" s="19">
        <v>25909</v>
      </c>
      <c r="B2296" s="20" t="s">
        <v>22</v>
      </c>
      <c r="C2296" s="20" t="s">
        <v>4056</v>
      </c>
      <c r="D2296" s="20" t="s">
        <v>381</v>
      </c>
      <c r="E2296" s="20" t="s">
        <v>1416</v>
      </c>
      <c r="F2296" s="20">
        <v>32.049981600000002</v>
      </c>
      <c r="G2296" s="20">
        <v>44.560743850000001</v>
      </c>
      <c r="H2296" s="22">
        <v>7</v>
      </c>
      <c r="I2296" s="22">
        <v>42</v>
      </c>
      <c r="J2296" s="21">
        <v>1</v>
      </c>
      <c r="K2296" s="21"/>
      <c r="L2296" s="21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>
        <v>6</v>
      </c>
      <c r="W2296" s="21"/>
      <c r="X2296" s="21"/>
      <c r="Y2296" s="21"/>
      <c r="Z2296" s="21"/>
      <c r="AA2296" s="21"/>
      <c r="AB2296" s="21"/>
      <c r="AC2296" s="21">
        <v>2</v>
      </c>
      <c r="AD2296" s="21"/>
      <c r="AE2296" s="21"/>
      <c r="AF2296" s="21"/>
      <c r="AG2296" s="21"/>
      <c r="AH2296" s="21">
        <v>5</v>
      </c>
      <c r="AI2296" s="21"/>
      <c r="AJ2296" s="21"/>
      <c r="AK2296" s="21"/>
      <c r="AL2296" s="21"/>
      <c r="AM2296" s="21">
        <v>1</v>
      </c>
      <c r="AN2296" s="21">
        <v>5</v>
      </c>
      <c r="AO2296" s="21">
        <v>1</v>
      </c>
      <c r="AP2296" s="21"/>
      <c r="AQ2296" s="21"/>
      <c r="AR2296" s="21"/>
      <c r="AS2296" s="21"/>
      <c r="AT2296" s="12" t="str">
        <f>HYPERLINK("http://www.openstreetmap.org/?mlat=32.05&amp;mlon=44.5607&amp;zoom=12#map=12/32.05/44.5607","Maplink1")</f>
        <v>Maplink1</v>
      </c>
      <c r="AU2296" s="12" t="str">
        <f>HYPERLINK("https://www.google.iq/maps/search/+32.05,44.5607/@32.05,44.5607,14z?hl=en","Maplink2")</f>
        <v>Maplink2</v>
      </c>
      <c r="AV2296" s="12" t="str">
        <f>HYPERLINK("http://www.bing.com/maps/?lvl=14&amp;sty=h&amp;cp=32.05~44.5607&amp;sp=point.32.05_44.5607","Maplink3")</f>
        <v>Maplink3</v>
      </c>
    </row>
    <row r="2297" spans="1:48" ht="15" customHeight="1" x14ac:dyDescent="0.25">
      <c r="A2297" s="19">
        <v>2766</v>
      </c>
      <c r="B2297" s="20" t="s">
        <v>22</v>
      </c>
      <c r="C2297" s="20" t="s">
        <v>4056</v>
      </c>
      <c r="D2297" s="20" t="s">
        <v>4084</v>
      </c>
      <c r="E2297" s="20" t="s">
        <v>4085</v>
      </c>
      <c r="F2297" s="20">
        <v>31.961282629999999</v>
      </c>
      <c r="G2297" s="20">
        <v>44.595459089999999</v>
      </c>
      <c r="H2297" s="22">
        <v>19</v>
      </c>
      <c r="I2297" s="22">
        <v>114</v>
      </c>
      <c r="J2297" s="21"/>
      <c r="K2297" s="21"/>
      <c r="L2297" s="21"/>
      <c r="M2297" s="21"/>
      <c r="N2297" s="21"/>
      <c r="O2297" s="21"/>
      <c r="P2297" s="21"/>
      <c r="Q2297" s="21"/>
      <c r="R2297" s="21">
        <v>2</v>
      </c>
      <c r="S2297" s="21"/>
      <c r="T2297" s="21"/>
      <c r="U2297" s="21"/>
      <c r="V2297" s="21">
        <v>17</v>
      </c>
      <c r="W2297" s="21"/>
      <c r="X2297" s="21"/>
      <c r="Y2297" s="21"/>
      <c r="Z2297" s="21"/>
      <c r="AA2297" s="21"/>
      <c r="AB2297" s="21"/>
      <c r="AC2297" s="21">
        <v>4</v>
      </c>
      <c r="AD2297" s="21"/>
      <c r="AE2297" s="21"/>
      <c r="AF2297" s="21"/>
      <c r="AG2297" s="21"/>
      <c r="AH2297" s="21">
        <v>15</v>
      </c>
      <c r="AI2297" s="21"/>
      <c r="AJ2297" s="21"/>
      <c r="AK2297" s="21"/>
      <c r="AL2297" s="21"/>
      <c r="AM2297" s="21">
        <v>13</v>
      </c>
      <c r="AN2297" s="21">
        <v>6</v>
      </c>
      <c r="AO2297" s="21"/>
      <c r="AP2297" s="21"/>
      <c r="AQ2297" s="21"/>
      <c r="AR2297" s="21"/>
      <c r="AS2297" s="21"/>
      <c r="AT2297" s="12" t="str">
        <f>HYPERLINK("http://www.openstreetmap.org/?mlat=31.9613&amp;mlon=44.5955&amp;zoom=12#map=12/31.9613/44.5955","Maplink1")</f>
        <v>Maplink1</v>
      </c>
      <c r="AU2297" s="12" t="str">
        <f>HYPERLINK("https://www.google.iq/maps/search/+31.9613,44.5955/@31.9613,44.5955,14z?hl=en","Maplink2")</f>
        <v>Maplink2</v>
      </c>
      <c r="AV2297" s="12" t="str">
        <f>HYPERLINK("http://www.bing.com/maps/?lvl=14&amp;sty=h&amp;cp=31.9613~44.5955&amp;sp=point.31.9613_44.5955","Maplink3")</f>
        <v>Maplink3</v>
      </c>
    </row>
    <row r="2298" spans="1:48" ht="15" customHeight="1" x14ac:dyDescent="0.25">
      <c r="A2298" s="19">
        <v>25913</v>
      </c>
      <c r="B2298" s="20" t="s">
        <v>22</v>
      </c>
      <c r="C2298" s="20" t="s">
        <v>4056</v>
      </c>
      <c r="D2298" s="20" t="s">
        <v>4086</v>
      </c>
      <c r="E2298" s="20" t="s">
        <v>4085</v>
      </c>
      <c r="F2298" s="20">
        <v>32.0168751</v>
      </c>
      <c r="G2298" s="20">
        <v>44.547697919999997</v>
      </c>
      <c r="H2298" s="22">
        <v>7</v>
      </c>
      <c r="I2298" s="22">
        <v>42</v>
      </c>
      <c r="J2298" s="21"/>
      <c r="K2298" s="21"/>
      <c r="L2298" s="21"/>
      <c r="M2298" s="21"/>
      <c r="N2298" s="21"/>
      <c r="O2298" s="21"/>
      <c r="P2298" s="21"/>
      <c r="Q2298" s="21"/>
      <c r="R2298" s="21">
        <v>2</v>
      </c>
      <c r="S2298" s="21"/>
      <c r="T2298" s="21"/>
      <c r="U2298" s="21"/>
      <c r="V2298" s="21">
        <v>5</v>
      </c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21"/>
      <c r="AH2298" s="21">
        <v>1</v>
      </c>
      <c r="AI2298" s="21">
        <v>4</v>
      </c>
      <c r="AJ2298" s="21">
        <v>2</v>
      </c>
      <c r="AK2298" s="21"/>
      <c r="AL2298" s="21"/>
      <c r="AM2298" s="21">
        <v>7</v>
      </c>
      <c r="AN2298" s="21"/>
      <c r="AO2298" s="21"/>
      <c r="AP2298" s="21"/>
      <c r="AQ2298" s="21"/>
      <c r="AR2298" s="21"/>
      <c r="AS2298" s="21"/>
      <c r="AT2298" s="12" t="str">
        <f>HYPERLINK("http://www.openstreetmap.org/?mlat=32.0169&amp;mlon=44.5477&amp;zoom=12#map=12/32.0169/44.5477","Maplink1")</f>
        <v>Maplink1</v>
      </c>
      <c r="AU2298" s="12" t="str">
        <f>HYPERLINK("https://www.google.iq/maps/search/+32.0169,44.5477/@32.0169,44.5477,14z?hl=en","Maplink2")</f>
        <v>Maplink2</v>
      </c>
      <c r="AV2298" s="12" t="str">
        <f>HYPERLINK("http://www.bing.com/maps/?lvl=14&amp;sty=h&amp;cp=32.0169~44.5477&amp;sp=point.32.0169_44.5477","Maplink3")</f>
        <v>Maplink3</v>
      </c>
    </row>
    <row r="2299" spans="1:48" ht="15" customHeight="1" x14ac:dyDescent="0.25">
      <c r="A2299" s="19">
        <v>22683</v>
      </c>
      <c r="B2299" s="20" t="s">
        <v>22</v>
      </c>
      <c r="C2299" s="20" t="s">
        <v>4056</v>
      </c>
      <c r="D2299" s="20" t="s">
        <v>4087</v>
      </c>
      <c r="E2299" s="20" t="s">
        <v>4088</v>
      </c>
      <c r="F2299" s="20">
        <v>31.740612429999999</v>
      </c>
      <c r="G2299" s="20">
        <v>44.608814649999999</v>
      </c>
      <c r="H2299" s="22">
        <v>10</v>
      </c>
      <c r="I2299" s="22">
        <v>60</v>
      </c>
      <c r="J2299" s="21"/>
      <c r="K2299" s="21"/>
      <c r="L2299" s="21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>
        <v>10</v>
      </c>
      <c r="W2299" s="21"/>
      <c r="X2299" s="21"/>
      <c r="Y2299" s="21"/>
      <c r="Z2299" s="21"/>
      <c r="AA2299" s="21"/>
      <c r="AB2299" s="21"/>
      <c r="AC2299" s="21">
        <v>2</v>
      </c>
      <c r="AD2299" s="21"/>
      <c r="AE2299" s="21"/>
      <c r="AF2299" s="21"/>
      <c r="AG2299" s="21">
        <v>6</v>
      </c>
      <c r="AH2299" s="21">
        <v>2</v>
      </c>
      <c r="AI2299" s="21"/>
      <c r="AJ2299" s="21"/>
      <c r="AK2299" s="21"/>
      <c r="AL2299" s="21"/>
      <c r="AM2299" s="21">
        <v>4</v>
      </c>
      <c r="AN2299" s="21">
        <v>6</v>
      </c>
      <c r="AO2299" s="21"/>
      <c r="AP2299" s="21"/>
      <c r="AQ2299" s="21"/>
      <c r="AR2299" s="21"/>
      <c r="AS2299" s="21"/>
      <c r="AT2299" s="12" t="str">
        <f>HYPERLINK("http://www.openstreetmap.org/?mlat=31.7406&amp;mlon=44.6088&amp;zoom=12#map=12/31.7406/44.6088","Maplink1")</f>
        <v>Maplink1</v>
      </c>
      <c r="AU2299" s="12" t="str">
        <f>HYPERLINK("https://www.google.iq/maps/search/+31.7406,44.6088/@31.7406,44.6088,14z?hl=en","Maplink2")</f>
        <v>Maplink2</v>
      </c>
      <c r="AV2299" s="12" t="str">
        <f>HYPERLINK("http://www.bing.com/maps/?lvl=14&amp;sty=h&amp;cp=31.7406~44.6088&amp;sp=point.31.7406_44.6088","Maplink3")</f>
        <v>Maplink3</v>
      </c>
    </row>
    <row r="2300" spans="1:48" ht="15" customHeight="1" x14ac:dyDescent="0.25">
      <c r="A2300" s="19">
        <v>25560</v>
      </c>
      <c r="B2300" s="20" t="s">
        <v>22</v>
      </c>
      <c r="C2300" s="20" t="s">
        <v>4056</v>
      </c>
      <c r="D2300" s="20" t="s">
        <v>4089</v>
      </c>
      <c r="E2300" s="20" t="s">
        <v>4090</v>
      </c>
      <c r="F2300" s="20">
        <v>31.973253790000001</v>
      </c>
      <c r="G2300" s="20">
        <v>44.623858239999997</v>
      </c>
      <c r="H2300" s="22">
        <v>9</v>
      </c>
      <c r="I2300" s="22">
        <v>54</v>
      </c>
      <c r="J2300" s="21"/>
      <c r="K2300" s="21"/>
      <c r="L2300" s="21"/>
      <c r="M2300" s="21"/>
      <c r="N2300" s="21"/>
      <c r="O2300" s="21"/>
      <c r="P2300" s="21"/>
      <c r="Q2300" s="21"/>
      <c r="R2300" s="21">
        <v>1</v>
      </c>
      <c r="S2300" s="21"/>
      <c r="T2300" s="21"/>
      <c r="U2300" s="21"/>
      <c r="V2300" s="21">
        <v>8</v>
      </c>
      <c r="W2300" s="21"/>
      <c r="X2300" s="21"/>
      <c r="Y2300" s="21"/>
      <c r="Z2300" s="21"/>
      <c r="AA2300" s="21"/>
      <c r="AB2300" s="21"/>
      <c r="AC2300" s="21">
        <v>3</v>
      </c>
      <c r="AD2300" s="21"/>
      <c r="AE2300" s="21"/>
      <c r="AF2300" s="21"/>
      <c r="AG2300" s="21"/>
      <c r="AH2300" s="21">
        <v>6</v>
      </c>
      <c r="AI2300" s="21"/>
      <c r="AJ2300" s="21"/>
      <c r="AK2300" s="21"/>
      <c r="AL2300" s="21"/>
      <c r="AM2300" s="21">
        <v>1</v>
      </c>
      <c r="AN2300" s="21">
        <v>8</v>
      </c>
      <c r="AO2300" s="21"/>
      <c r="AP2300" s="21"/>
      <c r="AQ2300" s="21"/>
      <c r="AR2300" s="21"/>
      <c r="AS2300" s="21"/>
      <c r="AT2300" s="12" t="str">
        <f>HYPERLINK("http://www.openstreetmap.org/?mlat=31.9733&amp;mlon=44.6239&amp;zoom=12#map=12/31.9733/44.6239","Maplink1")</f>
        <v>Maplink1</v>
      </c>
      <c r="AU2300" s="12" t="str">
        <f>HYPERLINK("https://www.google.iq/maps/search/+31.9733,44.6239/@31.9733,44.6239,14z?hl=en","Maplink2")</f>
        <v>Maplink2</v>
      </c>
      <c r="AV2300" s="12" t="str">
        <f>HYPERLINK("http://www.bing.com/maps/?lvl=14&amp;sty=h&amp;cp=31.9733~44.6239&amp;sp=point.31.9733_44.6239","Maplink3")</f>
        <v>Maplink3</v>
      </c>
    </row>
    <row r="2301" spans="1:48" ht="15" customHeight="1" x14ac:dyDescent="0.25">
      <c r="A2301" s="19">
        <v>25559</v>
      </c>
      <c r="B2301" s="20" t="s">
        <v>22</v>
      </c>
      <c r="C2301" s="20" t="s">
        <v>4056</v>
      </c>
      <c r="D2301" s="20" t="s">
        <v>4091</v>
      </c>
      <c r="E2301" s="20" t="s">
        <v>4092</v>
      </c>
      <c r="F2301" s="20">
        <v>31.971412829999998</v>
      </c>
      <c r="G2301" s="20">
        <v>44.608760920000002</v>
      </c>
      <c r="H2301" s="22">
        <v>6</v>
      </c>
      <c r="I2301" s="22">
        <v>36</v>
      </c>
      <c r="J2301" s="21"/>
      <c r="K2301" s="21"/>
      <c r="L2301" s="21">
        <v>2</v>
      </c>
      <c r="M2301" s="21"/>
      <c r="N2301" s="21"/>
      <c r="O2301" s="21">
        <v>4</v>
      </c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>
        <v>3</v>
      </c>
      <c r="AD2301" s="21"/>
      <c r="AE2301" s="21"/>
      <c r="AF2301" s="21"/>
      <c r="AG2301" s="21"/>
      <c r="AH2301" s="21">
        <v>3</v>
      </c>
      <c r="AI2301" s="21"/>
      <c r="AJ2301" s="21"/>
      <c r="AK2301" s="21"/>
      <c r="AL2301" s="21"/>
      <c r="AM2301" s="21">
        <v>4</v>
      </c>
      <c r="AN2301" s="21">
        <v>2</v>
      </c>
      <c r="AO2301" s="21"/>
      <c r="AP2301" s="21"/>
      <c r="AQ2301" s="21"/>
      <c r="AR2301" s="21"/>
      <c r="AS2301" s="21"/>
      <c r="AT2301" s="12" t="str">
        <f>HYPERLINK("http://www.openstreetmap.org/?mlat=31.9714&amp;mlon=44.6088&amp;zoom=12#map=12/31.9714/44.6088","Maplink1")</f>
        <v>Maplink1</v>
      </c>
      <c r="AU2301" s="12" t="str">
        <f>HYPERLINK("https://www.google.iq/maps/search/+31.9714,44.6088/@31.9714,44.6088,14z?hl=en","Maplink2")</f>
        <v>Maplink2</v>
      </c>
      <c r="AV2301" s="12" t="str">
        <f>HYPERLINK("http://www.bing.com/maps/?lvl=14&amp;sty=h&amp;cp=31.9714~44.6088&amp;sp=point.31.9714_44.6088","Maplink3")</f>
        <v>Maplink3</v>
      </c>
    </row>
    <row r="2302" spans="1:48" ht="15" customHeight="1" x14ac:dyDescent="0.25">
      <c r="A2302" s="19">
        <v>25859</v>
      </c>
      <c r="B2302" s="20" t="s">
        <v>22</v>
      </c>
      <c r="C2302" s="20" t="s">
        <v>4056</v>
      </c>
      <c r="D2302" s="20" t="s">
        <v>4093</v>
      </c>
      <c r="E2302" s="20" t="s">
        <v>4094</v>
      </c>
      <c r="F2302" s="20">
        <v>31.769396010800001</v>
      </c>
      <c r="G2302" s="20">
        <v>44.622037773999999</v>
      </c>
      <c r="H2302" s="22">
        <v>11</v>
      </c>
      <c r="I2302" s="22">
        <v>66</v>
      </c>
      <c r="J2302" s="21"/>
      <c r="K2302" s="21"/>
      <c r="L2302" s="21"/>
      <c r="M2302" s="21"/>
      <c r="N2302" s="21"/>
      <c r="O2302" s="21"/>
      <c r="P2302" s="21"/>
      <c r="Q2302" s="21"/>
      <c r="R2302" s="21">
        <v>1</v>
      </c>
      <c r="S2302" s="21"/>
      <c r="T2302" s="21"/>
      <c r="U2302" s="21"/>
      <c r="V2302" s="21">
        <v>10</v>
      </c>
      <c r="W2302" s="21"/>
      <c r="X2302" s="21"/>
      <c r="Y2302" s="21"/>
      <c r="Z2302" s="21"/>
      <c r="AA2302" s="21"/>
      <c r="AB2302" s="21"/>
      <c r="AC2302" s="21">
        <v>4</v>
      </c>
      <c r="AD2302" s="21"/>
      <c r="AE2302" s="21"/>
      <c r="AF2302" s="21"/>
      <c r="AG2302" s="21">
        <v>7</v>
      </c>
      <c r="AH2302" s="21"/>
      <c r="AI2302" s="21"/>
      <c r="AJ2302" s="21"/>
      <c r="AK2302" s="21"/>
      <c r="AL2302" s="21"/>
      <c r="AM2302" s="21">
        <v>1</v>
      </c>
      <c r="AN2302" s="21">
        <v>10</v>
      </c>
      <c r="AO2302" s="21"/>
      <c r="AP2302" s="21"/>
      <c r="AQ2302" s="21"/>
      <c r="AR2302" s="21"/>
      <c r="AS2302" s="21"/>
      <c r="AT2302" s="12" t="str">
        <f>HYPERLINK("http://www.openstreetmap.org/?mlat=31.7694&amp;mlon=44.622&amp;zoom=12#map=12/31.7694/44.622","Maplink1")</f>
        <v>Maplink1</v>
      </c>
      <c r="AU2302" s="12" t="str">
        <f>HYPERLINK("https://www.google.iq/maps/search/+31.7694,44.622/@31.7694,44.622,14z?hl=en","Maplink2")</f>
        <v>Maplink2</v>
      </c>
      <c r="AV2302" s="12" t="str">
        <f>HYPERLINK("http://www.bing.com/maps/?lvl=14&amp;sty=h&amp;cp=31.7694~44.622&amp;sp=point.31.7694_44.622","Maplink3")</f>
        <v>Maplink3</v>
      </c>
    </row>
    <row r="2303" spans="1:48" ht="15" customHeight="1" x14ac:dyDescent="0.25">
      <c r="A2303" s="19">
        <v>2943</v>
      </c>
      <c r="B2303" s="20" t="s">
        <v>22</v>
      </c>
      <c r="C2303" s="20" t="s">
        <v>4095</v>
      </c>
      <c r="D2303" s="20" t="s">
        <v>4096</v>
      </c>
      <c r="E2303" s="20" t="s">
        <v>4097</v>
      </c>
      <c r="F2303" s="20">
        <v>32.002865080699998</v>
      </c>
      <c r="G2303" s="20">
        <v>44.996431488500001</v>
      </c>
      <c r="H2303" s="22">
        <v>32</v>
      </c>
      <c r="I2303" s="22">
        <v>192</v>
      </c>
      <c r="J2303" s="21"/>
      <c r="K2303" s="21"/>
      <c r="L2303" s="21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>
        <v>32</v>
      </c>
      <c r="W2303" s="21"/>
      <c r="X2303" s="21"/>
      <c r="Y2303" s="21"/>
      <c r="Z2303" s="21"/>
      <c r="AA2303" s="21"/>
      <c r="AB2303" s="21"/>
      <c r="AC2303" s="21">
        <v>9</v>
      </c>
      <c r="AD2303" s="21"/>
      <c r="AE2303" s="21"/>
      <c r="AF2303" s="21"/>
      <c r="AG2303" s="21">
        <v>9</v>
      </c>
      <c r="AH2303" s="21">
        <v>14</v>
      </c>
      <c r="AI2303" s="21"/>
      <c r="AJ2303" s="21"/>
      <c r="AK2303" s="21"/>
      <c r="AL2303" s="21"/>
      <c r="AM2303" s="21">
        <v>2</v>
      </c>
      <c r="AN2303" s="21">
        <v>30</v>
      </c>
      <c r="AO2303" s="21"/>
      <c r="AP2303" s="21"/>
      <c r="AQ2303" s="21"/>
      <c r="AR2303" s="21"/>
      <c r="AS2303" s="21"/>
      <c r="AT2303" s="12" t="str">
        <f>HYPERLINK("http://www.openstreetmap.org/?mlat=32.0029&amp;mlon=44.9964&amp;zoom=12#map=12/32.0029/44.9964","Maplink1")</f>
        <v>Maplink1</v>
      </c>
      <c r="AU2303" s="12" t="str">
        <f>HYPERLINK("https://www.google.iq/maps/search/+32.0029,44.9964/@32.0029,44.9964,14z?hl=en","Maplink2")</f>
        <v>Maplink2</v>
      </c>
      <c r="AV2303" s="12" t="str">
        <f>HYPERLINK("http://www.bing.com/maps/?lvl=14&amp;sty=h&amp;cp=32.0029~44.9964&amp;sp=point.32.0029_44.9964","Maplink3")</f>
        <v>Maplink3</v>
      </c>
    </row>
    <row r="2304" spans="1:48" ht="15" customHeight="1" x14ac:dyDescent="0.25">
      <c r="A2304" s="19">
        <v>24905</v>
      </c>
      <c r="B2304" s="20" t="s">
        <v>22</v>
      </c>
      <c r="C2304" s="20" t="s">
        <v>4095</v>
      </c>
      <c r="D2304" s="20" t="s">
        <v>4098</v>
      </c>
      <c r="E2304" s="20" t="s">
        <v>4099</v>
      </c>
      <c r="F2304" s="20">
        <v>32.045078437000001</v>
      </c>
      <c r="G2304" s="20">
        <v>44.775888647999999</v>
      </c>
      <c r="H2304" s="22">
        <v>26</v>
      </c>
      <c r="I2304" s="22">
        <v>156</v>
      </c>
      <c r="J2304" s="21"/>
      <c r="K2304" s="21"/>
      <c r="L2304" s="21"/>
      <c r="M2304" s="21"/>
      <c r="N2304" s="21"/>
      <c r="O2304" s="21"/>
      <c r="P2304" s="21"/>
      <c r="Q2304" s="21"/>
      <c r="R2304" s="21">
        <v>1</v>
      </c>
      <c r="S2304" s="21"/>
      <c r="T2304" s="21"/>
      <c r="U2304" s="21"/>
      <c r="V2304" s="21">
        <v>25</v>
      </c>
      <c r="W2304" s="21"/>
      <c r="X2304" s="21"/>
      <c r="Y2304" s="21"/>
      <c r="Z2304" s="21"/>
      <c r="AA2304" s="21"/>
      <c r="AB2304" s="21"/>
      <c r="AC2304" s="21">
        <v>3</v>
      </c>
      <c r="AD2304" s="21"/>
      <c r="AE2304" s="21"/>
      <c r="AF2304" s="21"/>
      <c r="AG2304" s="21">
        <v>12</v>
      </c>
      <c r="AH2304" s="21">
        <v>5</v>
      </c>
      <c r="AI2304" s="21"/>
      <c r="AJ2304" s="21">
        <v>6</v>
      </c>
      <c r="AK2304" s="21"/>
      <c r="AL2304" s="21"/>
      <c r="AM2304" s="21">
        <v>20</v>
      </c>
      <c r="AN2304" s="21">
        <v>6</v>
      </c>
      <c r="AO2304" s="21"/>
      <c r="AP2304" s="21"/>
      <c r="AQ2304" s="21"/>
      <c r="AR2304" s="21"/>
      <c r="AS2304" s="21"/>
      <c r="AT2304" s="12" t="str">
        <f>HYPERLINK("http://www.openstreetmap.org/?mlat=32.0451&amp;mlon=44.7759&amp;zoom=12#map=12/32.0451/44.7759","Maplink1")</f>
        <v>Maplink1</v>
      </c>
      <c r="AU2304" s="12" t="str">
        <f>HYPERLINK("https://www.google.iq/maps/search/+32.0451,44.7759/@32.0451,44.7759,14z?hl=en","Maplink2")</f>
        <v>Maplink2</v>
      </c>
      <c r="AV2304" s="12" t="str">
        <f>HYPERLINK("http://www.bing.com/maps/?lvl=14&amp;sty=h&amp;cp=32.0451~44.7759&amp;sp=point.32.0451_44.7759","Maplink3")</f>
        <v>Maplink3</v>
      </c>
    </row>
    <row r="2305" spans="1:48" ht="15" customHeight="1" x14ac:dyDescent="0.25">
      <c r="A2305" s="19">
        <v>22326</v>
      </c>
      <c r="B2305" s="20" t="s">
        <v>22</v>
      </c>
      <c r="C2305" s="20" t="s">
        <v>4095</v>
      </c>
      <c r="D2305" s="20" t="s">
        <v>4100</v>
      </c>
      <c r="E2305" s="20" t="s">
        <v>4101</v>
      </c>
      <c r="F2305" s="20">
        <v>31.982770389999999</v>
      </c>
      <c r="G2305" s="20">
        <v>44.971936130000003</v>
      </c>
      <c r="H2305" s="22">
        <v>210</v>
      </c>
      <c r="I2305" s="22">
        <v>1260</v>
      </c>
      <c r="J2305" s="21"/>
      <c r="K2305" s="21"/>
      <c r="L2305" s="21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>
        <v>210</v>
      </c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>
        <v>210</v>
      </c>
      <c r="AG2305" s="21"/>
      <c r="AH2305" s="21"/>
      <c r="AI2305" s="21"/>
      <c r="AJ2305" s="21"/>
      <c r="AK2305" s="21"/>
      <c r="AL2305" s="21"/>
      <c r="AM2305" s="21"/>
      <c r="AN2305" s="21">
        <v>210</v>
      </c>
      <c r="AO2305" s="21"/>
      <c r="AP2305" s="21"/>
      <c r="AQ2305" s="21"/>
      <c r="AR2305" s="21"/>
      <c r="AS2305" s="21"/>
      <c r="AT2305" s="12" t="str">
        <f>HYPERLINK("http://www.openstreetmap.org/?mlat=31.9828&amp;mlon=44.9719&amp;zoom=12#map=12/31.9828/44.9719","Maplink1")</f>
        <v>Maplink1</v>
      </c>
      <c r="AU2305" s="12" t="str">
        <f>HYPERLINK("https://www.google.iq/maps/search/+31.9828,44.9719/@31.9828,44.9719,14z?hl=en","Maplink2")</f>
        <v>Maplink2</v>
      </c>
      <c r="AV2305" s="12" t="str">
        <f>HYPERLINK("http://www.bing.com/maps/?lvl=14&amp;sty=h&amp;cp=31.9828~44.9719&amp;sp=point.31.9828_44.9719","Maplink3")</f>
        <v>Maplink3</v>
      </c>
    </row>
    <row r="2306" spans="1:48" ht="15" customHeight="1" x14ac:dyDescent="0.25">
      <c r="A2306" s="19">
        <v>2672</v>
      </c>
      <c r="B2306" s="20" t="s">
        <v>22</v>
      </c>
      <c r="C2306" s="20" t="s">
        <v>4095</v>
      </c>
      <c r="D2306" s="20" t="s">
        <v>4102</v>
      </c>
      <c r="E2306" s="20" t="s">
        <v>4103</v>
      </c>
      <c r="F2306" s="20">
        <v>31.94491382</v>
      </c>
      <c r="G2306" s="20">
        <v>44.907615579999998</v>
      </c>
      <c r="H2306" s="22">
        <v>13</v>
      </c>
      <c r="I2306" s="22">
        <v>78</v>
      </c>
      <c r="J2306" s="21"/>
      <c r="K2306" s="21"/>
      <c r="L2306" s="21"/>
      <c r="M2306" s="21"/>
      <c r="N2306" s="21"/>
      <c r="O2306" s="21"/>
      <c r="P2306" s="21"/>
      <c r="Q2306" s="21"/>
      <c r="R2306" s="21">
        <v>3</v>
      </c>
      <c r="S2306" s="21"/>
      <c r="T2306" s="21"/>
      <c r="U2306" s="21"/>
      <c r="V2306" s="21">
        <v>10</v>
      </c>
      <c r="W2306" s="21"/>
      <c r="X2306" s="21"/>
      <c r="Y2306" s="21"/>
      <c r="Z2306" s="21"/>
      <c r="AA2306" s="21"/>
      <c r="AB2306" s="21"/>
      <c r="AC2306" s="21">
        <v>5</v>
      </c>
      <c r="AD2306" s="21"/>
      <c r="AE2306" s="21"/>
      <c r="AF2306" s="21"/>
      <c r="AG2306" s="21">
        <v>8</v>
      </c>
      <c r="AH2306" s="21"/>
      <c r="AI2306" s="21"/>
      <c r="AJ2306" s="21"/>
      <c r="AK2306" s="21"/>
      <c r="AL2306" s="21"/>
      <c r="AM2306" s="21">
        <v>6</v>
      </c>
      <c r="AN2306" s="21">
        <v>7</v>
      </c>
      <c r="AO2306" s="21"/>
      <c r="AP2306" s="21"/>
      <c r="AQ2306" s="21"/>
      <c r="AR2306" s="21"/>
      <c r="AS2306" s="21"/>
      <c r="AT2306" s="12" t="str">
        <f>HYPERLINK("http://www.openstreetmap.org/?mlat=31.9449&amp;mlon=44.9076&amp;zoom=12#map=12/31.9449/44.9076","Maplink1")</f>
        <v>Maplink1</v>
      </c>
      <c r="AU2306" s="12" t="str">
        <f>HYPERLINK("https://www.google.iq/maps/search/+31.9449,44.9076/@31.9449,44.9076,14z?hl=en","Maplink2")</f>
        <v>Maplink2</v>
      </c>
      <c r="AV2306" s="12" t="str">
        <f>HYPERLINK("http://www.bing.com/maps/?lvl=14&amp;sty=h&amp;cp=31.9449~44.9076&amp;sp=point.31.9449_44.9076","Maplink3")</f>
        <v>Maplink3</v>
      </c>
    </row>
    <row r="2307" spans="1:48" ht="15" customHeight="1" x14ac:dyDescent="0.25">
      <c r="A2307" s="19">
        <v>3248</v>
      </c>
      <c r="B2307" s="20" t="s">
        <v>22</v>
      </c>
      <c r="C2307" s="20" t="s">
        <v>4095</v>
      </c>
      <c r="D2307" s="20" t="s">
        <v>4104</v>
      </c>
      <c r="E2307" s="20" t="s">
        <v>4105</v>
      </c>
      <c r="F2307" s="20">
        <v>32.160423950000002</v>
      </c>
      <c r="G2307" s="20">
        <v>44.893034180000001</v>
      </c>
      <c r="H2307" s="22">
        <v>9</v>
      </c>
      <c r="I2307" s="22">
        <v>54</v>
      </c>
      <c r="J2307" s="21"/>
      <c r="K2307" s="21"/>
      <c r="L2307" s="21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>
        <v>9</v>
      </c>
      <c r="W2307" s="21"/>
      <c r="X2307" s="21"/>
      <c r="Y2307" s="21"/>
      <c r="Z2307" s="21"/>
      <c r="AA2307" s="21"/>
      <c r="AB2307" s="21"/>
      <c r="AC2307" s="21">
        <v>1</v>
      </c>
      <c r="AD2307" s="21"/>
      <c r="AE2307" s="21"/>
      <c r="AF2307" s="21"/>
      <c r="AG2307" s="21">
        <v>5</v>
      </c>
      <c r="AH2307" s="21">
        <v>3</v>
      </c>
      <c r="AI2307" s="21"/>
      <c r="AJ2307" s="21"/>
      <c r="AK2307" s="21"/>
      <c r="AL2307" s="21"/>
      <c r="AM2307" s="21">
        <v>2</v>
      </c>
      <c r="AN2307" s="21">
        <v>7</v>
      </c>
      <c r="AO2307" s="21"/>
      <c r="AP2307" s="21"/>
      <c r="AQ2307" s="21"/>
      <c r="AR2307" s="21"/>
      <c r="AS2307" s="21"/>
      <c r="AT2307" s="12" t="str">
        <f>HYPERLINK("http://www.openstreetmap.org/?mlat=32.1604&amp;mlon=44.893&amp;zoom=12#map=12/32.1604/44.893","Maplink1")</f>
        <v>Maplink1</v>
      </c>
      <c r="AU2307" s="12" t="str">
        <f>HYPERLINK("https://www.google.iq/maps/search/+32.1604,44.893/@32.1604,44.893,14z?hl=en","Maplink2")</f>
        <v>Maplink2</v>
      </c>
      <c r="AV2307" s="12" t="str">
        <f>HYPERLINK("http://www.bing.com/maps/?lvl=14&amp;sty=h&amp;cp=32.1604~44.893&amp;sp=point.32.1604_44.893","Maplink3")</f>
        <v>Maplink3</v>
      </c>
    </row>
    <row r="2308" spans="1:48" ht="15" customHeight="1" x14ac:dyDescent="0.25">
      <c r="A2308" s="19">
        <v>3250</v>
      </c>
      <c r="B2308" s="20" t="s">
        <v>22</v>
      </c>
      <c r="C2308" s="20" t="s">
        <v>4095</v>
      </c>
      <c r="D2308" s="20" t="s">
        <v>4106</v>
      </c>
      <c r="E2308" s="20" t="s">
        <v>4107</v>
      </c>
      <c r="F2308" s="20">
        <v>32.18098543</v>
      </c>
      <c r="G2308" s="20">
        <v>44.861391900000001</v>
      </c>
      <c r="H2308" s="22">
        <v>5</v>
      </c>
      <c r="I2308" s="22">
        <v>30</v>
      </c>
      <c r="J2308" s="21"/>
      <c r="K2308" s="21"/>
      <c r="L2308" s="21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>
        <v>5</v>
      </c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21">
        <v>5</v>
      </c>
      <c r="AH2308" s="21"/>
      <c r="AI2308" s="21"/>
      <c r="AJ2308" s="21"/>
      <c r="AK2308" s="21"/>
      <c r="AL2308" s="21"/>
      <c r="AM2308" s="21"/>
      <c r="AN2308" s="21">
        <v>5</v>
      </c>
      <c r="AO2308" s="21"/>
      <c r="AP2308" s="21"/>
      <c r="AQ2308" s="21"/>
      <c r="AR2308" s="21"/>
      <c r="AS2308" s="21"/>
      <c r="AT2308" s="12" t="str">
        <f>HYPERLINK("http://www.openstreetmap.org/?mlat=32.181&amp;mlon=44.8614&amp;zoom=12#map=12/32.181/44.8614","Maplink1")</f>
        <v>Maplink1</v>
      </c>
      <c r="AU2308" s="12" t="str">
        <f>HYPERLINK("https://www.google.iq/maps/search/+32.181,44.8614/@32.181,44.8614,14z?hl=en","Maplink2")</f>
        <v>Maplink2</v>
      </c>
      <c r="AV2308" s="12" t="str">
        <f>HYPERLINK("http://www.bing.com/maps/?lvl=14&amp;sty=h&amp;cp=32.181~44.8614&amp;sp=point.32.181_44.8614","Maplink3")</f>
        <v>Maplink3</v>
      </c>
    </row>
    <row r="2309" spans="1:48" ht="15" customHeight="1" x14ac:dyDescent="0.25">
      <c r="A2309" s="19">
        <v>2892</v>
      </c>
      <c r="B2309" s="20" t="s">
        <v>22</v>
      </c>
      <c r="C2309" s="20" t="s">
        <v>4095</v>
      </c>
      <c r="D2309" s="20" t="s">
        <v>4108</v>
      </c>
      <c r="E2309" s="20" t="s">
        <v>4109</v>
      </c>
      <c r="F2309" s="20">
        <v>32.16582906</v>
      </c>
      <c r="G2309" s="20">
        <v>44.922499670000001</v>
      </c>
      <c r="H2309" s="22">
        <v>3</v>
      </c>
      <c r="I2309" s="22">
        <v>18</v>
      </c>
      <c r="J2309" s="21"/>
      <c r="K2309" s="21"/>
      <c r="L2309" s="21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>
        <v>3</v>
      </c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21"/>
      <c r="AH2309" s="21">
        <v>3</v>
      </c>
      <c r="AI2309" s="21"/>
      <c r="AJ2309" s="21"/>
      <c r="AK2309" s="21"/>
      <c r="AL2309" s="21"/>
      <c r="AM2309" s="21">
        <v>1</v>
      </c>
      <c r="AN2309" s="21">
        <v>2</v>
      </c>
      <c r="AO2309" s="21"/>
      <c r="AP2309" s="21"/>
      <c r="AQ2309" s="21"/>
      <c r="AR2309" s="21"/>
      <c r="AS2309" s="21"/>
      <c r="AT2309" s="12" t="str">
        <f>HYPERLINK("http://www.openstreetmap.org/?mlat=32.1658&amp;mlon=44.9225&amp;zoom=12#map=12/32.1658/44.9225","Maplink1")</f>
        <v>Maplink1</v>
      </c>
      <c r="AU2309" s="12" t="str">
        <f>HYPERLINK("https://www.google.iq/maps/search/+32.1658,44.9225/@32.1658,44.9225,14z?hl=en","Maplink2")</f>
        <v>Maplink2</v>
      </c>
      <c r="AV2309" s="12" t="str">
        <f>HYPERLINK("http://www.bing.com/maps/?lvl=14&amp;sty=h&amp;cp=32.1658~44.9225&amp;sp=point.32.1658_44.9225","Maplink3")</f>
        <v>Maplink3</v>
      </c>
    </row>
    <row r="2310" spans="1:48" ht="15" customHeight="1" x14ac:dyDescent="0.25">
      <c r="A2310" s="19">
        <v>25071</v>
      </c>
      <c r="B2310" s="20" t="s">
        <v>22</v>
      </c>
      <c r="C2310" s="20" t="s">
        <v>4095</v>
      </c>
      <c r="D2310" s="20" t="s">
        <v>4110</v>
      </c>
      <c r="E2310" s="20" t="s">
        <v>4111</v>
      </c>
      <c r="F2310" s="20">
        <v>32.028650370000001</v>
      </c>
      <c r="G2310" s="20">
        <v>44.79539355</v>
      </c>
      <c r="H2310" s="22">
        <v>16</v>
      </c>
      <c r="I2310" s="22">
        <v>96</v>
      </c>
      <c r="J2310" s="21"/>
      <c r="K2310" s="21"/>
      <c r="L2310" s="21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>
        <v>16</v>
      </c>
      <c r="W2310" s="21"/>
      <c r="X2310" s="21"/>
      <c r="Y2310" s="21"/>
      <c r="Z2310" s="21"/>
      <c r="AA2310" s="21"/>
      <c r="AB2310" s="21"/>
      <c r="AC2310" s="21">
        <v>2</v>
      </c>
      <c r="AD2310" s="21"/>
      <c r="AE2310" s="21"/>
      <c r="AF2310" s="21"/>
      <c r="AG2310" s="21">
        <v>12</v>
      </c>
      <c r="AH2310" s="21">
        <v>2</v>
      </c>
      <c r="AI2310" s="21"/>
      <c r="AJ2310" s="21"/>
      <c r="AK2310" s="21"/>
      <c r="AL2310" s="21"/>
      <c r="AM2310" s="21">
        <v>6</v>
      </c>
      <c r="AN2310" s="21">
        <v>10</v>
      </c>
      <c r="AO2310" s="21"/>
      <c r="AP2310" s="21"/>
      <c r="AQ2310" s="21"/>
      <c r="AR2310" s="21"/>
      <c r="AS2310" s="21"/>
      <c r="AT2310" s="12" t="str">
        <f>HYPERLINK("http://www.openstreetmap.org/?mlat=32.0287&amp;mlon=44.7954&amp;zoom=12#map=12/32.0287/44.7954","Maplink1")</f>
        <v>Maplink1</v>
      </c>
      <c r="AU2310" s="12" t="str">
        <f>HYPERLINK("https://www.google.iq/maps/search/+32.0287,44.7954/@32.0287,44.7954,14z?hl=en","Maplink2")</f>
        <v>Maplink2</v>
      </c>
      <c r="AV2310" s="12" t="str">
        <f>HYPERLINK("http://www.bing.com/maps/?lvl=14&amp;sty=h&amp;cp=32.0287~44.7954&amp;sp=point.32.0287_44.7954","Maplink3")</f>
        <v>Maplink3</v>
      </c>
    </row>
    <row r="2311" spans="1:48" ht="15" customHeight="1" x14ac:dyDescent="0.25">
      <c r="A2311" s="19">
        <v>3381</v>
      </c>
      <c r="B2311" s="20" t="s">
        <v>22</v>
      </c>
      <c r="C2311" s="20" t="s">
        <v>4095</v>
      </c>
      <c r="D2311" s="20" t="s">
        <v>4112</v>
      </c>
      <c r="E2311" s="20" t="s">
        <v>4113</v>
      </c>
      <c r="F2311" s="20">
        <v>31.977144460000002</v>
      </c>
      <c r="G2311" s="20">
        <v>44.948074609999999</v>
      </c>
      <c r="H2311" s="22">
        <v>7</v>
      </c>
      <c r="I2311" s="22">
        <v>42</v>
      </c>
      <c r="J2311" s="21"/>
      <c r="K2311" s="21"/>
      <c r="L2311" s="21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>
        <v>7</v>
      </c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21"/>
      <c r="AH2311" s="21">
        <v>7</v>
      </c>
      <c r="AI2311" s="21"/>
      <c r="AJ2311" s="21"/>
      <c r="AK2311" s="21"/>
      <c r="AL2311" s="21"/>
      <c r="AM2311" s="21"/>
      <c r="AN2311" s="21">
        <v>7</v>
      </c>
      <c r="AO2311" s="21"/>
      <c r="AP2311" s="21"/>
      <c r="AQ2311" s="21"/>
      <c r="AR2311" s="21"/>
      <c r="AS2311" s="21"/>
      <c r="AT2311" s="12" t="str">
        <f>HYPERLINK("http://www.openstreetmap.org/?mlat=31.9771&amp;mlon=44.9481&amp;zoom=12#map=12/31.9771/44.9481","Maplink1")</f>
        <v>Maplink1</v>
      </c>
      <c r="AU2311" s="12" t="str">
        <f>HYPERLINK("https://www.google.iq/maps/search/+31.9771,44.9481/@31.9771,44.9481,14z?hl=en","Maplink2")</f>
        <v>Maplink2</v>
      </c>
      <c r="AV2311" s="12" t="str">
        <f>HYPERLINK("http://www.bing.com/maps/?lvl=14&amp;sty=h&amp;cp=31.9771~44.9481&amp;sp=point.31.9771_44.9481","Maplink3")</f>
        <v>Maplink3</v>
      </c>
    </row>
    <row r="2312" spans="1:48" ht="15" customHeight="1" x14ac:dyDescent="0.25">
      <c r="A2312" s="19">
        <v>25288</v>
      </c>
      <c r="B2312" s="20" t="s">
        <v>22</v>
      </c>
      <c r="C2312" s="20" t="s">
        <v>4095</v>
      </c>
      <c r="D2312" s="20" t="s">
        <v>4114</v>
      </c>
      <c r="E2312" s="20" t="s">
        <v>4115</v>
      </c>
      <c r="F2312" s="20">
        <v>32.014960669899999</v>
      </c>
      <c r="G2312" s="20">
        <v>44.931566203000003</v>
      </c>
      <c r="H2312" s="22">
        <v>10</v>
      </c>
      <c r="I2312" s="22">
        <v>60</v>
      </c>
      <c r="J2312" s="21"/>
      <c r="K2312" s="21"/>
      <c r="L2312" s="21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>
        <v>10</v>
      </c>
      <c r="W2312" s="21"/>
      <c r="X2312" s="21"/>
      <c r="Y2312" s="21"/>
      <c r="Z2312" s="21"/>
      <c r="AA2312" s="21"/>
      <c r="AB2312" s="21"/>
      <c r="AC2312" s="21">
        <v>7</v>
      </c>
      <c r="AD2312" s="21"/>
      <c r="AE2312" s="21"/>
      <c r="AF2312" s="21"/>
      <c r="AG2312" s="21"/>
      <c r="AH2312" s="21">
        <v>3</v>
      </c>
      <c r="AI2312" s="21"/>
      <c r="AJ2312" s="21"/>
      <c r="AK2312" s="21"/>
      <c r="AL2312" s="21"/>
      <c r="AM2312" s="21">
        <v>7</v>
      </c>
      <c r="AN2312" s="21">
        <v>3</v>
      </c>
      <c r="AO2312" s="21"/>
      <c r="AP2312" s="21"/>
      <c r="AQ2312" s="21"/>
      <c r="AR2312" s="21"/>
      <c r="AS2312" s="21"/>
      <c r="AT2312" s="12" t="str">
        <f>HYPERLINK("http://www.openstreetmap.org/?mlat=32.015&amp;mlon=44.9316&amp;zoom=12#map=12/32.015/44.9316","Maplink1")</f>
        <v>Maplink1</v>
      </c>
      <c r="AU2312" s="12" t="str">
        <f>HYPERLINK("https://www.google.iq/maps/search/+32.015,44.9316/@32.015,44.9316,14z?hl=en","Maplink2")</f>
        <v>Maplink2</v>
      </c>
      <c r="AV2312" s="12" t="str">
        <f>HYPERLINK("http://www.bing.com/maps/?lvl=14&amp;sty=h&amp;cp=32.015~44.9316&amp;sp=point.32.015_44.9316","Maplink3")</f>
        <v>Maplink3</v>
      </c>
    </row>
    <row r="2313" spans="1:48" ht="15" customHeight="1" x14ac:dyDescent="0.25">
      <c r="A2313" s="19">
        <v>25957</v>
      </c>
      <c r="B2313" s="20" t="s">
        <v>22</v>
      </c>
      <c r="C2313" s="20" t="s">
        <v>4095</v>
      </c>
      <c r="D2313" s="20" t="s">
        <v>4116</v>
      </c>
      <c r="E2313" s="20" t="s">
        <v>4117</v>
      </c>
      <c r="F2313" s="20">
        <v>31.984753000000001</v>
      </c>
      <c r="G2313" s="20">
        <v>44.905565000000003</v>
      </c>
      <c r="H2313" s="22">
        <v>10</v>
      </c>
      <c r="I2313" s="22">
        <v>60</v>
      </c>
      <c r="J2313" s="21">
        <v>2</v>
      </c>
      <c r="K2313" s="21"/>
      <c r="L2313" s="21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>
        <v>8</v>
      </c>
      <c r="W2313" s="21"/>
      <c r="X2313" s="21"/>
      <c r="Y2313" s="21"/>
      <c r="Z2313" s="21"/>
      <c r="AA2313" s="21"/>
      <c r="AB2313" s="21"/>
      <c r="AC2313" s="21">
        <v>5</v>
      </c>
      <c r="AD2313" s="21"/>
      <c r="AE2313" s="21"/>
      <c r="AF2313" s="21"/>
      <c r="AG2313" s="21"/>
      <c r="AH2313" s="21">
        <v>5</v>
      </c>
      <c r="AI2313" s="21"/>
      <c r="AJ2313" s="21"/>
      <c r="AK2313" s="21"/>
      <c r="AL2313" s="21"/>
      <c r="AM2313" s="21">
        <v>5</v>
      </c>
      <c r="AN2313" s="21">
        <v>3</v>
      </c>
      <c r="AO2313" s="21"/>
      <c r="AP2313" s="21">
        <v>2</v>
      </c>
      <c r="AQ2313" s="21"/>
      <c r="AR2313" s="21"/>
      <c r="AS2313" s="21"/>
      <c r="AT2313" s="12" t="str">
        <f>HYPERLINK("http://www.openstreetmap.org/?mlat=31.9848&amp;mlon=44.9056&amp;zoom=12#map=12/31.9848/44.9056","Maplink1")</f>
        <v>Maplink1</v>
      </c>
      <c r="AU2313" s="12" t="str">
        <f>HYPERLINK("https://www.google.iq/maps/search/+31.9848,44.9056/@31.9848,44.9056,14z?hl=en","Maplink2")</f>
        <v>Maplink2</v>
      </c>
      <c r="AV2313" s="12" t="str">
        <f>HYPERLINK("http://www.bing.com/maps/?lvl=14&amp;sty=h&amp;cp=31.9848~44.9056&amp;sp=point.31.9848_44.9056","Maplink3")</f>
        <v>Maplink3</v>
      </c>
    </row>
    <row r="2314" spans="1:48" ht="15" customHeight="1" x14ac:dyDescent="0.25">
      <c r="A2314" s="19">
        <v>2885</v>
      </c>
      <c r="B2314" s="20" t="s">
        <v>22</v>
      </c>
      <c r="C2314" s="20" t="s">
        <v>4095</v>
      </c>
      <c r="D2314" s="20" t="s">
        <v>4118</v>
      </c>
      <c r="E2314" s="20" t="s">
        <v>4119</v>
      </c>
      <c r="F2314" s="20">
        <v>31.987583141399998</v>
      </c>
      <c r="G2314" s="20">
        <v>44.902396487899999</v>
      </c>
      <c r="H2314" s="22">
        <v>15</v>
      </c>
      <c r="I2314" s="22">
        <v>90</v>
      </c>
      <c r="J2314" s="21"/>
      <c r="K2314" s="21"/>
      <c r="L2314" s="21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>
        <v>15</v>
      </c>
      <c r="W2314" s="21"/>
      <c r="X2314" s="21"/>
      <c r="Y2314" s="21"/>
      <c r="Z2314" s="21"/>
      <c r="AA2314" s="21"/>
      <c r="AB2314" s="21"/>
      <c r="AC2314" s="21">
        <v>4</v>
      </c>
      <c r="AD2314" s="21"/>
      <c r="AE2314" s="21"/>
      <c r="AF2314" s="21"/>
      <c r="AG2314" s="21">
        <v>3</v>
      </c>
      <c r="AH2314" s="21">
        <v>8</v>
      </c>
      <c r="AI2314" s="21"/>
      <c r="AJ2314" s="21"/>
      <c r="AK2314" s="21"/>
      <c r="AL2314" s="21"/>
      <c r="AM2314" s="21">
        <v>10</v>
      </c>
      <c r="AN2314" s="21">
        <v>5</v>
      </c>
      <c r="AO2314" s="21"/>
      <c r="AP2314" s="21"/>
      <c r="AQ2314" s="21"/>
      <c r="AR2314" s="21"/>
      <c r="AS2314" s="21"/>
      <c r="AT2314" s="12" t="str">
        <f>HYPERLINK("http://www.openstreetmap.org/?mlat=31.9876&amp;mlon=44.9024&amp;zoom=12#map=12/31.9876/44.9024","Maplink1")</f>
        <v>Maplink1</v>
      </c>
      <c r="AU2314" s="12" t="str">
        <f>HYPERLINK("https://www.google.iq/maps/search/+31.9876,44.9024/@31.9876,44.9024,14z?hl=en","Maplink2")</f>
        <v>Maplink2</v>
      </c>
      <c r="AV2314" s="12" t="str">
        <f>HYPERLINK("http://www.bing.com/maps/?lvl=14&amp;sty=h&amp;cp=31.9876~44.9024&amp;sp=point.31.9876_44.9024","Maplink3")</f>
        <v>Maplink3</v>
      </c>
    </row>
    <row r="2315" spans="1:48" ht="15" customHeight="1" x14ac:dyDescent="0.25">
      <c r="A2315" s="19">
        <v>3011</v>
      </c>
      <c r="B2315" s="20" t="s">
        <v>22</v>
      </c>
      <c r="C2315" s="20" t="s">
        <v>4095</v>
      </c>
      <c r="D2315" s="20" t="s">
        <v>4120</v>
      </c>
      <c r="E2315" s="20" t="s">
        <v>4121</v>
      </c>
      <c r="F2315" s="20">
        <v>32.014415999999997</v>
      </c>
      <c r="G2315" s="20">
        <v>44.819662999999998</v>
      </c>
      <c r="H2315" s="22">
        <v>9</v>
      </c>
      <c r="I2315" s="22">
        <v>54</v>
      </c>
      <c r="J2315" s="21"/>
      <c r="K2315" s="21"/>
      <c r="L2315" s="21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>
        <v>9</v>
      </c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21">
        <v>9</v>
      </c>
      <c r="AH2315" s="21"/>
      <c r="AI2315" s="21"/>
      <c r="AJ2315" s="21"/>
      <c r="AK2315" s="21"/>
      <c r="AL2315" s="21"/>
      <c r="AM2315" s="21"/>
      <c r="AN2315" s="21">
        <v>9</v>
      </c>
      <c r="AO2315" s="21"/>
      <c r="AP2315" s="21"/>
      <c r="AQ2315" s="21"/>
      <c r="AR2315" s="21"/>
      <c r="AS2315" s="21"/>
      <c r="AT2315" s="12" t="str">
        <f>HYPERLINK("http://www.openstreetmap.org/?mlat=32.0144&amp;mlon=44.8197&amp;zoom=12#map=12/32.0144/44.8197","Maplink1")</f>
        <v>Maplink1</v>
      </c>
      <c r="AU2315" s="12" t="str">
        <f>HYPERLINK("https://www.google.iq/maps/search/+32.0144,44.8197/@32.0144,44.8197,14z?hl=en","Maplink2")</f>
        <v>Maplink2</v>
      </c>
      <c r="AV2315" s="12" t="str">
        <f>HYPERLINK("http://www.bing.com/maps/?lvl=14&amp;sty=h&amp;cp=32.0144~44.8197&amp;sp=point.32.0144_44.8197","Maplink3")</f>
        <v>Maplink3</v>
      </c>
    </row>
    <row r="2316" spans="1:48" ht="15" customHeight="1" x14ac:dyDescent="0.25">
      <c r="A2316" s="19">
        <v>25075</v>
      </c>
      <c r="B2316" s="20" t="s">
        <v>22</v>
      </c>
      <c r="C2316" s="20" t="s">
        <v>4095</v>
      </c>
      <c r="D2316" s="20" t="s">
        <v>4122</v>
      </c>
      <c r="E2316" s="20" t="s">
        <v>4123</v>
      </c>
      <c r="F2316" s="20">
        <v>32.091057789499999</v>
      </c>
      <c r="G2316" s="20">
        <v>44.760651066900003</v>
      </c>
      <c r="H2316" s="22">
        <v>12</v>
      </c>
      <c r="I2316" s="22">
        <v>72</v>
      </c>
      <c r="J2316" s="21"/>
      <c r="K2316" s="21"/>
      <c r="L2316" s="21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>
        <v>12</v>
      </c>
      <c r="W2316" s="21"/>
      <c r="X2316" s="21"/>
      <c r="Y2316" s="21"/>
      <c r="Z2316" s="21"/>
      <c r="AA2316" s="21"/>
      <c r="AB2316" s="21"/>
      <c r="AC2316" s="21">
        <v>4</v>
      </c>
      <c r="AD2316" s="21"/>
      <c r="AE2316" s="21"/>
      <c r="AF2316" s="21"/>
      <c r="AG2316" s="21">
        <v>8</v>
      </c>
      <c r="AH2316" s="21"/>
      <c r="AI2316" s="21"/>
      <c r="AJ2316" s="21"/>
      <c r="AK2316" s="21"/>
      <c r="AL2316" s="21"/>
      <c r="AM2316" s="21">
        <v>2</v>
      </c>
      <c r="AN2316" s="21">
        <v>10</v>
      </c>
      <c r="AO2316" s="21"/>
      <c r="AP2316" s="21"/>
      <c r="AQ2316" s="21"/>
      <c r="AR2316" s="21"/>
      <c r="AS2316" s="21"/>
      <c r="AT2316" s="12" t="str">
        <f>HYPERLINK("http://www.openstreetmap.org/?mlat=32.0911&amp;mlon=44.7607&amp;zoom=12#map=12/32.0911/44.7607","Maplink1")</f>
        <v>Maplink1</v>
      </c>
      <c r="AU2316" s="12" t="str">
        <f>HYPERLINK("https://www.google.iq/maps/search/+32.0911,44.7607/@32.0911,44.7607,14z?hl=en","Maplink2")</f>
        <v>Maplink2</v>
      </c>
      <c r="AV2316" s="12" t="str">
        <f>HYPERLINK("http://www.bing.com/maps/?lvl=14&amp;sty=h&amp;cp=32.0911~44.7607&amp;sp=point.32.0911_44.7607","Maplink3")</f>
        <v>Maplink3</v>
      </c>
    </row>
    <row r="2317" spans="1:48" ht="15" customHeight="1" x14ac:dyDescent="0.25">
      <c r="A2317" s="19">
        <v>25370</v>
      </c>
      <c r="B2317" s="20" t="s">
        <v>22</v>
      </c>
      <c r="C2317" s="20" t="s">
        <v>4095</v>
      </c>
      <c r="D2317" s="20" t="s">
        <v>4124</v>
      </c>
      <c r="E2317" s="20" t="s">
        <v>4125</v>
      </c>
      <c r="F2317" s="20">
        <v>31.981182</v>
      </c>
      <c r="G2317" s="20">
        <v>44.923915000000001</v>
      </c>
      <c r="H2317" s="22">
        <v>9</v>
      </c>
      <c r="I2317" s="22">
        <v>54</v>
      </c>
      <c r="J2317" s="21"/>
      <c r="K2317" s="21"/>
      <c r="L2317" s="21"/>
      <c r="M2317" s="21"/>
      <c r="N2317" s="21"/>
      <c r="O2317" s="21"/>
      <c r="P2317" s="21"/>
      <c r="Q2317" s="21"/>
      <c r="R2317" s="21">
        <v>3</v>
      </c>
      <c r="S2317" s="21"/>
      <c r="T2317" s="21"/>
      <c r="U2317" s="21"/>
      <c r="V2317" s="21">
        <v>6</v>
      </c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21"/>
      <c r="AH2317" s="21"/>
      <c r="AI2317" s="21"/>
      <c r="AJ2317" s="21">
        <v>9</v>
      </c>
      <c r="AK2317" s="21"/>
      <c r="AL2317" s="21"/>
      <c r="AM2317" s="21">
        <v>3</v>
      </c>
      <c r="AN2317" s="21">
        <v>6</v>
      </c>
      <c r="AO2317" s="21"/>
      <c r="AP2317" s="21"/>
      <c r="AQ2317" s="21"/>
      <c r="AR2317" s="21"/>
      <c r="AS2317" s="21"/>
      <c r="AT2317" s="12" t="str">
        <f>HYPERLINK("http://www.openstreetmap.org/?mlat=31.9812&amp;mlon=44.9239&amp;zoom=12#map=12/31.9812/44.9239","Maplink1")</f>
        <v>Maplink1</v>
      </c>
      <c r="AU2317" s="12" t="str">
        <f>HYPERLINK("https://www.google.iq/maps/search/+31.9812,44.9239/@31.9812,44.9239,14z?hl=en","Maplink2")</f>
        <v>Maplink2</v>
      </c>
      <c r="AV2317" s="12" t="str">
        <f>HYPERLINK("http://www.bing.com/maps/?lvl=14&amp;sty=h&amp;cp=31.9812~44.9239&amp;sp=point.31.9812_44.9239","Maplink3")</f>
        <v>Maplink3</v>
      </c>
    </row>
    <row r="2318" spans="1:48" ht="15" customHeight="1" x14ac:dyDescent="0.25">
      <c r="A2318" s="19">
        <v>25069</v>
      </c>
      <c r="B2318" s="20" t="s">
        <v>22</v>
      </c>
      <c r="C2318" s="20" t="s">
        <v>4095</v>
      </c>
      <c r="D2318" s="20" t="s">
        <v>4126</v>
      </c>
      <c r="E2318" s="20" t="s">
        <v>4127</v>
      </c>
      <c r="F2318" s="20">
        <v>31.976023999999999</v>
      </c>
      <c r="G2318" s="20">
        <v>44.934964999999998</v>
      </c>
      <c r="H2318" s="22">
        <v>14</v>
      </c>
      <c r="I2318" s="22">
        <v>84</v>
      </c>
      <c r="J2318" s="21"/>
      <c r="K2318" s="21"/>
      <c r="L2318" s="21"/>
      <c r="M2318" s="21"/>
      <c r="N2318" s="21"/>
      <c r="O2318" s="21"/>
      <c r="P2318" s="21"/>
      <c r="Q2318" s="21"/>
      <c r="R2318" s="21">
        <v>1</v>
      </c>
      <c r="S2318" s="21"/>
      <c r="T2318" s="21"/>
      <c r="U2318" s="21"/>
      <c r="V2318" s="21">
        <v>12</v>
      </c>
      <c r="W2318" s="21"/>
      <c r="X2318" s="21">
        <v>1</v>
      </c>
      <c r="Y2318" s="21"/>
      <c r="Z2318" s="21"/>
      <c r="AA2318" s="21"/>
      <c r="AB2318" s="21"/>
      <c r="AC2318" s="21">
        <v>3</v>
      </c>
      <c r="AD2318" s="21"/>
      <c r="AE2318" s="21"/>
      <c r="AF2318" s="21"/>
      <c r="AG2318" s="21"/>
      <c r="AH2318" s="21">
        <v>11</v>
      </c>
      <c r="AI2318" s="21"/>
      <c r="AJ2318" s="21"/>
      <c r="AK2318" s="21"/>
      <c r="AL2318" s="21"/>
      <c r="AM2318" s="21">
        <v>3</v>
      </c>
      <c r="AN2318" s="21">
        <v>5</v>
      </c>
      <c r="AO2318" s="21">
        <v>6</v>
      </c>
      <c r="AP2318" s="21"/>
      <c r="AQ2318" s="21"/>
      <c r="AR2318" s="21"/>
      <c r="AS2318" s="21"/>
      <c r="AT2318" s="12" t="str">
        <f>HYPERLINK("http://www.openstreetmap.org/?mlat=31.976&amp;mlon=44.935&amp;zoom=12#map=12/31.976/44.935","Maplink1")</f>
        <v>Maplink1</v>
      </c>
      <c r="AU2318" s="12" t="str">
        <f>HYPERLINK("https://www.google.iq/maps/search/+31.976,44.935/@31.976,44.935,14z?hl=en","Maplink2")</f>
        <v>Maplink2</v>
      </c>
      <c r="AV2318" s="12" t="str">
        <f>HYPERLINK("http://www.bing.com/maps/?lvl=14&amp;sty=h&amp;cp=31.976~44.935&amp;sp=point.31.976_44.935","Maplink3")</f>
        <v>Maplink3</v>
      </c>
    </row>
    <row r="2319" spans="1:48" ht="15" customHeight="1" x14ac:dyDescent="0.25">
      <c r="A2319" s="19">
        <v>25509</v>
      </c>
      <c r="B2319" s="20" t="s">
        <v>22</v>
      </c>
      <c r="C2319" s="20" t="s">
        <v>4095</v>
      </c>
      <c r="D2319" s="20" t="s">
        <v>4128</v>
      </c>
      <c r="E2319" s="20" t="s">
        <v>4129</v>
      </c>
      <c r="F2319" s="20">
        <v>31.979918439999999</v>
      </c>
      <c r="G2319" s="20">
        <v>44.943578066199997</v>
      </c>
      <c r="H2319" s="22">
        <v>9</v>
      </c>
      <c r="I2319" s="22">
        <v>54</v>
      </c>
      <c r="J2319" s="21"/>
      <c r="K2319" s="21"/>
      <c r="L2319" s="21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>
        <v>9</v>
      </c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21">
        <v>3</v>
      </c>
      <c r="AH2319" s="21">
        <v>6</v>
      </c>
      <c r="AI2319" s="21"/>
      <c r="AJ2319" s="21"/>
      <c r="AK2319" s="21"/>
      <c r="AL2319" s="21"/>
      <c r="AM2319" s="21">
        <v>3</v>
      </c>
      <c r="AN2319" s="21">
        <v>6</v>
      </c>
      <c r="AO2319" s="21"/>
      <c r="AP2319" s="21"/>
      <c r="AQ2319" s="21"/>
      <c r="AR2319" s="21"/>
      <c r="AS2319" s="21"/>
      <c r="AT2319" s="12" t="str">
        <f>HYPERLINK("http://www.openstreetmap.org/?mlat=31.9799&amp;mlon=44.9436&amp;zoom=12#map=12/31.9799/44.9436","Maplink1")</f>
        <v>Maplink1</v>
      </c>
      <c r="AU2319" s="12" t="str">
        <f>HYPERLINK("https://www.google.iq/maps/search/+31.9799,44.9436/@31.9799,44.9436,14z?hl=en","Maplink2")</f>
        <v>Maplink2</v>
      </c>
      <c r="AV2319" s="12" t="str">
        <f>HYPERLINK("http://www.bing.com/maps/?lvl=14&amp;sty=h&amp;cp=31.9799~44.9436&amp;sp=point.31.9799_44.9436","Maplink3")</f>
        <v>Maplink3</v>
      </c>
    </row>
    <row r="2320" spans="1:48" ht="15" customHeight="1" x14ac:dyDescent="0.25">
      <c r="A2320" s="19">
        <v>24381</v>
      </c>
      <c r="B2320" s="20" t="s">
        <v>22</v>
      </c>
      <c r="C2320" s="20" t="s">
        <v>4095</v>
      </c>
      <c r="D2320" s="20" t="s">
        <v>4130</v>
      </c>
      <c r="E2320" s="20" t="s">
        <v>4131</v>
      </c>
      <c r="F2320" s="20">
        <v>31.9705985254</v>
      </c>
      <c r="G2320" s="20">
        <v>44.894545348400001</v>
      </c>
      <c r="H2320" s="22">
        <v>25</v>
      </c>
      <c r="I2320" s="22">
        <v>150</v>
      </c>
      <c r="J2320" s="21"/>
      <c r="K2320" s="21"/>
      <c r="L2320" s="21"/>
      <c r="M2320" s="21"/>
      <c r="N2320" s="21"/>
      <c r="O2320" s="21"/>
      <c r="P2320" s="21"/>
      <c r="Q2320" s="21"/>
      <c r="R2320" s="21">
        <v>2</v>
      </c>
      <c r="S2320" s="21"/>
      <c r="T2320" s="21"/>
      <c r="U2320" s="21"/>
      <c r="V2320" s="21">
        <v>23</v>
      </c>
      <c r="W2320" s="21"/>
      <c r="X2320" s="21"/>
      <c r="Y2320" s="21"/>
      <c r="Z2320" s="21"/>
      <c r="AA2320" s="21"/>
      <c r="AB2320" s="21"/>
      <c r="AC2320" s="21">
        <v>3</v>
      </c>
      <c r="AD2320" s="21"/>
      <c r="AE2320" s="21"/>
      <c r="AF2320" s="21"/>
      <c r="AG2320" s="21">
        <v>22</v>
      </c>
      <c r="AH2320" s="21"/>
      <c r="AI2320" s="21"/>
      <c r="AJ2320" s="21"/>
      <c r="AK2320" s="21"/>
      <c r="AL2320" s="21"/>
      <c r="AM2320" s="21">
        <v>4</v>
      </c>
      <c r="AN2320" s="21">
        <v>21</v>
      </c>
      <c r="AO2320" s="21"/>
      <c r="AP2320" s="21"/>
      <c r="AQ2320" s="21"/>
      <c r="AR2320" s="21"/>
      <c r="AS2320" s="21"/>
      <c r="AT2320" s="12" t="str">
        <f>HYPERLINK("http://www.openstreetmap.org/?mlat=31.9706&amp;mlon=44.8945&amp;zoom=12#map=12/31.9706/44.8945","Maplink1")</f>
        <v>Maplink1</v>
      </c>
      <c r="AU2320" s="12" t="str">
        <f>HYPERLINK("https://www.google.iq/maps/search/+31.9706,44.8945/@31.9706,44.8945,14z?hl=en","Maplink2")</f>
        <v>Maplink2</v>
      </c>
      <c r="AV2320" s="12" t="str">
        <f>HYPERLINK("http://www.bing.com/maps/?lvl=14&amp;sty=h&amp;cp=31.9706~44.8945&amp;sp=point.31.9706_44.8945","Maplink3")</f>
        <v>Maplink3</v>
      </c>
    </row>
    <row r="2321" spans="1:48" ht="15" customHeight="1" x14ac:dyDescent="0.25">
      <c r="A2321" s="19">
        <v>25068</v>
      </c>
      <c r="B2321" s="20" t="s">
        <v>22</v>
      </c>
      <c r="C2321" s="20" t="s">
        <v>4095</v>
      </c>
      <c r="D2321" s="20" t="s">
        <v>4132</v>
      </c>
      <c r="E2321" s="20" t="s">
        <v>4133</v>
      </c>
      <c r="F2321" s="20">
        <v>31.959495</v>
      </c>
      <c r="G2321" s="20">
        <v>44.901966999999999</v>
      </c>
      <c r="H2321" s="22">
        <v>33</v>
      </c>
      <c r="I2321" s="22">
        <v>198</v>
      </c>
      <c r="J2321" s="21"/>
      <c r="K2321" s="21"/>
      <c r="L2321" s="21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>
        <v>33</v>
      </c>
      <c r="W2321" s="21"/>
      <c r="X2321" s="21"/>
      <c r="Y2321" s="21"/>
      <c r="Z2321" s="21"/>
      <c r="AA2321" s="21"/>
      <c r="AB2321" s="21"/>
      <c r="AC2321" s="21">
        <v>2</v>
      </c>
      <c r="AD2321" s="21"/>
      <c r="AE2321" s="21"/>
      <c r="AF2321" s="21"/>
      <c r="AG2321" s="21">
        <v>31</v>
      </c>
      <c r="AH2321" s="21"/>
      <c r="AI2321" s="21"/>
      <c r="AJ2321" s="21"/>
      <c r="AK2321" s="21"/>
      <c r="AL2321" s="21"/>
      <c r="AM2321" s="21">
        <v>16</v>
      </c>
      <c r="AN2321" s="21">
        <v>17</v>
      </c>
      <c r="AO2321" s="21"/>
      <c r="AP2321" s="21"/>
      <c r="AQ2321" s="21"/>
      <c r="AR2321" s="21"/>
      <c r="AS2321" s="21"/>
      <c r="AT2321" s="12" t="str">
        <f>HYPERLINK("http://www.openstreetmap.org/?mlat=31.9595&amp;mlon=44.902&amp;zoom=12#map=12/31.9595/44.902","Maplink1")</f>
        <v>Maplink1</v>
      </c>
      <c r="AU2321" s="12" t="str">
        <f>HYPERLINK("https://www.google.iq/maps/search/+31.9595,44.902/@31.9595,44.902,14z?hl=en","Maplink2")</f>
        <v>Maplink2</v>
      </c>
      <c r="AV2321" s="12" t="str">
        <f>HYPERLINK("http://www.bing.com/maps/?lvl=14&amp;sty=h&amp;cp=31.9595~44.902&amp;sp=point.31.9595_44.902","Maplink3")</f>
        <v>Maplink3</v>
      </c>
    </row>
    <row r="2322" spans="1:48" ht="15" customHeight="1" x14ac:dyDescent="0.25">
      <c r="A2322" s="19">
        <v>2705</v>
      </c>
      <c r="B2322" s="20" t="s">
        <v>22</v>
      </c>
      <c r="C2322" s="20" t="s">
        <v>4095</v>
      </c>
      <c r="D2322" s="20" t="s">
        <v>4134</v>
      </c>
      <c r="E2322" s="20" t="s">
        <v>4135</v>
      </c>
      <c r="F2322" s="20">
        <v>31.9533912204</v>
      </c>
      <c r="G2322" s="20">
        <v>44.786542473799997</v>
      </c>
      <c r="H2322" s="22">
        <v>18</v>
      </c>
      <c r="I2322" s="22">
        <v>108</v>
      </c>
      <c r="J2322" s="21"/>
      <c r="K2322" s="21"/>
      <c r="L2322" s="21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>
        <v>18</v>
      </c>
      <c r="W2322" s="21"/>
      <c r="X2322" s="21"/>
      <c r="Y2322" s="21"/>
      <c r="Z2322" s="21"/>
      <c r="AA2322" s="21"/>
      <c r="AB2322" s="21"/>
      <c r="AC2322" s="21">
        <v>5</v>
      </c>
      <c r="AD2322" s="21"/>
      <c r="AE2322" s="21"/>
      <c r="AF2322" s="21"/>
      <c r="AG2322" s="21">
        <v>6</v>
      </c>
      <c r="AH2322" s="21"/>
      <c r="AI2322" s="21"/>
      <c r="AJ2322" s="21">
        <v>7</v>
      </c>
      <c r="AK2322" s="21"/>
      <c r="AL2322" s="21"/>
      <c r="AM2322" s="21">
        <v>8</v>
      </c>
      <c r="AN2322" s="21">
        <v>10</v>
      </c>
      <c r="AO2322" s="21"/>
      <c r="AP2322" s="21"/>
      <c r="AQ2322" s="21"/>
      <c r="AR2322" s="21"/>
      <c r="AS2322" s="21"/>
      <c r="AT2322" s="12" t="str">
        <f>HYPERLINK("http://www.openstreetmap.org/?mlat=31.9534&amp;mlon=44.7865&amp;zoom=12#map=12/31.9534/44.7865","Maplink1")</f>
        <v>Maplink1</v>
      </c>
      <c r="AU2322" s="12" t="str">
        <f>HYPERLINK("https://www.google.iq/maps/search/+31.9534,44.7865/@31.9534,44.7865,14z?hl=en","Maplink2")</f>
        <v>Maplink2</v>
      </c>
      <c r="AV2322" s="12" t="str">
        <f>HYPERLINK("http://www.bing.com/maps/?lvl=14&amp;sty=h&amp;cp=31.9534~44.7865&amp;sp=point.31.9534_44.7865","Maplink3")</f>
        <v>Maplink3</v>
      </c>
    </row>
    <row r="2323" spans="1:48" ht="15" customHeight="1" x14ac:dyDescent="0.25">
      <c r="A2323" s="19">
        <v>24756</v>
      </c>
      <c r="B2323" s="20" t="s">
        <v>22</v>
      </c>
      <c r="C2323" s="20" t="s">
        <v>4095</v>
      </c>
      <c r="D2323" s="20" t="s">
        <v>4136</v>
      </c>
      <c r="E2323" s="20" t="s">
        <v>4137</v>
      </c>
      <c r="F2323" s="20">
        <v>32.017258949999999</v>
      </c>
      <c r="G2323" s="20">
        <v>45.044774279999999</v>
      </c>
      <c r="H2323" s="22">
        <v>16</v>
      </c>
      <c r="I2323" s="22">
        <v>96</v>
      </c>
      <c r="J2323" s="21"/>
      <c r="K2323" s="21"/>
      <c r="L2323" s="21"/>
      <c r="M2323" s="21"/>
      <c r="N2323" s="21"/>
      <c r="O2323" s="21"/>
      <c r="P2323" s="21"/>
      <c r="Q2323" s="21"/>
      <c r="R2323" s="21">
        <v>5</v>
      </c>
      <c r="S2323" s="21"/>
      <c r="T2323" s="21"/>
      <c r="U2323" s="21"/>
      <c r="V2323" s="21">
        <v>11</v>
      </c>
      <c r="W2323" s="21"/>
      <c r="X2323" s="21"/>
      <c r="Y2323" s="21"/>
      <c r="Z2323" s="21"/>
      <c r="AA2323" s="21"/>
      <c r="AB2323" s="21"/>
      <c r="AC2323" s="21">
        <v>4</v>
      </c>
      <c r="AD2323" s="21"/>
      <c r="AE2323" s="21"/>
      <c r="AF2323" s="21"/>
      <c r="AG2323" s="21">
        <v>6</v>
      </c>
      <c r="AH2323" s="21">
        <v>6</v>
      </c>
      <c r="AI2323" s="21"/>
      <c r="AJ2323" s="21"/>
      <c r="AK2323" s="21"/>
      <c r="AL2323" s="21"/>
      <c r="AM2323" s="21">
        <v>11</v>
      </c>
      <c r="AN2323" s="21">
        <v>5</v>
      </c>
      <c r="AO2323" s="21"/>
      <c r="AP2323" s="21"/>
      <c r="AQ2323" s="21"/>
      <c r="AR2323" s="21"/>
      <c r="AS2323" s="21"/>
      <c r="AT2323" s="12" t="str">
        <f>HYPERLINK("http://www.openstreetmap.org/?mlat=32.0173&amp;mlon=45.0448&amp;zoom=12#map=12/32.0173/45.0448","Maplink1")</f>
        <v>Maplink1</v>
      </c>
      <c r="AU2323" s="12" t="str">
        <f>HYPERLINK("https://www.google.iq/maps/search/+32.0173,45.0448/@32.0173,45.0448,14z?hl=en","Maplink2")</f>
        <v>Maplink2</v>
      </c>
      <c r="AV2323" s="12" t="str">
        <f>HYPERLINK("http://www.bing.com/maps/?lvl=14&amp;sty=h&amp;cp=32.0173~45.0448&amp;sp=point.32.0173_45.0448","Maplink3")</f>
        <v>Maplink3</v>
      </c>
    </row>
    <row r="2324" spans="1:48" ht="15" customHeight="1" x14ac:dyDescent="0.25">
      <c r="A2324" s="19">
        <v>24436</v>
      </c>
      <c r="B2324" s="20" t="s">
        <v>22</v>
      </c>
      <c r="C2324" s="20" t="s">
        <v>4095</v>
      </c>
      <c r="D2324" s="20" t="s">
        <v>4138</v>
      </c>
      <c r="E2324" s="20" t="s">
        <v>4139</v>
      </c>
      <c r="F2324" s="20">
        <v>32.017952841700001</v>
      </c>
      <c r="G2324" s="20">
        <v>44.8259629402</v>
      </c>
      <c r="H2324" s="22">
        <v>14</v>
      </c>
      <c r="I2324" s="22">
        <v>84</v>
      </c>
      <c r="J2324" s="21"/>
      <c r="K2324" s="21"/>
      <c r="L2324" s="21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>
        <v>14</v>
      </c>
      <c r="W2324" s="21"/>
      <c r="X2324" s="21"/>
      <c r="Y2324" s="21"/>
      <c r="Z2324" s="21"/>
      <c r="AA2324" s="21"/>
      <c r="AB2324" s="21"/>
      <c r="AC2324" s="21">
        <v>3</v>
      </c>
      <c r="AD2324" s="21"/>
      <c r="AE2324" s="21"/>
      <c r="AF2324" s="21"/>
      <c r="AG2324" s="21">
        <v>6</v>
      </c>
      <c r="AH2324" s="21">
        <v>5</v>
      </c>
      <c r="AI2324" s="21"/>
      <c r="AJ2324" s="21"/>
      <c r="AK2324" s="21"/>
      <c r="AL2324" s="21"/>
      <c r="AM2324" s="21">
        <v>2</v>
      </c>
      <c r="AN2324" s="21">
        <v>12</v>
      </c>
      <c r="AO2324" s="21"/>
      <c r="AP2324" s="21"/>
      <c r="AQ2324" s="21"/>
      <c r="AR2324" s="21"/>
      <c r="AS2324" s="21"/>
      <c r="AT2324" s="12" t="str">
        <f>HYPERLINK("http://www.openstreetmap.org/?mlat=32.018&amp;mlon=44.826&amp;zoom=12#map=12/32.018/44.826","Maplink1")</f>
        <v>Maplink1</v>
      </c>
      <c r="AU2324" s="12" t="str">
        <f>HYPERLINK("https://www.google.iq/maps/search/+32.018,44.826/@32.018,44.826,14z?hl=en","Maplink2")</f>
        <v>Maplink2</v>
      </c>
      <c r="AV2324" s="12" t="str">
        <f>HYPERLINK("http://www.bing.com/maps/?lvl=14&amp;sty=h&amp;cp=32.018~44.826&amp;sp=point.32.018_44.826","Maplink3")</f>
        <v>Maplink3</v>
      </c>
    </row>
    <row r="2325" spans="1:48" ht="15" customHeight="1" x14ac:dyDescent="0.25">
      <c r="A2325" s="19">
        <v>2621</v>
      </c>
      <c r="B2325" s="20" t="s">
        <v>22</v>
      </c>
      <c r="C2325" s="20" t="s">
        <v>4095</v>
      </c>
      <c r="D2325" s="20" t="s">
        <v>4140</v>
      </c>
      <c r="E2325" s="20" t="s">
        <v>4141</v>
      </c>
      <c r="F2325" s="20">
        <v>32.021498999999999</v>
      </c>
      <c r="G2325" s="20">
        <v>44.857816</v>
      </c>
      <c r="H2325" s="22">
        <v>11</v>
      </c>
      <c r="I2325" s="22">
        <v>66</v>
      </c>
      <c r="J2325" s="21"/>
      <c r="K2325" s="21"/>
      <c r="L2325" s="21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>
        <v>11</v>
      </c>
      <c r="W2325" s="21"/>
      <c r="X2325" s="21"/>
      <c r="Y2325" s="21"/>
      <c r="Z2325" s="21"/>
      <c r="AA2325" s="21"/>
      <c r="AB2325" s="21"/>
      <c r="AC2325" s="21">
        <v>3</v>
      </c>
      <c r="AD2325" s="21"/>
      <c r="AE2325" s="21"/>
      <c r="AF2325" s="21"/>
      <c r="AG2325" s="21">
        <v>8</v>
      </c>
      <c r="AH2325" s="21"/>
      <c r="AI2325" s="21"/>
      <c r="AJ2325" s="21"/>
      <c r="AK2325" s="21"/>
      <c r="AL2325" s="21"/>
      <c r="AM2325" s="21">
        <v>4</v>
      </c>
      <c r="AN2325" s="21">
        <v>7</v>
      </c>
      <c r="AO2325" s="21"/>
      <c r="AP2325" s="21"/>
      <c r="AQ2325" s="21"/>
      <c r="AR2325" s="21"/>
      <c r="AS2325" s="21"/>
      <c r="AT2325" s="12" t="str">
        <f>HYPERLINK("http://www.openstreetmap.org/?mlat=32.0215&amp;mlon=44.8578&amp;zoom=12#map=12/32.0215/44.8578","Maplink1")</f>
        <v>Maplink1</v>
      </c>
      <c r="AU2325" s="12" t="str">
        <f>HYPERLINK("https://www.google.iq/maps/search/+32.0215,44.8578/@32.0215,44.8578,14z?hl=en","Maplink2")</f>
        <v>Maplink2</v>
      </c>
      <c r="AV2325" s="12" t="str">
        <f>HYPERLINK("http://www.bing.com/maps/?lvl=14&amp;sty=h&amp;cp=32.0215~44.8578&amp;sp=point.32.0215_44.8578","Maplink3")</f>
        <v>Maplink3</v>
      </c>
    </row>
    <row r="2326" spans="1:48" ht="15" customHeight="1" x14ac:dyDescent="0.25">
      <c r="A2326" s="19">
        <v>25072</v>
      </c>
      <c r="B2326" s="20" t="s">
        <v>22</v>
      </c>
      <c r="C2326" s="20" t="s">
        <v>4095</v>
      </c>
      <c r="D2326" s="20" t="s">
        <v>4142</v>
      </c>
      <c r="E2326" s="20" t="s">
        <v>4143</v>
      </c>
      <c r="F2326" s="20">
        <v>32.004939392200001</v>
      </c>
      <c r="G2326" s="20">
        <v>45.007984014199998</v>
      </c>
      <c r="H2326" s="22">
        <v>14</v>
      </c>
      <c r="I2326" s="22">
        <v>84</v>
      </c>
      <c r="J2326" s="21"/>
      <c r="K2326" s="21"/>
      <c r="L2326" s="21"/>
      <c r="M2326" s="21"/>
      <c r="N2326" s="21"/>
      <c r="O2326" s="21">
        <v>3</v>
      </c>
      <c r="P2326" s="21"/>
      <c r="Q2326" s="21"/>
      <c r="R2326" s="21"/>
      <c r="S2326" s="21"/>
      <c r="T2326" s="21"/>
      <c r="U2326" s="21"/>
      <c r="V2326" s="21">
        <v>8</v>
      </c>
      <c r="W2326" s="21"/>
      <c r="X2326" s="21">
        <v>3</v>
      </c>
      <c r="Y2326" s="21"/>
      <c r="Z2326" s="21"/>
      <c r="AA2326" s="21"/>
      <c r="AB2326" s="21"/>
      <c r="AC2326" s="21"/>
      <c r="AD2326" s="21"/>
      <c r="AE2326" s="21"/>
      <c r="AF2326" s="21"/>
      <c r="AG2326" s="21">
        <v>7</v>
      </c>
      <c r="AH2326" s="21">
        <v>7</v>
      </c>
      <c r="AI2326" s="21"/>
      <c r="AJ2326" s="21"/>
      <c r="AK2326" s="21"/>
      <c r="AL2326" s="21"/>
      <c r="AM2326" s="21"/>
      <c r="AN2326" s="21">
        <v>11</v>
      </c>
      <c r="AO2326" s="21">
        <v>3</v>
      </c>
      <c r="AP2326" s="21"/>
      <c r="AQ2326" s="21"/>
      <c r="AR2326" s="21"/>
      <c r="AS2326" s="21"/>
      <c r="AT2326" s="12" t="str">
        <f>HYPERLINK("http://www.openstreetmap.org/?mlat=32.0049&amp;mlon=45.008&amp;zoom=12#map=12/32.0049/45.008","Maplink1")</f>
        <v>Maplink1</v>
      </c>
      <c r="AU2326" s="12" t="str">
        <f>HYPERLINK("https://www.google.iq/maps/search/+32.0049,45.008/@32.0049,45.008,14z?hl=en","Maplink2")</f>
        <v>Maplink2</v>
      </c>
      <c r="AV2326" s="12" t="str">
        <f>HYPERLINK("http://www.bing.com/maps/?lvl=14&amp;sty=h&amp;cp=32.0049~45.008&amp;sp=point.32.0049_45.008","Maplink3")</f>
        <v>Maplink3</v>
      </c>
    </row>
    <row r="2327" spans="1:48" ht="15" customHeight="1" x14ac:dyDescent="0.25">
      <c r="A2327" s="19">
        <v>25513</v>
      </c>
      <c r="B2327" s="20" t="s">
        <v>22</v>
      </c>
      <c r="C2327" s="20" t="s">
        <v>4095</v>
      </c>
      <c r="D2327" s="20" t="s">
        <v>4144</v>
      </c>
      <c r="E2327" s="20" t="s">
        <v>4145</v>
      </c>
      <c r="F2327" s="20">
        <v>32.013339999999999</v>
      </c>
      <c r="G2327" s="20">
        <v>44.910741000000002</v>
      </c>
      <c r="H2327" s="22">
        <v>11</v>
      </c>
      <c r="I2327" s="22">
        <v>66</v>
      </c>
      <c r="J2327" s="21"/>
      <c r="K2327" s="21"/>
      <c r="L2327" s="21"/>
      <c r="M2327" s="21"/>
      <c r="N2327" s="21"/>
      <c r="O2327" s="21"/>
      <c r="P2327" s="21"/>
      <c r="Q2327" s="21"/>
      <c r="R2327" s="21">
        <v>2</v>
      </c>
      <c r="S2327" s="21"/>
      <c r="T2327" s="21"/>
      <c r="U2327" s="21"/>
      <c r="V2327" s="21">
        <v>9</v>
      </c>
      <c r="W2327" s="21"/>
      <c r="X2327" s="21"/>
      <c r="Y2327" s="21"/>
      <c r="Z2327" s="21"/>
      <c r="AA2327" s="21"/>
      <c r="AB2327" s="21"/>
      <c r="AC2327" s="21">
        <v>2</v>
      </c>
      <c r="AD2327" s="21">
        <v>2</v>
      </c>
      <c r="AE2327" s="21"/>
      <c r="AF2327" s="21"/>
      <c r="AG2327" s="21"/>
      <c r="AH2327" s="21">
        <v>7</v>
      </c>
      <c r="AI2327" s="21"/>
      <c r="AJ2327" s="21"/>
      <c r="AK2327" s="21"/>
      <c r="AL2327" s="21"/>
      <c r="AM2327" s="21">
        <v>2</v>
      </c>
      <c r="AN2327" s="21">
        <v>9</v>
      </c>
      <c r="AO2327" s="21"/>
      <c r="AP2327" s="21"/>
      <c r="AQ2327" s="21"/>
      <c r="AR2327" s="21"/>
      <c r="AS2327" s="21"/>
      <c r="AT2327" s="12" t="str">
        <f>HYPERLINK("http://www.openstreetmap.org/?mlat=32.0133&amp;mlon=44.9107&amp;zoom=12#map=12/32.0133/44.9107","Maplink1")</f>
        <v>Maplink1</v>
      </c>
      <c r="AU2327" s="12" t="str">
        <f>HYPERLINK("https://www.google.iq/maps/search/+32.0133,44.9107/@32.0133,44.9107,14z?hl=en","Maplink2")</f>
        <v>Maplink2</v>
      </c>
      <c r="AV2327" s="12" t="str">
        <f>HYPERLINK("http://www.bing.com/maps/?lvl=14&amp;sty=h&amp;cp=32.0133~44.9107&amp;sp=point.32.0133_44.9107","Maplink3")</f>
        <v>Maplink3</v>
      </c>
    </row>
    <row r="2328" spans="1:48" ht="15" customHeight="1" x14ac:dyDescent="0.25">
      <c r="A2328" s="19">
        <v>23681</v>
      </c>
      <c r="B2328" s="20" t="s">
        <v>22</v>
      </c>
      <c r="C2328" s="20" t="s">
        <v>4095</v>
      </c>
      <c r="D2328" s="20" t="s">
        <v>4146</v>
      </c>
      <c r="E2328" s="20" t="s">
        <v>4147</v>
      </c>
      <c r="F2328" s="20">
        <v>32.021470100000002</v>
      </c>
      <c r="G2328" s="20">
        <v>44.897651770000003</v>
      </c>
      <c r="H2328" s="22">
        <v>19</v>
      </c>
      <c r="I2328" s="22">
        <v>114</v>
      </c>
      <c r="J2328" s="21">
        <v>1</v>
      </c>
      <c r="K2328" s="21"/>
      <c r="L2328" s="21"/>
      <c r="M2328" s="21"/>
      <c r="N2328" s="21"/>
      <c r="O2328" s="21"/>
      <c r="P2328" s="21"/>
      <c r="Q2328" s="21"/>
      <c r="R2328" s="21">
        <v>2</v>
      </c>
      <c r="S2328" s="21"/>
      <c r="T2328" s="21"/>
      <c r="U2328" s="21"/>
      <c r="V2328" s="21">
        <v>16</v>
      </c>
      <c r="W2328" s="21"/>
      <c r="X2328" s="21"/>
      <c r="Y2328" s="21"/>
      <c r="Z2328" s="21"/>
      <c r="AA2328" s="21"/>
      <c r="AB2328" s="21"/>
      <c r="AC2328" s="21">
        <v>6</v>
      </c>
      <c r="AD2328" s="21"/>
      <c r="AE2328" s="21"/>
      <c r="AF2328" s="21"/>
      <c r="AG2328" s="21"/>
      <c r="AH2328" s="21">
        <v>13</v>
      </c>
      <c r="AI2328" s="21"/>
      <c r="AJ2328" s="21"/>
      <c r="AK2328" s="21"/>
      <c r="AL2328" s="21"/>
      <c r="AM2328" s="21">
        <v>13</v>
      </c>
      <c r="AN2328" s="21">
        <v>6</v>
      </c>
      <c r="AO2328" s="21"/>
      <c r="AP2328" s="21"/>
      <c r="AQ2328" s="21"/>
      <c r="AR2328" s="21"/>
      <c r="AS2328" s="21"/>
      <c r="AT2328" s="12" t="str">
        <f>HYPERLINK("http://www.openstreetmap.org/?mlat=32.0215&amp;mlon=44.8977&amp;zoom=12#map=12/32.0215/44.8977","Maplink1")</f>
        <v>Maplink1</v>
      </c>
      <c r="AU2328" s="12" t="str">
        <f>HYPERLINK("https://www.google.iq/maps/search/+32.0215,44.8977/@32.0215,44.8977,14z?hl=en","Maplink2")</f>
        <v>Maplink2</v>
      </c>
      <c r="AV2328" s="12" t="str">
        <f>HYPERLINK("http://www.bing.com/maps/?lvl=14&amp;sty=h&amp;cp=32.0215~44.8977&amp;sp=point.32.0215_44.8977","Maplink3")</f>
        <v>Maplink3</v>
      </c>
    </row>
    <row r="2329" spans="1:48" ht="15" customHeight="1" x14ac:dyDescent="0.25">
      <c r="A2329" s="19">
        <v>21817</v>
      </c>
      <c r="B2329" s="20" t="s">
        <v>22</v>
      </c>
      <c r="C2329" s="20" t="s">
        <v>4095</v>
      </c>
      <c r="D2329" s="20" t="s">
        <v>4148</v>
      </c>
      <c r="E2329" s="20" t="s">
        <v>365</v>
      </c>
      <c r="F2329" s="20">
        <v>31.971864950000001</v>
      </c>
      <c r="G2329" s="20">
        <v>44.954517449999997</v>
      </c>
      <c r="H2329" s="22">
        <v>13</v>
      </c>
      <c r="I2329" s="22">
        <v>78</v>
      </c>
      <c r="J2329" s="21"/>
      <c r="K2329" s="21"/>
      <c r="L2329" s="21">
        <v>2</v>
      </c>
      <c r="M2329" s="21"/>
      <c r="N2329" s="21"/>
      <c r="O2329" s="21"/>
      <c r="P2329" s="21"/>
      <c r="Q2329" s="21"/>
      <c r="R2329" s="21">
        <v>2</v>
      </c>
      <c r="S2329" s="21"/>
      <c r="T2329" s="21"/>
      <c r="U2329" s="21"/>
      <c r="V2329" s="21">
        <v>9</v>
      </c>
      <c r="W2329" s="21"/>
      <c r="X2329" s="21"/>
      <c r="Y2329" s="21"/>
      <c r="Z2329" s="21"/>
      <c r="AA2329" s="21"/>
      <c r="AB2329" s="21"/>
      <c r="AC2329" s="21">
        <v>3</v>
      </c>
      <c r="AD2329" s="21"/>
      <c r="AE2329" s="21"/>
      <c r="AF2329" s="21"/>
      <c r="AG2329" s="21"/>
      <c r="AH2329" s="21">
        <v>10</v>
      </c>
      <c r="AI2329" s="21"/>
      <c r="AJ2329" s="21"/>
      <c r="AK2329" s="21"/>
      <c r="AL2329" s="21"/>
      <c r="AM2329" s="21">
        <v>4</v>
      </c>
      <c r="AN2329" s="21">
        <v>7</v>
      </c>
      <c r="AO2329" s="21"/>
      <c r="AP2329" s="21"/>
      <c r="AQ2329" s="21"/>
      <c r="AR2329" s="21">
        <v>2</v>
      </c>
      <c r="AS2329" s="21"/>
      <c r="AT2329" s="12" t="str">
        <f>HYPERLINK("http://www.openstreetmap.org/?mlat=31.9719&amp;mlon=44.9545&amp;zoom=12#map=12/31.9719/44.9545","Maplink1")</f>
        <v>Maplink1</v>
      </c>
      <c r="AU2329" s="12" t="str">
        <f>HYPERLINK("https://www.google.iq/maps/search/+31.9719,44.9545/@31.9719,44.9545,14z?hl=en","Maplink2")</f>
        <v>Maplink2</v>
      </c>
      <c r="AV2329" s="12" t="str">
        <f>HYPERLINK("http://www.bing.com/maps/?lvl=14&amp;sty=h&amp;cp=31.9719~44.9545&amp;sp=point.31.9719_44.9545","Maplink3")</f>
        <v>Maplink3</v>
      </c>
    </row>
    <row r="2330" spans="1:48" ht="15" customHeight="1" x14ac:dyDescent="0.25">
      <c r="A2330" s="19">
        <v>24966</v>
      </c>
      <c r="B2330" s="20" t="s">
        <v>22</v>
      </c>
      <c r="C2330" s="20" t="s">
        <v>4095</v>
      </c>
      <c r="D2330" s="20" t="s">
        <v>4149</v>
      </c>
      <c r="E2330" s="20" t="s">
        <v>3147</v>
      </c>
      <c r="F2330" s="20">
        <v>32.14380791</v>
      </c>
      <c r="G2330" s="20">
        <v>44.93050539</v>
      </c>
      <c r="H2330" s="22">
        <v>13</v>
      </c>
      <c r="I2330" s="22">
        <v>78</v>
      </c>
      <c r="J2330" s="21"/>
      <c r="K2330" s="21"/>
      <c r="L2330" s="21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>
        <v>13</v>
      </c>
      <c r="W2330" s="21"/>
      <c r="X2330" s="21"/>
      <c r="Y2330" s="21"/>
      <c r="Z2330" s="21"/>
      <c r="AA2330" s="21"/>
      <c r="AB2330" s="21"/>
      <c r="AC2330" s="21">
        <v>6</v>
      </c>
      <c r="AD2330" s="21"/>
      <c r="AE2330" s="21"/>
      <c r="AF2330" s="21"/>
      <c r="AG2330" s="21"/>
      <c r="AH2330" s="21">
        <v>7</v>
      </c>
      <c r="AI2330" s="21"/>
      <c r="AJ2330" s="21"/>
      <c r="AK2330" s="21"/>
      <c r="AL2330" s="21"/>
      <c r="AM2330" s="21">
        <v>10</v>
      </c>
      <c r="AN2330" s="21">
        <v>3</v>
      </c>
      <c r="AO2330" s="21"/>
      <c r="AP2330" s="21"/>
      <c r="AQ2330" s="21"/>
      <c r="AR2330" s="21"/>
      <c r="AS2330" s="21"/>
      <c r="AT2330" s="12" t="str">
        <f>HYPERLINK("http://www.openstreetmap.org/?mlat=32.1438&amp;mlon=44.9305&amp;zoom=12#map=12/32.1438/44.9305","Maplink1")</f>
        <v>Maplink1</v>
      </c>
      <c r="AU2330" s="12" t="str">
        <f>HYPERLINK("https://www.google.iq/maps/search/+32.1438,44.9305/@32.1438,44.9305,14z?hl=en","Maplink2")</f>
        <v>Maplink2</v>
      </c>
      <c r="AV2330" s="12" t="str">
        <f>HYPERLINK("http://www.bing.com/maps/?lvl=14&amp;sty=h&amp;cp=32.1438~44.9305&amp;sp=point.32.1438_44.9305","Maplink3")</f>
        <v>Maplink3</v>
      </c>
    </row>
    <row r="2331" spans="1:48" ht="15" customHeight="1" x14ac:dyDescent="0.25">
      <c r="A2331" s="19">
        <v>25790</v>
      </c>
      <c r="B2331" s="20" t="s">
        <v>22</v>
      </c>
      <c r="C2331" s="20" t="s">
        <v>4095</v>
      </c>
      <c r="D2331" s="20" t="s">
        <v>4150</v>
      </c>
      <c r="E2331" s="20" t="s">
        <v>4151</v>
      </c>
      <c r="F2331" s="20">
        <v>31.996761759999998</v>
      </c>
      <c r="G2331" s="20">
        <v>44.879768720000001</v>
      </c>
      <c r="H2331" s="22">
        <v>17</v>
      </c>
      <c r="I2331" s="22">
        <v>102</v>
      </c>
      <c r="J2331" s="21"/>
      <c r="K2331" s="21"/>
      <c r="L2331" s="21"/>
      <c r="M2331" s="21"/>
      <c r="N2331" s="21"/>
      <c r="O2331" s="21"/>
      <c r="P2331" s="21"/>
      <c r="Q2331" s="21"/>
      <c r="R2331" s="21">
        <v>6</v>
      </c>
      <c r="S2331" s="21"/>
      <c r="T2331" s="21"/>
      <c r="U2331" s="21"/>
      <c r="V2331" s="21">
        <v>11</v>
      </c>
      <c r="W2331" s="21"/>
      <c r="X2331" s="21"/>
      <c r="Y2331" s="21"/>
      <c r="Z2331" s="21"/>
      <c r="AA2331" s="21"/>
      <c r="AB2331" s="21"/>
      <c r="AC2331" s="21">
        <v>7</v>
      </c>
      <c r="AD2331" s="21"/>
      <c r="AE2331" s="21"/>
      <c r="AF2331" s="21"/>
      <c r="AG2331" s="21"/>
      <c r="AH2331" s="21">
        <v>10</v>
      </c>
      <c r="AI2331" s="21"/>
      <c r="AJ2331" s="21"/>
      <c r="AK2331" s="21"/>
      <c r="AL2331" s="21"/>
      <c r="AM2331" s="21">
        <v>6</v>
      </c>
      <c r="AN2331" s="21">
        <v>11</v>
      </c>
      <c r="AO2331" s="21"/>
      <c r="AP2331" s="21"/>
      <c r="AQ2331" s="21"/>
      <c r="AR2331" s="21"/>
      <c r="AS2331" s="21"/>
      <c r="AT2331" s="12" t="str">
        <f>HYPERLINK("http://www.openstreetmap.org/?mlat=31.9968&amp;mlon=44.8798&amp;zoom=12#map=12/31.9968/44.8798","Maplink1")</f>
        <v>Maplink1</v>
      </c>
      <c r="AU2331" s="12" t="str">
        <f>HYPERLINK("https://www.google.iq/maps/search/+31.9968,44.8798/@31.9968,44.8798,14z?hl=en","Maplink2")</f>
        <v>Maplink2</v>
      </c>
      <c r="AV2331" s="12" t="str">
        <f>HYPERLINK("http://www.bing.com/maps/?lvl=14&amp;sty=h&amp;cp=31.9968~44.8798&amp;sp=point.31.9968_44.8798","Maplink3")</f>
        <v>Maplink3</v>
      </c>
    </row>
    <row r="2332" spans="1:48" ht="15" customHeight="1" x14ac:dyDescent="0.25">
      <c r="A2332" s="19">
        <v>23551</v>
      </c>
      <c r="B2332" s="20" t="s">
        <v>22</v>
      </c>
      <c r="C2332" s="20" t="s">
        <v>4095</v>
      </c>
      <c r="D2332" s="20" t="s">
        <v>4152</v>
      </c>
      <c r="E2332" s="20" t="s">
        <v>4153</v>
      </c>
      <c r="F2332" s="20">
        <v>32.002351560000001</v>
      </c>
      <c r="G2332" s="20">
        <v>44.87018561</v>
      </c>
      <c r="H2332" s="22">
        <v>22</v>
      </c>
      <c r="I2332" s="22">
        <v>132</v>
      </c>
      <c r="J2332" s="21"/>
      <c r="K2332" s="21"/>
      <c r="L2332" s="21"/>
      <c r="M2332" s="21"/>
      <c r="N2332" s="21"/>
      <c r="O2332" s="21"/>
      <c r="P2332" s="21"/>
      <c r="Q2332" s="21"/>
      <c r="R2332" s="21">
        <v>7</v>
      </c>
      <c r="S2332" s="21"/>
      <c r="T2332" s="21"/>
      <c r="U2332" s="21"/>
      <c r="V2332" s="21">
        <v>15</v>
      </c>
      <c r="W2332" s="21"/>
      <c r="X2332" s="21"/>
      <c r="Y2332" s="21"/>
      <c r="Z2332" s="21"/>
      <c r="AA2332" s="21"/>
      <c r="AB2332" s="21"/>
      <c r="AC2332" s="21">
        <v>3</v>
      </c>
      <c r="AD2332" s="21"/>
      <c r="AE2332" s="21">
        <v>5</v>
      </c>
      <c r="AF2332" s="21"/>
      <c r="AG2332" s="21"/>
      <c r="AH2332" s="21">
        <v>14</v>
      </c>
      <c r="AI2332" s="21"/>
      <c r="AJ2332" s="21"/>
      <c r="AK2332" s="21"/>
      <c r="AL2332" s="21"/>
      <c r="AM2332" s="21">
        <v>19</v>
      </c>
      <c r="AN2332" s="21">
        <v>3</v>
      </c>
      <c r="AO2332" s="21"/>
      <c r="AP2332" s="21"/>
      <c r="AQ2332" s="21"/>
      <c r="AR2332" s="21"/>
      <c r="AS2332" s="21"/>
      <c r="AT2332" s="12" t="str">
        <f>HYPERLINK("http://www.openstreetmap.org/?mlat=32.0024&amp;mlon=44.8702&amp;zoom=12#map=12/32.0024/44.8702","Maplink1")</f>
        <v>Maplink1</v>
      </c>
      <c r="AU2332" s="12" t="str">
        <f>HYPERLINK("https://www.google.iq/maps/search/+32.0024,44.8702/@32.0024,44.8702,14z?hl=en","Maplink2")</f>
        <v>Maplink2</v>
      </c>
      <c r="AV2332" s="12" t="str">
        <f>HYPERLINK("http://www.bing.com/maps/?lvl=14&amp;sty=h&amp;cp=32.0024~44.8702&amp;sp=point.32.0024_44.8702","Maplink3")</f>
        <v>Maplink3</v>
      </c>
    </row>
    <row r="2333" spans="1:48" ht="15" customHeight="1" x14ac:dyDescent="0.25">
      <c r="A2333" s="19">
        <v>22815</v>
      </c>
      <c r="B2333" s="20" t="s">
        <v>22</v>
      </c>
      <c r="C2333" s="20" t="s">
        <v>4095</v>
      </c>
      <c r="D2333" s="20" t="s">
        <v>4154</v>
      </c>
      <c r="E2333" s="20" t="s">
        <v>4155</v>
      </c>
      <c r="F2333" s="20">
        <v>31.993217999999999</v>
      </c>
      <c r="G2333" s="20">
        <v>44.929516999999997</v>
      </c>
      <c r="H2333" s="22">
        <v>15</v>
      </c>
      <c r="I2333" s="22">
        <v>90</v>
      </c>
      <c r="J2333" s="21"/>
      <c r="K2333" s="21"/>
      <c r="L2333" s="21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>
        <v>15</v>
      </c>
      <c r="W2333" s="21"/>
      <c r="X2333" s="21"/>
      <c r="Y2333" s="21"/>
      <c r="Z2333" s="21"/>
      <c r="AA2333" s="21"/>
      <c r="AB2333" s="21"/>
      <c r="AC2333" s="21">
        <v>1</v>
      </c>
      <c r="AD2333" s="21">
        <v>2</v>
      </c>
      <c r="AE2333" s="21"/>
      <c r="AF2333" s="21"/>
      <c r="AG2333" s="21">
        <v>3</v>
      </c>
      <c r="AH2333" s="21">
        <v>9</v>
      </c>
      <c r="AI2333" s="21"/>
      <c r="AJ2333" s="21"/>
      <c r="AK2333" s="21"/>
      <c r="AL2333" s="21"/>
      <c r="AM2333" s="21"/>
      <c r="AN2333" s="21">
        <v>15</v>
      </c>
      <c r="AO2333" s="21"/>
      <c r="AP2333" s="21"/>
      <c r="AQ2333" s="21"/>
      <c r="AR2333" s="21"/>
      <c r="AS2333" s="21"/>
      <c r="AT2333" s="12" t="str">
        <f>HYPERLINK("http://www.openstreetmap.org/?mlat=31.9932&amp;mlon=44.9295&amp;zoom=12#map=12/31.9932/44.9295","Maplink1")</f>
        <v>Maplink1</v>
      </c>
      <c r="AU2333" s="12" t="str">
        <f>HYPERLINK("https://www.google.iq/maps/search/+31.9932,44.9295/@31.9932,44.9295,14z?hl=en","Maplink2")</f>
        <v>Maplink2</v>
      </c>
      <c r="AV2333" s="12" t="str">
        <f>HYPERLINK("http://www.bing.com/maps/?lvl=14&amp;sty=h&amp;cp=31.9932~44.9295&amp;sp=point.31.9932_44.9295","Maplink3")</f>
        <v>Maplink3</v>
      </c>
    </row>
    <row r="2334" spans="1:48" ht="15" customHeight="1" x14ac:dyDescent="0.25">
      <c r="A2334" s="19">
        <v>24739</v>
      </c>
      <c r="B2334" s="20" t="s">
        <v>22</v>
      </c>
      <c r="C2334" s="20" t="s">
        <v>4095</v>
      </c>
      <c r="D2334" s="20" t="s">
        <v>4156</v>
      </c>
      <c r="E2334" s="20" t="s">
        <v>129</v>
      </c>
      <c r="F2334" s="20">
        <v>32.134805579999998</v>
      </c>
      <c r="G2334" s="20">
        <v>44.936314889999998</v>
      </c>
      <c r="H2334" s="22">
        <v>7</v>
      </c>
      <c r="I2334" s="22">
        <v>42</v>
      </c>
      <c r="J2334" s="21"/>
      <c r="K2334" s="21"/>
      <c r="L2334" s="21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>
        <v>7</v>
      </c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21">
        <v>3</v>
      </c>
      <c r="AH2334" s="21">
        <v>4</v>
      </c>
      <c r="AI2334" s="21"/>
      <c r="AJ2334" s="21"/>
      <c r="AK2334" s="21"/>
      <c r="AL2334" s="21"/>
      <c r="AM2334" s="21">
        <v>4</v>
      </c>
      <c r="AN2334" s="21">
        <v>3</v>
      </c>
      <c r="AO2334" s="21"/>
      <c r="AP2334" s="21"/>
      <c r="AQ2334" s="21"/>
      <c r="AR2334" s="21"/>
      <c r="AS2334" s="21"/>
      <c r="AT2334" s="12" t="str">
        <f>HYPERLINK("http://www.openstreetmap.org/?mlat=32.1348&amp;mlon=44.9363&amp;zoom=12#map=12/32.1348/44.9363","Maplink1")</f>
        <v>Maplink1</v>
      </c>
      <c r="AU2334" s="12" t="str">
        <f>HYPERLINK("https://www.google.iq/maps/search/+32.1348,44.9363/@32.1348,44.9363,14z?hl=en","Maplink2")</f>
        <v>Maplink2</v>
      </c>
      <c r="AV2334" s="12" t="str">
        <f>HYPERLINK("http://www.bing.com/maps/?lvl=14&amp;sty=h&amp;cp=32.1348~44.9363&amp;sp=point.32.1348_44.9363","Maplink3")</f>
        <v>Maplink3</v>
      </c>
    </row>
    <row r="2335" spans="1:48" ht="15" customHeight="1" x14ac:dyDescent="0.25">
      <c r="A2335" s="19">
        <v>24148</v>
      </c>
      <c r="B2335" s="20" t="s">
        <v>22</v>
      </c>
      <c r="C2335" s="20" t="s">
        <v>4095</v>
      </c>
      <c r="D2335" s="20" t="s">
        <v>4157</v>
      </c>
      <c r="E2335" s="20" t="s">
        <v>4158</v>
      </c>
      <c r="F2335" s="20">
        <v>31.984071680300001</v>
      </c>
      <c r="G2335" s="20">
        <v>44.936516974100002</v>
      </c>
      <c r="H2335" s="22">
        <v>15</v>
      </c>
      <c r="I2335" s="22">
        <v>90</v>
      </c>
      <c r="J2335" s="21"/>
      <c r="K2335" s="21"/>
      <c r="L2335" s="21"/>
      <c r="M2335" s="21"/>
      <c r="N2335" s="21"/>
      <c r="O2335" s="21"/>
      <c r="P2335" s="21"/>
      <c r="Q2335" s="21"/>
      <c r="R2335" s="21">
        <v>3</v>
      </c>
      <c r="S2335" s="21"/>
      <c r="T2335" s="21"/>
      <c r="U2335" s="21"/>
      <c r="V2335" s="21">
        <v>12</v>
      </c>
      <c r="W2335" s="21"/>
      <c r="X2335" s="21"/>
      <c r="Y2335" s="21"/>
      <c r="Z2335" s="21"/>
      <c r="AA2335" s="21"/>
      <c r="AB2335" s="21"/>
      <c r="AC2335" s="21">
        <v>8</v>
      </c>
      <c r="AD2335" s="21"/>
      <c r="AE2335" s="21"/>
      <c r="AF2335" s="21"/>
      <c r="AG2335" s="21"/>
      <c r="AH2335" s="21">
        <v>7</v>
      </c>
      <c r="AI2335" s="21"/>
      <c r="AJ2335" s="21"/>
      <c r="AK2335" s="21"/>
      <c r="AL2335" s="21"/>
      <c r="AM2335" s="21">
        <v>11</v>
      </c>
      <c r="AN2335" s="21">
        <v>4</v>
      </c>
      <c r="AO2335" s="21"/>
      <c r="AP2335" s="21"/>
      <c r="AQ2335" s="21"/>
      <c r="AR2335" s="21"/>
      <c r="AS2335" s="21"/>
      <c r="AT2335" s="12" t="str">
        <f>HYPERLINK("http://www.openstreetmap.org/?mlat=31.9841&amp;mlon=44.9365&amp;zoom=12#map=12/31.9841/44.9365","Maplink1")</f>
        <v>Maplink1</v>
      </c>
      <c r="AU2335" s="12" t="str">
        <f>HYPERLINK("https://www.google.iq/maps/search/+31.9841,44.9365/@31.9841,44.9365,14z?hl=en","Maplink2")</f>
        <v>Maplink2</v>
      </c>
      <c r="AV2335" s="12" t="str">
        <f>HYPERLINK("http://www.bing.com/maps/?lvl=14&amp;sty=h&amp;cp=31.9841~44.9365&amp;sp=point.31.9841_44.9365","Maplink3")</f>
        <v>Maplink3</v>
      </c>
    </row>
    <row r="2336" spans="1:48" ht="15" customHeight="1" x14ac:dyDescent="0.25">
      <c r="A2336" s="19">
        <v>23680</v>
      </c>
      <c r="B2336" s="20" t="s">
        <v>22</v>
      </c>
      <c r="C2336" s="20" t="s">
        <v>4095</v>
      </c>
      <c r="D2336" s="20" t="s">
        <v>4159</v>
      </c>
      <c r="E2336" s="20" t="s">
        <v>4160</v>
      </c>
      <c r="F2336" s="20">
        <v>32.008988940000002</v>
      </c>
      <c r="G2336" s="20">
        <v>44.930878640000003</v>
      </c>
      <c r="H2336" s="22">
        <v>26</v>
      </c>
      <c r="I2336" s="22">
        <v>156</v>
      </c>
      <c r="J2336" s="21">
        <v>2</v>
      </c>
      <c r="K2336" s="21"/>
      <c r="L2336" s="21">
        <v>10</v>
      </c>
      <c r="M2336" s="21"/>
      <c r="N2336" s="21"/>
      <c r="O2336" s="21">
        <v>3</v>
      </c>
      <c r="P2336" s="21"/>
      <c r="Q2336" s="21"/>
      <c r="R2336" s="21">
        <v>5</v>
      </c>
      <c r="S2336" s="21"/>
      <c r="T2336" s="21"/>
      <c r="U2336" s="21"/>
      <c r="V2336" s="21">
        <v>6</v>
      </c>
      <c r="W2336" s="21"/>
      <c r="X2336" s="21"/>
      <c r="Y2336" s="21"/>
      <c r="Z2336" s="21"/>
      <c r="AA2336" s="21"/>
      <c r="AB2336" s="21"/>
      <c r="AC2336" s="21">
        <v>3</v>
      </c>
      <c r="AD2336" s="21">
        <v>2</v>
      </c>
      <c r="AE2336" s="21"/>
      <c r="AF2336" s="21"/>
      <c r="AG2336" s="21"/>
      <c r="AH2336" s="21">
        <v>21</v>
      </c>
      <c r="AI2336" s="21"/>
      <c r="AJ2336" s="21"/>
      <c r="AK2336" s="21"/>
      <c r="AL2336" s="21"/>
      <c r="AM2336" s="21">
        <v>14</v>
      </c>
      <c r="AN2336" s="21">
        <v>10</v>
      </c>
      <c r="AO2336" s="21">
        <v>2</v>
      </c>
      <c r="AP2336" s="21"/>
      <c r="AQ2336" s="21"/>
      <c r="AR2336" s="21"/>
      <c r="AS2336" s="21"/>
      <c r="AT2336" s="12" t="str">
        <f>HYPERLINK("http://www.openstreetmap.org/?mlat=32.009&amp;mlon=44.9309&amp;zoom=12#map=12/32.009/44.9309","Maplink1")</f>
        <v>Maplink1</v>
      </c>
      <c r="AU2336" s="12" t="str">
        <f>HYPERLINK("https://www.google.iq/maps/search/+32.009,44.9309/@32.009,44.9309,14z?hl=en","Maplink2")</f>
        <v>Maplink2</v>
      </c>
      <c r="AV2336" s="12" t="str">
        <f>HYPERLINK("http://www.bing.com/maps/?lvl=14&amp;sty=h&amp;cp=32.009~44.9309&amp;sp=point.32.009_44.9309","Maplink3")</f>
        <v>Maplink3</v>
      </c>
    </row>
    <row r="2337" spans="1:48" ht="15" customHeight="1" x14ac:dyDescent="0.25">
      <c r="A2337" s="19">
        <v>24903</v>
      </c>
      <c r="B2337" s="20" t="s">
        <v>22</v>
      </c>
      <c r="C2337" s="20" t="s">
        <v>4095</v>
      </c>
      <c r="D2337" s="20" t="s">
        <v>4161</v>
      </c>
      <c r="E2337" s="20" t="s">
        <v>4162</v>
      </c>
      <c r="F2337" s="20">
        <v>32.007012953</v>
      </c>
      <c r="G2337" s="20">
        <v>44.935334816800001</v>
      </c>
      <c r="H2337" s="22">
        <v>15</v>
      </c>
      <c r="I2337" s="22">
        <v>90</v>
      </c>
      <c r="J2337" s="21"/>
      <c r="K2337" s="21"/>
      <c r="L2337" s="21"/>
      <c r="M2337" s="21"/>
      <c r="N2337" s="21"/>
      <c r="O2337" s="21"/>
      <c r="P2337" s="21"/>
      <c r="Q2337" s="21"/>
      <c r="R2337" s="21">
        <v>6</v>
      </c>
      <c r="S2337" s="21"/>
      <c r="T2337" s="21"/>
      <c r="U2337" s="21"/>
      <c r="V2337" s="21">
        <v>9</v>
      </c>
      <c r="W2337" s="21"/>
      <c r="X2337" s="21"/>
      <c r="Y2337" s="21"/>
      <c r="Z2337" s="21"/>
      <c r="AA2337" s="21"/>
      <c r="AB2337" s="21"/>
      <c r="AC2337" s="21">
        <v>2</v>
      </c>
      <c r="AD2337" s="21">
        <v>2</v>
      </c>
      <c r="AE2337" s="21"/>
      <c r="AF2337" s="21"/>
      <c r="AG2337" s="21">
        <v>1</v>
      </c>
      <c r="AH2337" s="21">
        <v>10</v>
      </c>
      <c r="AI2337" s="21"/>
      <c r="AJ2337" s="21"/>
      <c r="AK2337" s="21"/>
      <c r="AL2337" s="21"/>
      <c r="AM2337" s="21">
        <v>6</v>
      </c>
      <c r="AN2337" s="21">
        <v>9</v>
      </c>
      <c r="AO2337" s="21"/>
      <c r="AP2337" s="21"/>
      <c r="AQ2337" s="21"/>
      <c r="AR2337" s="21"/>
      <c r="AS2337" s="21"/>
      <c r="AT2337" s="12" t="str">
        <f>HYPERLINK("http://www.openstreetmap.org/?mlat=32.007&amp;mlon=44.9353&amp;zoom=12#map=12/32.007/44.9353","Maplink1")</f>
        <v>Maplink1</v>
      </c>
      <c r="AU2337" s="12" t="str">
        <f>HYPERLINK("https://www.google.iq/maps/search/+32.007,44.9353/@32.007,44.9353,14z?hl=en","Maplink2")</f>
        <v>Maplink2</v>
      </c>
      <c r="AV2337" s="12" t="str">
        <f>HYPERLINK("http://www.bing.com/maps/?lvl=14&amp;sty=h&amp;cp=32.007~44.9353&amp;sp=point.32.007_44.9353","Maplink3")</f>
        <v>Maplink3</v>
      </c>
    </row>
    <row r="2338" spans="1:48" ht="15" customHeight="1" x14ac:dyDescent="0.25">
      <c r="A2338" s="19">
        <v>24208</v>
      </c>
      <c r="B2338" s="20" t="s">
        <v>22</v>
      </c>
      <c r="C2338" s="20" t="s">
        <v>4095</v>
      </c>
      <c r="D2338" s="20" t="s">
        <v>4163</v>
      </c>
      <c r="E2338" s="20" t="s">
        <v>4164</v>
      </c>
      <c r="F2338" s="20">
        <v>32.005279950000002</v>
      </c>
      <c r="G2338" s="20">
        <v>44.94180411</v>
      </c>
      <c r="H2338" s="22">
        <v>30</v>
      </c>
      <c r="I2338" s="22">
        <v>180</v>
      </c>
      <c r="J2338" s="21">
        <v>4</v>
      </c>
      <c r="K2338" s="21"/>
      <c r="L2338" s="21">
        <v>3</v>
      </c>
      <c r="M2338" s="21"/>
      <c r="N2338" s="21"/>
      <c r="O2338" s="21"/>
      <c r="P2338" s="21"/>
      <c r="Q2338" s="21"/>
      <c r="R2338" s="21">
        <v>8</v>
      </c>
      <c r="S2338" s="21"/>
      <c r="T2338" s="21"/>
      <c r="U2338" s="21"/>
      <c r="V2338" s="21">
        <v>11</v>
      </c>
      <c r="W2338" s="21"/>
      <c r="X2338" s="21">
        <v>4</v>
      </c>
      <c r="Y2338" s="21"/>
      <c r="Z2338" s="21"/>
      <c r="AA2338" s="21"/>
      <c r="AB2338" s="21"/>
      <c r="AC2338" s="21">
        <v>5</v>
      </c>
      <c r="AD2338" s="21">
        <v>5</v>
      </c>
      <c r="AE2338" s="21"/>
      <c r="AF2338" s="21"/>
      <c r="AG2338" s="21"/>
      <c r="AH2338" s="21">
        <v>20</v>
      </c>
      <c r="AI2338" s="21"/>
      <c r="AJ2338" s="21"/>
      <c r="AK2338" s="21"/>
      <c r="AL2338" s="21"/>
      <c r="AM2338" s="21">
        <v>11</v>
      </c>
      <c r="AN2338" s="21">
        <v>13</v>
      </c>
      <c r="AO2338" s="21">
        <v>6</v>
      </c>
      <c r="AP2338" s="21"/>
      <c r="AQ2338" s="21"/>
      <c r="AR2338" s="21"/>
      <c r="AS2338" s="21"/>
      <c r="AT2338" s="12" t="str">
        <f>HYPERLINK("http://www.openstreetmap.org/?mlat=32.0053&amp;mlon=44.9418&amp;zoom=12#map=12/32.0053/44.9418","Maplink1")</f>
        <v>Maplink1</v>
      </c>
      <c r="AU2338" s="12" t="str">
        <f>HYPERLINK("https://www.google.iq/maps/search/+32.0053,44.9418/@32.0053,44.9418,14z?hl=en","Maplink2")</f>
        <v>Maplink2</v>
      </c>
      <c r="AV2338" s="12" t="str">
        <f>HYPERLINK("http://www.bing.com/maps/?lvl=14&amp;sty=h&amp;cp=32.0053~44.9418&amp;sp=point.32.0053_44.9418","Maplink3")</f>
        <v>Maplink3</v>
      </c>
    </row>
    <row r="2339" spans="1:48" ht="15" customHeight="1" x14ac:dyDescent="0.25">
      <c r="A2339" s="19">
        <v>21554</v>
      </c>
      <c r="B2339" s="20" t="s">
        <v>22</v>
      </c>
      <c r="C2339" s="20" t="s">
        <v>4095</v>
      </c>
      <c r="D2339" s="20" t="s">
        <v>116</v>
      </c>
      <c r="E2339" s="20" t="s">
        <v>4165</v>
      </c>
      <c r="F2339" s="20">
        <v>32.013669020000002</v>
      </c>
      <c r="G2339" s="20">
        <v>44.933577020000001</v>
      </c>
      <c r="H2339" s="22">
        <v>7</v>
      </c>
      <c r="I2339" s="22">
        <v>42</v>
      </c>
      <c r="J2339" s="21"/>
      <c r="K2339" s="21"/>
      <c r="L2339" s="21">
        <v>2</v>
      </c>
      <c r="M2339" s="21"/>
      <c r="N2339" s="21"/>
      <c r="O2339" s="21"/>
      <c r="P2339" s="21"/>
      <c r="Q2339" s="21"/>
      <c r="R2339" s="21"/>
      <c r="S2339" s="21"/>
      <c r="T2339" s="21"/>
      <c r="U2339" s="21"/>
      <c r="V2339" s="21">
        <v>5</v>
      </c>
      <c r="W2339" s="21"/>
      <c r="X2339" s="21"/>
      <c r="Y2339" s="21"/>
      <c r="Z2339" s="21"/>
      <c r="AA2339" s="21"/>
      <c r="AB2339" s="21"/>
      <c r="AC2339" s="21">
        <v>1</v>
      </c>
      <c r="AD2339" s="21"/>
      <c r="AE2339" s="21"/>
      <c r="AF2339" s="21"/>
      <c r="AG2339" s="21"/>
      <c r="AH2339" s="21">
        <v>6</v>
      </c>
      <c r="AI2339" s="21"/>
      <c r="AJ2339" s="21"/>
      <c r="AK2339" s="21"/>
      <c r="AL2339" s="21"/>
      <c r="AM2339" s="21"/>
      <c r="AN2339" s="21">
        <v>3</v>
      </c>
      <c r="AO2339" s="21">
        <v>4</v>
      </c>
      <c r="AP2339" s="21"/>
      <c r="AQ2339" s="21"/>
      <c r="AR2339" s="21"/>
      <c r="AS2339" s="21"/>
      <c r="AT2339" s="12" t="str">
        <f>HYPERLINK("http://www.openstreetmap.org/?mlat=32.0137&amp;mlon=44.9336&amp;zoom=12#map=12/32.0137/44.9336","Maplink1")</f>
        <v>Maplink1</v>
      </c>
      <c r="AU2339" s="12" t="str">
        <f>HYPERLINK("https://www.google.iq/maps/search/+32.0137,44.9336/@32.0137,44.9336,14z?hl=en","Maplink2")</f>
        <v>Maplink2</v>
      </c>
      <c r="AV2339" s="12" t="str">
        <f>HYPERLINK("http://www.bing.com/maps/?lvl=14&amp;sty=h&amp;cp=32.0137~44.9336&amp;sp=point.32.0137_44.9336","Maplink3")</f>
        <v>Maplink3</v>
      </c>
    </row>
    <row r="2340" spans="1:48" ht="15" customHeight="1" x14ac:dyDescent="0.25">
      <c r="A2340" s="19">
        <v>24149</v>
      </c>
      <c r="B2340" s="20" t="s">
        <v>22</v>
      </c>
      <c r="C2340" s="20" t="s">
        <v>4095</v>
      </c>
      <c r="D2340" s="20" t="s">
        <v>4166</v>
      </c>
      <c r="E2340" s="20" t="s">
        <v>4167</v>
      </c>
      <c r="F2340" s="20">
        <v>32.13644274</v>
      </c>
      <c r="G2340" s="20">
        <v>44.933603679999997</v>
      </c>
      <c r="H2340" s="22">
        <v>8</v>
      </c>
      <c r="I2340" s="22">
        <v>48</v>
      </c>
      <c r="J2340" s="21"/>
      <c r="K2340" s="21"/>
      <c r="L2340" s="21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>
        <v>8</v>
      </c>
      <c r="W2340" s="21"/>
      <c r="X2340" s="21"/>
      <c r="Y2340" s="21"/>
      <c r="Z2340" s="21"/>
      <c r="AA2340" s="21"/>
      <c r="AB2340" s="21"/>
      <c r="AC2340" s="21">
        <v>1</v>
      </c>
      <c r="AD2340" s="21"/>
      <c r="AE2340" s="21"/>
      <c r="AF2340" s="21"/>
      <c r="AG2340" s="21">
        <v>5</v>
      </c>
      <c r="AH2340" s="21">
        <v>2</v>
      </c>
      <c r="AI2340" s="21"/>
      <c r="AJ2340" s="21"/>
      <c r="AK2340" s="21"/>
      <c r="AL2340" s="21"/>
      <c r="AM2340" s="21">
        <v>2</v>
      </c>
      <c r="AN2340" s="21">
        <v>6</v>
      </c>
      <c r="AO2340" s="21"/>
      <c r="AP2340" s="21"/>
      <c r="AQ2340" s="21"/>
      <c r="AR2340" s="21"/>
      <c r="AS2340" s="21"/>
      <c r="AT2340" s="12" t="str">
        <f>HYPERLINK("http://www.openstreetmap.org/?mlat=32.1364&amp;mlon=44.9336&amp;zoom=12#map=12/32.1364/44.9336","Maplink1")</f>
        <v>Maplink1</v>
      </c>
      <c r="AU2340" s="12" t="str">
        <f>HYPERLINK("https://www.google.iq/maps/search/+32.1364,44.9336/@32.1364,44.9336,14z?hl=en","Maplink2")</f>
        <v>Maplink2</v>
      </c>
      <c r="AV2340" s="12" t="str">
        <f>HYPERLINK("http://www.bing.com/maps/?lvl=14&amp;sty=h&amp;cp=32.1364~44.9336&amp;sp=point.32.1364_44.9336","Maplink3")</f>
        <v>Maplink3</v>
      </c>
    </row>
    <row r="2341" spans="1:48" ht="15" customHeight="1" x14ac:dyDescent="0.25">
      <c r="A2341" s="19">
        <v>24382</v>
      </c>
      <c r="B2341" s="20" t="s">
        <v>22</v>
      </c>
      <c r="C2341" s="20" t="s">
        <v>4095</v>
      </c>
      <c r="D2341" s="20" t="s">
        <v>4168</v>
      </c>
      <c r="E2341" s="20" t="s">
        <v>4169</v>
      </c>
      <c r="F2341" s="20">
        <v>32.003074920000003</v>
      </c>
      <c r="G2341" s="20">
        <v>44.862545419999996</v>
      </c>
      <c r="H2341" s="22">
        <v>17</v>
      </c>
      <c r="I2341" s="22">
        <v>102</v>
      </c>
      <c r="J2341" s="21"/>
      <c r="K2341" s="21"/>
      <c r="L2341" s="21"/>
      <c r="M2341" s="21"/>
      <c r="N2341" s="21"/>
      <c r="O2341" s="21"/>
      <c r="P2341" s="21"/>
      <c r="Q2341" s="21"/>
      <c r="R2341" s="21">
        <v>3</v>
      </c>
      <c r="S2341" s="21"/>
      <c r="T2341" s="21"/>
      <c r="U2341" s="21"/>
      <c r="V2341" s="21">
        <v>14</v>
      </c>
      <c r="W2341" s="21"/>
      <c r="X2341" s="21"/>
      <c r="Y2341" s="21"/>
      <c r="Z2341" s="21"/>
      <c r="AA2341" s="21"/>
      <c r="AB2341" s="21"/>
      <c r="AC2341" s="21">
        <v>1</v>
      </c>
      <c r="AD2341" s="21">
        <v>3</v>
      </c>
      <c r="AE2341" s="21"/>
      <c r="AF2341" s="21"/>
      <c r="AG2341" s="21">
        <v>5</v>
      </c>
      <c r="AH2341" s="21">
        <v>8</v>
      </c>
      <c r="AI2341" s="21"/>
      <c r="AJ2341" s="21"/>
      <c r="AK2341" s="21"/>
      <c r="AL2341" s="21"/>
      <c r="AM2341" s="21">
        <v>17</v>
      </c>
      <c r="AN2341" s="21"/>
      <c r="AO2341" s="21"/>
      <c r="AP2341" s="21"/>
      <c r="AQ2341" s="21"/>
      <c r="AR2341" s="21"/>
      <c r="AS2341" s="21"/>
      <c r="AT2341" s="12" t="str">
        <f>HYPERLINK("http://www.openstreetmap.org/?mlat=32.0031&amp;mlon=44.8625&amp;zoom=12#map=12/32.0031/44.8625","Maplink1")</f>
        <v>Maplink1</v>
      </c>
      <c r="AU2341" s="12" t="str">
        <f>HYPERLINK("https://www.google.iq/maps/search/+32.0031,44.8625/@32.0031,44.8625,14z?hl=en","Maplink2")</f>
        <v>Maplink2</v>
      </c>
      <c r="AV2341" s="12" t="str">
        <f>HYPERLINK("http://www.bing.com/maps/?lvl=14&amp;sty=h&amp;cp=32.0031~44.8625&amp;sp=point.32.0031_44.8625","Maplink3")</f>
        <v>Maplink3</v>
      </c>
    </row>
    <row r="2342" spans="1:48" ht="15" customHeight="1" x14ac:dyDescent="0.25">
      <c r="A2342" s="19">
        <v>21727</v>
      </c>
      <c r="B2342" s="20" t="s">
        <v>22</v>
      </c>
      <c r="C2342" s="20" t="s">
        <v>4095</v>
      </c>
      <c r="D2342" s="20" t="s">
        <v>4170</v>
      </c>
      <c r="E2342" s="20" t="s">
        <v>4171</v>
      </c>
      <c r="F2342" s="20">
        <v>31.971261160000001</v>
      </c>
      <c r="G2342" s="20">
        <v>44.961516000000003</v>
      </c>
      <c r="H2342" s="22">
        <v>8</v>
      </c>
      <c r="I2342" s="22">
        <v>48</v>
      </c>
      <c r="J2342" s="21">
        <v>1</v>
      </c>
      <c r="K2342" s="21"/>
      <c r="L2342" s="21"/>
      <c r="M2342" s="21"/>
      <c r="N2342" s="21"/>
      <c r="O2342" s="21"/>
      <c r="P2342" s="21"/>
      <c r="Q2342" s="21"/>
      <c r="R2342" s="21">
        <v>2</v>
      </c>
      <c r="S2342" s="21"/>
      <c r="T2342" s="21"/>
      <c r="U2342" s="21"/>
      <c r="V2342" s="21">
        <v>5</v>
      </c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21">
        <v>6</v>
      </c>
      <c r="AH2342" s="21">
        <v>2</v>
      </c>
      <c r="AI2342" s="21"/>
      <c r="AJ2342" s="21"/>
      <c r="AK2342" s="21"/>
      <c r="AL2342" s="21"/>
      <c r="AM2342" s="21">
        <v>2</v>
      </c>
      <c r="AN2342" s="21">
        <v>5</v>
      </c>
      <c r="AO2342" s="21">
        <v>1</v>
      </c>
      <c r="AP2342" s="21"/>
      <c r="AQ2342" s="21"/>
      <c r="AR2342" s="21"/>
      <c r="AS2342" s="21"/>
      <c r="AT2342" s="12" t="str">
        <f>HYPERLINK("http://www.openstreetmap.org/?mlat=31.9713&amp;mlon=44.9615&amp;zoom=12#map=12/31.9713/44.9615","Maplink1")</f>
        <v>Maplink1</v>
      </c>
      <c r="AU2342" s="12" t="str">
        <f>HYPERLINK("https://www.google.iq/maps/search/+31.9713,44.9615/@31.9713,44.9615,14z?hl=en","Maplink2")</f>
        <v>Maplink2</v>
      </c>
      <c r="AV2342" s="12" t="str">
        <f>HYPERLINK("http://www.bing.com/maps/?lvl=14&amp;sty=h&amp;cp=31.9713~44.9615&amp;sp=point.31.9713_44.9615","Maplink3")</f>
        <v>Maplink3</v>
      </c>
    </row>
    <row r="2343" spans="1:48" ht="15" customHeight="1" x14ac:dyDescent="0.25">
      <c r="A2343" s="19">
        <v>24309</v>
      </c>
      <c r="B2343" s="20" t="s">
        <v>22</v>
      </c>
      <c r="C2343" s="20" t="s">
        <v>4095</v>
      </c>
      <c r="D2343" s="20" t="s">
        <v>4172</v>
      </c>
      <c r="E2343" s="20" t="s">
        <v>4047</v>
      </c>
      <c r="F2343" s="20">
        <v>32.064902189999998</v>
      </c>
      <c r="G2343" s="20">
        <v>44.774859900000003</v>
      </c>
      <c r="H2343" s="22">
        <v>10</v>
      </c>
      <c r="I2343" s="22">
        <v>60</v>
      </c>
      <c r="J2343" s="21"/>
      <c r="K2343" s="21"/>
      <c r="L2343" s="21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>
        <v>10</v>
      </c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21">
        <v>1</v>
      </c>
      <c r="AH2343" s="21">
        <v>9</v>
      </c>
      <c r="AI2343" s="21"/>
      <c r="AJ2343" s="21"/>
      <c r="AK2343" s="21"/>
      <c r="AL2343" s="21"/>
      <c r="AM2343" s="21">
        <v>9</v>
      </c>
      <c r="AN2343" s="21">
        <v>1</v>
      </c>
      <c r="AO2343" s="21"/>
      <c r="AP2343" s="21"/>
      <c r="AQ2343" s="21"/>
      <c r="AR2343" s="21"/>
      <c r="AS2343" s="21"/>
      <c r="AT2343" s="12" t="str">
        <f>HYPERLINK("http://www.openstreetmap.org/?mlat=32.0649&amp;mlon=44.7749&amp;zoom=12#map=12/32.0649/44.7749","Maplink1")</f>
        <v>Maplink1</v>
      </c>
      <c r="AU2343" s="12" t="str">
        <f>HYPERLINK("https://www.google.iq/maps/search/+32.0649,44.7749/@32.0649,44.7749,14z?hl=en","Maplink2")</f>
        <v>Maplink2</v>
      </c>
      <c r="AV2343" s="12" t="str">
        <f>HYPERLINK("http://www.bing.com/maps/?lvl=14&amp;sty=h&amp;cp=32.0649~44.7749&amp;sp=point.32.0649_44.7749","Maplink3")</f>
        <v>Maplink3</v>
      </c>
    </row>
    <row r="2344" spans="1:48" ht="15" customHeight="1" x14ac:dyDescent="0.25">
      <c r="A2344" s="19">
        <v>21734</v>
      </c>
      <c r="B2344" s="20" t="s">
        <v>22</v>
      </c>
      <c r="C2344" s="20" t="s">
        <v>4095</v>
      </c>
      <c r="D2344" s="20" t="s">
        <v>4173</v>
      </c>
      <c r="E2344" s="20" t="s">
        <v>4174</v>
      </c>
      <c r="F2344" s="20">
        <v>31.987992021</v>
      </c>
      <c r="G2344" s="20">
        <v>44.951419373500002</v>
      </c>
      <c r="H2344" s="22">
        <v>7</v>
      </c>
      <c r="I2344" s="22">
        <v>42</v>
      </c>
      <c r="J2344" s="21"/>
      <c r="K2344" s="21"/>
      <c r="L2344" s="21"/>
      <c r="M2344" s="21"/>
      <c r="N2344" s="21"/>
      <c r="O2344" s="21"/>
      <c r="P2344" s="21"/>
      <c r="Q2344" s="21"/>
      <c r="R2344" s="21">
        <v>4</v>
      </c>
      <c r="S2344" s="21"/>
      <c r="T2344" s="21"/>
      <c r="U2344" s="21"/>
      <c r="V2344" s="21">
        <v>3</v>
      </c>
      <c r="W2344" s="21"/>
      <c r="X2344" s="21"/>
      <c r="Y2344" s="21"/>
      <c r="Z2344" s="21"/>
      <c r="AA2344" s="21"/>
      <c r="AB2344" s="21"/>
      <c r="AC2344" s="21">
        <v>1</v>
      </c>
      <c r="AD2344" s="21"/>
      <c r="AE2344" s="21"/>
      <c r="AF2344" s="21"/>
      <c r="AG2344" s="21"/>
      <c r="AH2344" s="21">
        <v>6</v>
      </c>
      <c r="AI2344" s="21"/>
      <c r="AJ2344" s="21"/>
      <c r="AK2344" s="21"/>
      <c r="AL2344" s="21"/>
      <c r="AM2344" s="21">
        <v>7</v>
      </c>
      <c r="AN2344" s="21"/>
      <c r="AO2344" s="21"/>
      <c r="AP2344" s="21"/>
      <c r="AQ2344" s="21"/>
      <c r="AR2344" s="21"/>
      <c r="AS2344" s="21"/>
      <c r="AT2344" s="12" t="str">
        <f>HYPERLINK("http://www.openstreetmap.org/?mlat=31.988&amp;mlon=44.9514&amp;zoom=12#map=12/31.988/44.9514","Maplink1")</f>
        <v>Maplink1</v>
      </c>
      <c r="AU2344" s="12" t="str">
        <f>HYPERLINK("https://www.google.iq/maps/search/+31.988,44.9514/@31.988,44.9514,14z?hl=en","Maplink2")</f>
        <v>Maplink2</v>
      </c>
      <c r="AV2344" s="12" t="str">
        <f>HYPERLINK("http://www.bing.com/maps/?lvl=14&amp;sty=h&amp;cp=31.988~44.9514&amp;sp=point.31.988_44.9514","Maplink3")</f>
        <v>Maplink3</v>
      </c>
    </row>
    <row r="2345" spans="1:48" ht="15" customHeight="1" x14ac:dyDescent="0.25">
      <c r="A2345" s="19">
        <v>21946</v>
      </c>
      <c r="B2345" s="20" t="s">
        <v>22</v>
      </c>
      <c r="C2345" s="20" t="s">
        <v>4095</v>
      </c>
      <c r="D2345" s="20" t="s">
        <v>4175</v>
      </c>
      <c r="E2345" s="20" t="s">
        <v>4176</v>
      </c>
      <c r="F2345" s="20">
        <v>31.994690800000001</v>
      </c>
      <c r="G2345" s="20">
        <v>44.946085250000003</v>
      </c>
      <c r="H2345" s="22">
        <v>11</v>
      </c>
      <c r="I2345" s="22">
        <v>66</v>
      </c>
      <c r="J2345" s="21"/>
      <c r="K2345" s="21"/>
      <c r="L2345" s="21"/>
      <c r="M2345" s="21"/>
      <c r="N2345" s="21"/>
      <c r="O2345" s="21"/>
      <c r="P2345" s="21"/>
      <c r="Q2345" s="21"/>
      <c r="R2345" s="21">
        <v>5</v>
      </c>
      <c r="S2345" s="21"/>
      <c r="T2345" s="21"/>
      <c r="U2345" s="21"/>
      <c r="V2345" s="21">
        <v>6</v>
      </c>
      <c r="W2345" s="21"/>
      <c r="X2345" s="21"/>
      <c r="Y2345" s="21"/>
      <c r="Z2345" s="21"/>
      <c r="AA2345" s="21"/>
      <c r="AB2345" s="21"/>
      <c r="AC2345" s="21">
        <v>3</v>
      </c>
      <c r="AD2345" s="21">
        <v>2</v>
      </c>
      <c r="AE2345" s="21"/>
      <c r="AF2345" s="21"/>
      <c r="AG2345" s="21"/>
      <c r="AH2345" s="21">
        <v>6</v>
      </c>
      <c r="AI2345" s="21"/>
      <c r="AJ2345" s="21"/>
      <c r="AK2345" s="21"/>
      <c r="AL2345" s="21"/>
      <c r="AM2345" s="21">
        <v>10</v>
      </c>
      <c r="AN2345" s="21">
        <v>1</v>
      </c>
      <c r="AO2345" s="21"/>
      <c r="AP2345" s="21"/>
      <c r="AQ2345" s="21"/>
      <c r="AR2345" s="21"/>
      <c r="AS2345" s="21"/>
      <c r="AT2345" s="12" t="str">
        <f>HYPERLINK("http://www.openstreetmap.org/?mlat=31.9947&amp;mlon=44.9461&amp;zoom=12#map=12/31.9947/44.9461","Maplink1")</f>
        <v>Maplink1</v>
      </c>
      <c r="AU2345" s="12" t="str">
        <f>HYPERLINK("https://www.google.iq/maps/search/+31.9947,44.9461/@31.9947,44.9461,14z?hl=en","Maplink2")</f>
        <v>Maplink2</v>
      </c>
      <c r="AV2345" s="12" t="str">
        <f>HYPERLINK("http://www.bing.com/maps/?lvl=14&amp;sty=h&amp;cp=31.9947~44.9461&amp;sp=point.31.9947_44.9461","Maplink3")</f>
        <v>Maplink3</v>
      </c>
    </row>
    <row r="2346" spans="1:48" ht="15" customHeight="1" x14ac:dyDescent="0.25">
      <c r="A2346" s="19">
        <v>21945</v>
      </c>
      <c r="B2346" s="20" t="s">
        <v>22</v>
      </c>
      <c r="C2346" s="20" t="s">
        <v>4095</v>
      </c>
      <c r="D2346" s="20" t="s">
        <v>4177</v>
      </c>
      <c r="E2346" s="20" t="s">
        <v>4178</v>
      </c>
      <c r="F2346" s="20">
        <v>31.995792139999999</v>
      </c>
      <c r="G2346" s="20">
        <v>44.942252209999999</v>
      </c>
      <c r="H2346" s="22">
        <v>9</v>
      </c>
      <c r="I2346" s="22">
        <v>54</v>
      </c>
      <c r="J2346" s="21"/>
      <c r="K2346" s="21"/>
      <c r="L2346" s="21">
        <v>2</v>
      </c>
      <c r="M2346" s="21"/>
      <c r="N2346" s="21"/>
      <c r="O2346" s="21"/>
      <c r="P2346" s="21"/>
      <c r="Q2346" s="21"/>
      <c r="R2346" s="21">
        <v>5</v>
      </c>
      <c r="S2346" s="21"/>
      <c r="T2346" s="21"/>
      <c r="U2346" s="21"/>
      <c r="V2346" s="21">
        <v>2</v>
      </c>
      <c r="W2346" s="21"/>
      <c r="X2346" s="21"/>
      <c r="Y2346" s="21"/>
      <c r="Z2346" s="21"/>
      <c r="AA2346" s="21"/>
      <c r="AB2346" s="21"/>
      <c r="AC2346" s="21">
        <v>6</v>
      </c>
      <c r="AD2346" s="21"/>
      <c r="AE2346" s="21"/>
      <c r="AF2346" s="21"/>
      <c r="AG2346" s="21"/>
      <c r="AH2346" s="21">
        <v>3</v>
      </c>
      <c r="AI2346" s="21"/>
      <c r="AJ2346" s="21"/>
      <c r="AK2346" s="21"/>
      <c r="AL2346" s="21">
        <v>2</v>
      </c>
      <c r="AM2346" s="21">
        <v>1</v>
      </c>
      <c r="AN2346" s="21">
        <v>2</v>
      </c>
      <c r="AO2346" s="21">
        <v>4</v>
      </c>
      <c r="AP2346" s="21"/>
      <c r="AQ2346" s="21"/>
      <c r="AR2346" s="21"/>
      <c r="AS2346" s="21"/>
      <c r="AT2346" s="12" t="str">
        <f>HYPERLINK("http://www.openstreetmap.org/?mlat=31.9958&amp;mlon=44.9423&amp;zoom=12#map=12/31.9958/44.9423","Maplink1")</f>
        <v>Maplink1</v>
      </c>
      <c r="AU2346" s="12" t="str">
        <f>HYPERLINK("https://www.google.iq/maps/search/+31.9958,44.9423/@31.9958,44.9423,14z?hl=en","Maplink2")</f>
        <v>Maplink2</v>
      </c>
      <c r="AV2346" s="12" t="str">
        <f>HYPERLINK("http://www.bing.com/maps/?lvl=14&amp;sty=h&amp;cp=31.9958~44.9423&amp;sp=point.31.9958_44.9423","Maplink3")</f>
        <v>Maplink3</v>
      </c>
    </row>
    <row r="2347" spans="1:48" ht="15" customHeight="1" x14ac:dyDescent="0.25">
      <c r="A2347" s="19">
        <v>25327</v>
      </c>
      <c r="B2347" s="20" t="s">
        <v>22</v>
      </c>
      <c r="C2347" s="20" t="s">
        <v>4095</v>
      </c>
      <c r="D2347" s="20" t="s">
        <v>3232</v>
      </c>
      <c r="E2347" s="20" t="s">
        <v>1416</v>
      </c>
      <c r="F2347" s="20">
        <v>31.950489000000001</v>
      </c>
      <c r="G2347" s="20">
        <v>44.834866949999999</v>
      </c>
      <c r="H2347" s="22">
        <v>16</v>
      </c>
      <c r="I2347" s="22">
        <v>96</v>
      </c>
      <c r="J2347" s="21"/>
      <c r="K2347" s="21"/>
      <c r="L2347" s="21">
        <v>2</v>
      </c>
      <c r="M2347" s="21"/>
      <c r="N2347" s="21"/>
      <c r="O2347" s="21"/>
      <c r="P2347" s="21"/>
      <c r="Q2347" s="21"/>
      <c r="R2347" s="21">
        <v>3</v>
      </c>
      <c r="S2347" s="21"/>
      <c r="T2347" s="21"/>
      <c r="U2347" s="21"/>
      <c r="V2347" s="21">
        <v>11</v>
      </c>
      <c r="W2347" s="21"/>
      <c r="X2347" s="21"/>
      <c r="Y2347" s="21"/>
      <c r="Z2347" s="21"/>
      <c r="AA2347" s="21"/>
      <c r="AB2347" s="21"/>
      <c r="AC2347" s="21">
        <v>5</v>
      </c>
      <c r="AD2347" s="21">
        <v>1</v>
      </c>
      <c r="AE2347" s="21"/>
      <c r="AF2347" s="21"/>
      <c r="AG2347" s="21"/>
      <c r="AH2347" s="21">
        <v>10</v>
      </c>
      <c r="AI2347" s="21"/>
      <c r="AJ2347" s="21"/>
      <c r="AK2347" s="21"/>
      <c r="AL2347" s="21"/>
      <c r="AM2347" s="21">
        <v>4</v>
      </c>
      <c r="AN2347" s="21">
        <v>12</v>
      </c>
      <c r="AO2347" s="21"/>
      <c r="AP2347" s="21"/>
      <c r="AQ2347" s="21"/>
      <c r="AR2347" s="21"/>
      <c r="AS2347" s="21"/>
      <c r="AT2347" s="12" t="str">
        <f>HYPERLINK("http://www.openstreetmap.org/?mlat=31.9505&amp;mlon=44.8349&amp;zoom=12#map=12/31.9505/44.8349","Maplink1")</f>
        <v>Maplink1</v>
      </c>
      <c r="AU2347" s="12" t="str">
        <f>HYPERLINK("https://www.google.iq/maps/search/+31.9505,44.8349/@31.9505,44.8349,14z?hl=en","Maplink2")</f>
        <v>Maplink2</v>
      </c>
      <c r="AV2347" s="12" t="str">
        <f>HYPERLINK("http://www.bing.com/maps/?lvl=14&amp;sty=h&amp;cp=31.9505~44.8349&amp;sp=point.31.9505_44.8349","Maplink3")</f>
        <v>Maplink3</v>
      </c>
    </row>
    <row r="2348" spans="1:48" ht="15" customHeight="1" x14ac:dyDescent="0.25">
      <c r="A2348" s="19">
        <v>25567</v>
      </c>
      <c r="B2348" s="20" t="s">
        <v>22</v>
      </c>
      <c r="C2348" s="20" t="s">
        <v>4095</v>
      </c>
      <c r="D2348" s="20" t="s">
        <v>4179</v>
      </c>
      <c r="E2348" s="20" t="s">
        <v>4180</v>
      </c>
      <c r="F2348" s="20">
        <v>32.005284349999997</v>
      </c>
      <c r="G2348" s="20">
        <v>44.853854810000001</v>
      </c>
      <c r="H2348" s="22">
        <v>17</v>
      </c>
      <c r="I2348" s="22">
        <v>102</v>
      </c>
      <c r="J2348" s="21"/>
      <c r="K2348" s="21"/>
      <c r="L2348" s="21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>
        <v>17</v>
      </c>
      <c r="W2348" s="21"/>
      <c r="X2348" s="21"/>
      <c r="Y2348" s="21"/>
      <c r="Z2348" s="21"/>
      <c r="AA2348" s="21"/>
      <c r="AB2348" s="21"/>
      <c r="AC2348" s="21">
        <v>3</v>
      </c>
      <c r="AD2348" s="21"/>
      <c r="AE2348" s="21"/>
      <c r="AF2348" s="21"/>
      <c r="AG2348" s="21">
        <v>7</v>
      </c>
      <c r="AH2348" s="21">
        <v>7</v>
      </c>
      <c r="AI2348" s="21"/>
      <c r="AJ2348" s="21"/>
      <c r="AK2348" s="21"/>
      <c r="AL2348" s="21"/>
      <c r="AM2348" s="21">
        <v>15</v>
      </c>
      <c r="AN2348" s="21">
        <v>2</v>
      </c>
      <c r="AO2348" s="21"/>
      <c r="AP2348" s="21"/>
      <c r="AQ2348" s="21"/>
      <c r="AR2348" s="21"/>
      <c r="AS2348" s="21"/>
      <c r="AT2348" s="12" t="str">
        <f>HYPERLINK("http://www.openstreetmap.org/?mlat=32.0053&amp;mlon=44.8539&amp;zoom=12#map=12/32.0053/44.8539","Maplink1")</f>
        <v>Maplink1</v>
      </c>
      <c r="AU2348" s="12" t="str">
        <f>HYPERLINK("https://www.google.iq/maps/search/+32.0053,44.8539/@32.0053,44.8539,14z?hl=en","Maplink2")</f>
        <v>Maplink2</v>
      </c>
      <c r="AV2348" s="12" t="str">
        <f>HYPERLINK("http://www.bing.com/maps/?lvl=14&amp;sty=h&amp;cp=32.0053~44.8539&amp;sp=point.32.0053_44.8539","Maplink3")</f>
        <v>Maplink3</v>
      </c>
    </row>
    <row r="2349" spans="1:48" ht="15" customHeight="1" x14ac:dyDescent="0.25">
      <c r="A2349" s="19">
        <v>25568</v>
      </c>
      <c r="B2349" s="20" t="s">
        <v>22</v>
      </c>
      <c r="C2349" s="20" t="s">
        <v>4095</v>
      </c>
      <c r="D2349" s="20" t="s">
        <v>4181</v>
      </c>
      <c r="E2349" s="20" t="s">
        <v>4182</v>
      </c>
      <c r="F2349" s="20">
        <v>32.006820670000003</v>
      </c>
      <c r="G2349" s="20">
        <v>44.848275899999997</v>
      </c>
      <c r="H2349" s="22">
        <v>23</v>
      </c>
      <c r="I2349" s="22">
        <v>138</v>
      </c>
      <c r="J2349" s="21"/>
      <c r="K2349" s="21"/>
      <c r="L2349" s="21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>
        <v>23</v>
      </c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21">
        <v>10</v>
      </c>
      <c r="AH2349" s="21">
        <v>13</v>
      </c>
      <c r="AI2349" s="21"/>
      <c r="AJ2349" s="21"/>
      <c r="AK2349" s="21"/>
      <c r="AL2349" s="21"/>
      <c r="AM2349" s="21"/>
      <c r="AN2349" s="21">
        <v>23</v>
      </c>
      <c r="AO2349" s="21"/>
      <c r="AP2349" s="21"/>
      <c r="AQ2349" s="21"/>
      <c r="AR2349" s="21"/>
      <c r="AS2349" s="21"/>
      <c r="AT2349" s="12" t="str">
        <f>HYPERLINK("http://www.openstreetmap.org/?mlat=32.0068&amp;mlon=44.8483&amp;zoom=12#map=12/32.0068/44.8483","Maplink1")</f>
        <v>Maplink1</v>
      </c>
      <c r="AU2349" s="12" t="str">
        <f>HYPERLINK("https://www.google.iq/maps/search/+32.0068,44.8483/@32.0068,44.8483,14z?hl=en","Maplink2")</f>
        <v>Maplink2</v>
      </c>
      <c r="AV2349" s="12" t="str">
        <f>HYPERLINK("http://www.bing.com/maps/?lvl=14&amp;sty=h&amp;cp=32.0068~44.8483&amp;sp=point.32.0068_44.8483","Maplink3")</f>
        <v>Maplink3</v>
      </c>
    </row>
    <row r="2350" spans="1:48" ht="15" customHeight="1" x14ac:dyDescent="0.25">
      <c r="A2350" s="19">
        <v>3308</v>
      </c>
      <c r="B2350" s="20" t="s">
        <v>22</v>
      </c>
      <c r="C2350" s="20" t="s">
        <v>4095</v>
      </c>
      <c r="D2350" s="20" t="s">
        <v>4183</v>
      </c>
      <c r="E2350" s="20" t="s">
        <v>112</v>
      </c>
      <c r="F2350" s="20">
        <v>32.134460959999998</v>
      </c>
      <c r="G2350" s="20">
        <v>44.932818040000001</v>
      </c>
      <c r="H2350" s="22">
        <v>10</v>
      </c>
      <c r="I2350" s="22">
        <v>60</v>
      </c>
      <c r="J2350" s="21"/>
      <c r="K2350" s="21"/>
      <c r="L2350" s="21"/>
      <c r="M2350" s="21"/>
      <c r="N2350" s="21"/>
      <c r="O2350" s="21"/>
      <c r="P2350" s="21"/>
      <c r="Q2350" s="21"/>
      <c r="R2350" s="21">
        <v>2</v>
      </c>
      <c r="S2350" s="21"/>
      <c r="T2350" s="21"/>
      <c r="U2350" s="21"/>
      <c r="V2350" s="21">
        <v>8</v>
      </c>
      <c r="W2350" s="21"/>
      <c r="X2350" s="21"/>
      <c r="Y2350" s="21"/>
      <c r="Z2350" s="21"/>
      <c r="AA2350" s="21"/>
      <c r="AB2350" s="21"/>
      <c r="AC2350" s="21">
        <v>3</v>
      </c>
      <c r="AD2350" s="21"/>
      <c r="AE2350" s="21"/>
      <c r="AF2350" s="21"/>
      <c r="AG2350" s="21"/>
      <c r="AH2350" s="21">
        <v>7</v>
      </c>
      <c r="AI2350" s="21"/>
      <c r="AJ2350" s="21"/>
      <c r="AK2350" s="21"/>
      <c r="AL2350" s="21"/>
      <c r="AM2350" s="21">
        <v>6</v>
      </c>
      <c r="AN2350" s="21">
        <v>4</v>
      </c>
      <c r="AO2350" s="21"/>
      <c r="AP2350" s="21"/>
      <c r="AQ2350" s="21"/>
      <c r="AR2350" s="21"/>
      <c r="AS2350" s="21"/>
      <c r="AT2350" s="12" t="str">
        <f>HYPERLINK("http://www.openstreetmap.org/?mlat=32.1345&amp;mlon=44.9328&amp;zoom=12#map=12/32.1345/44.9328","Maplink1")</f>
        <v>Maplink1</v>
      </c>
      <c r="AU2350" s="12" t="str">
        <f>HYPERLINK("https://www.google.iq/maps/search/+32.1345,44.9328/@32.1345,44.9328,14z?hl=en","Maplink2")</f>
        <v>Maplink2</v>
      </c>
      <c r="AV2350" s="12" t="str">
        <f>HYPERLINK("http://www.bing.com/maps/?lvl=14&amp;sty=h&amp;cp=32.1345~44.9328&amp;sp=point.32.1345_44.9328","Maplink3")</f>
        <v>Maplink3</v>
      </c>
    </row>
    <row r="2351" spans="1:48" ht="15" customHeight="1" x14ac:dyDescent="0.25">
      <c r="A2351" s="19">
        <v>24487</v>
      </c>
      <c r="B2351" s="20" t="s">
        <v>22</v>
      </c>
      <c r="C2351" s="20" t="s">
        <v>4095</v>
      </c>
      <c r="D2351" s="20" t="s">
        <v>1411</v>
      </c>
      <c r="E2351" s="20" t="s">
        <v>112</v>
      </c>
      <c r="F2351" s="20">
        <v>32.068758000000003</v>
      </c>
      <c r="G2351" s="20">
        <v>44.769469000000001</v>
      </c>
      <c r="H2351" s="22">
        <v>19</v>
      </c>
      <c r="I2351" s="22">
        <v>114</v>
      </c>
      <c r="J2351" s="21"/>
      <c r="K2351" s="21"/>
      <c r="L2351" s="21">
        <v>4</v>
      </c>
      <c r="M2351" s="21"/>
      <c r="N2351" s="21"/>
      <c r="O2351" s="21"/>
      <c r="P2351" s="21"/>
      <c r="Q2351" s="21"/>
      <c r="R2351" s="21">
        <v>8</v>
      </c>
      <c r="S2351" s="21"/>
      <c r="T2351" s="21"/>
      <c r="U2351" s="21"/>
      <c r="V2351" s="21">
        <v>7</v>
      </c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21">
        <v>9</v>
      </c>
      <c r="AH2351" s="21">
        <v>10</v>
      </c>
      <c r="AI2351" s="21"/>
      <c r="AJ2351" s="21"/>
      <c r="AK2351" s="21"/>
      <c r="AL2351" s="21"/>
      <c r="AM2351" s="21">
        <v>9</v>
      </c>
      <c r="AN2351" s="21">
        <v>10</v>
      </c>
      <c r="AO2351" s="21"/>
      <c r="AP2351" s="21"/>
      <c r="AQ2351" s="21"/>
      <c r="AR2351" s="21"/>
      <c r="AS2351" s="21"/>
      <c r="AT2351" s="12" t="str">
        <f>HYPERLINK("http://www.openstreetmap.org/?mlat=32.0688&amp;mlon=44.7695&amp;zoom=12#map=12/32.0688/44.7695","Maplink1")</f>
        <v>Maplink1</v>
      </c>
      <c r="AU2351" s="12" t="str">
        <f>HYPERLINK("https://www.google.iq/maps/search/+32.0688,44.7695/@32.0688,44.7695,14z?hl=en","Maplink2")</f>
        <v>Maplink2</v>
      </c>
      <c r="AV2351" s="12" t="str">
        <f>HYPERLINK("http://www.bing.com/maps/?lvl=14&amp;sty=h&amp;cp=32.0688~44.7695&amp;sp=point.32.0688_44.7695","Maplink3")</f>
        <v>Maplink3</v>
      </c>
    </row>
    <row r="2352" spans="1:48" ht="15" customHeight="1" x14ac:dyDescent="0.25">
      <c r="A2352" s="19">
        <v>23749</v>
      </c>
      <c r="B2352" s="20" t="s">
        <v>22</v>
      </c>
      <c r="C2352" s="20" t="s">
        <v>4095</v>
      </c>
      <c r="D2352" s="20" t="s">
        <v>4184</v>
      </c>
      <c r="E2352" s="20" t="s">
        <v>4185</v>
      </c>
      <c r="F2352" s="20">
        <v>31.987019</v>
      </c>
      <c r="G2352" s="20">
        <v>44.932876999999998</v>
      </c>
      <c r="H2352" s="22">
        <v>15</v>
      </c>
      <c r="I2352" s="22">
        <v>90</v>
      </c>
      <c r="J2352" s="21">
        <v>4</v>
      </c>
      <c r="K2352" s="21"/>
      <c r="L2352" s="21">
        <v>2</v>
      </c>
      <c r="M2352" s="21"/>
      <c r="N2352" s="21"/>
      <c r="O2352" s="21"/>
      <c r="P2352" s="21"/>
      <c r="Q2352" s="21"/>
      <c r="R2352" s="21">
        <v>1</v>
      </c>
      <c r="S2352" s="21"/>
      <c r="T2352" s="21"/>
      <c r="U2352" s="21"/>
      <c r="V2352" s="21">
        <v>6</v>
      </c>
      <c r="W2352" s="21"/>
      <c r="X2352" s="21">
        <v>2</v>
      </c>
      <c r="Y2352" s="21"/>
      <c r="Z2352" s="21"/>
      <c r="AA2352" s="21"/>
      <c r="AB2352" s="21"/>
      <c r="AC2352" s="21">
        <v>4</v>
      </c>
      <c r="AD2352" s="21"/>
      <c r="AE2352" s="21"/>
      <c r="AF2352" s="21"/>
      <c r="AG2352" s="21"/>
      <c r="AH2352" s="21">
        <v>11</v>
      </c>
      <c r="AI2352" s="21"/>
      <c r="AJ2352" s="21"/>
      <c r="AK2352" s="21"/>
      <c r="AL2352" s="21"/>
      <c r="AM2352" s="21">
        <v>7</v>
      </c>
      <c r="AN2352" s="21">
        <v>4</v>
      </c>
      <c r="AO2352" s="21">
        <v>4</v>
      </c>
      <c r="AP2352" s="21"/>
      <c r="AQ2352" s="21"/>
      <c r="AR2352" s="21"/>
      <c r="AS2352" s="21"/>
      <c r="AT2352" s="12" t="str">
        <f>HYPERLINK("http://www.openstreetmap.org/?mlat=31.987&amp;mlon=44.9329&amp;zoom=12#map=12/31.987/44.9329","Maplink1")</f>
        <v>Maplink1</v>
      </c>
      <c r="AU2352" s="12" t="str">
        <f>HYPERLINK("https://www.google.iq/maps/search/+31.987,44.9329/@31.987,44.9329,14z?hl=en","Maplink2")</f>
        <v>Maplink2</v>
      </c>
      <c r="AV2352" s="12" t="str">
        <f>HYPERLINK("http://www.bing.com/maps/?lvl=14&amp;sty=h&amp;cp=31.987~44.9329&amp;sp=point.31.987_44.9329","Maplink3")</f>
        <v>Maplink3</v>
      </c>
    </row>
    <row r="2353" spans="1:48" ht="15" customHeight="1" x14ac:dyDescent="0.25">
      <c r="A2353" s="19">
        <v>3367</v>
      </c>
      <c r="B2353" s="20" t="s">
        <v>22</v>
      </c>
      <c r="C2353" s="20" t="s">
        <v>4095</v>
      </c>
      <c r="D2353" s="20" t="s">
        <v>4186</v>
      </c>
      <c r="E2353" s="20" t="s">
        <v>4187</v>
      </c>
      <c r="F2353" s="20">
        <v>32.003680000000003</v>
      </c>
      <c r="G2353" s="20">
        <v>44.919052999999998</v>
      </c>
      <c r="H2353" s="22">
        <v>10</v>
      </c>
      <c r="I2353" s="22">
        <v>60</v>
      </c>
      <c r="J2353" s="21"/>
      <c r="K2353" s="21"/>
      <c r="L2353" s="21"/>
      <c r="M2353" s="21"/>
      <c r="N2353" s="21"/>
      <c r="O2353" s="21"/>
      <c r="P2353" s="21"/>
      <c r="Q2353" s="21"/>
      <c r="R2353" s="21">
        <v>3</v>
      </c>
      <c r="S2353" s="21"/>
      <c r="T2353" s="21"/>
      <c r="U2353" s="21"/>
      <c r="V2353" s="21">
        <v>7</v>
      </c>
      <c r="W2353" s="21"/>
      <c r="X2353" s="21"/>
      <c r="Y2353" s="21"/>
      <c r="Z2353" s="21"/>
      <c r="AA2353" s="21"/>
      <c r="AB2353" s="21"/>
      <c r="AC2353" s="21">
        <v>4</v>
      </c>
      <c r="AD2353" s="21"/>
      <c r="AE2353" s="21"/>
      <c r="AF2353" s="21"/>
      <c r="AG2353" s="21"/>
      <c r="AH2353" s="21">
        <v>6</v>
      </c>
      <c r="AI2353" s="21"/>
      <c r="AJ2353" s="21"/>
      <c r="AK2353" s="21"/>
      <c r="AL2353" s="21"/>
      <c r="AM2353" s="21">
        <v>8</v>
      </c>
      <c r="AN2353" s="21">
        <v>2</v>
      </c>
      <c r="AO2353" s="21"/>
      <c r="AP2353" s="21"/>
      <c r="AQ2353" s="21"/>
      <c r="AR2353" s="21"/>
      <c r="AS2353" s="21"/>
      <c r="AT2353" s="12" t="str">
        <f>HYPERLINK("http://www.openstreetmap.org/?mlat=32.0037&amp;mlon=44.9191&amp;zoom=12#map=12/32.0037/44.9191","Maplink1")</f>
        <v>Maplink1</v>
      </c>
      <c r="AU2353" s="12" t="str">
        <f>HYPERLINK("https://www.google.iq/maps/search/+32.0037,44.9191/@32.0037,44.9191,14z?hl=en","Maplink2")</f>
        <v>Maplink2</v>
      </c>
      <c r="AV2353" s="12" t="str">
        <f>HYPERLINK("http://www.bing.com/maps/?lvl=14&amp;sty=h&amp;cp=32.0037~44.9191&amp;sp=point.32.0037_44.9191","Maplink3")</f>
        <v>Maplink3</v>
      </c>
    </row>
    <row r="2354" spans="1:48" ht="15" customHeight="1" x14ac:dyDescent="0.25">
      <c r="A2354" s="19">
        <v>23715</v>
      </c>
      <c r="B2354" s="20" t="s">
        <v>22</v>
      </c>
      <c r="C2354" s="20" t="s">
        <v>4095</v>
      </c>
      <c r="D2354" s="20" t="s">
        <v>4188</v>
      </c>
      <c r="E2354" s="20" t="s">
        <v>4189</v>
      </c>
      <c r="F2354" s="20">
        <v>32.016050440000001</v>
      </c>
      <c r="G2354" s="20">
        <v>44.916686650000003</v>
      </c>
      <c r="H2354" s="22">
        <v>17</v>
      </c>
      <c r="I2354" s="22">
        <v>102</v>
      </c>
      <c r="J2354" s="21"/>
      <c r="K2354" s="21"/>
      <c r="L2354" s="21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>
        <v>17</v>
      </c>
      <c r="W2354" s="21"/>
      <c r="X2354" s="21"/>
      <c r="Y2354" s="21"/>
      <c r="Z2354" s="21"/>
      <c r="AA2354" s="21"/>
      <c r="AB2354" s="21"/>
      <c r="AC2354" s="21">
        <v>8</v>
      </c>
      <c r="AD2354" s="21"/>
      <c r="AE2354" s="21"/>
      <c r="AF2354" s="21"/>
      <c r="AG2354" s="21">
        <v>4</v>
      </c>
      <c r="AH2354" s="21">
        <v>5</v>
      </c>
      <c r="AI2354" s="21"/>
      <c r="AJ2354" s="21"/>
      <c r="AK2354" s="21"/>
      <c r="AL2354" s="21"/>
      <c r="AM2354" s="21">
        <v>13</v>
      </c>
      <c r="AN2354" s="21">
        <v>4</v>
      </c>
      <c r="AO2354" s="21"/>
      <c r="AP2354" s="21"/>
      <c r="AQ2354" s="21"/>
      <c r="AR2354" s="21"/>
      <c r="AS2354" s="21"/>
      <c r="AT2354" s="12" t="str">
        <f>HYPERLINK("http://www.openstreetmap.org/?mlat=32.0161&amp;mlon=44.9167&amp;zoom=12#map=12/32.0161/44.9167","Maplink1")</f>
        <v>Maplink1</v>
      </c>
      <c r="AU2354" s="12" t="str">
        <f>HYPERLINK("https://www.google.iq/maps/search/+32.0161,44.9167/@32.0161,44.9167,14z?hl=en","Maplink2")</f>
        <v>Maplink2</v>
      </c>
      <c r="AV2354" s="12" t="str">
        <f>HYPERLINK("http://www.bing.com/maps/?lvl=14&amp;sty=h&amp;cp=32.0161~44.9167&amp;sp=point.32.0161_44.9167","Maplink3")</f>
        <v>Maplink3</v>
      </c>
    </row>
    <row r="2355" spans="1:48" ht="15" customHeight="1" x14ac:dyDescent="0.25">
      <c r="A2355" s="19">
        <v>25070</v>
      </c>
      <c r="B2355" s="20" t="s">
        <v>22</v>
      </c>
      <c r="C2355" s="20" t="s">
        <v>4095</v>
      </c>
      <c r="D2355" s="20" t="s">
        <v>3249</v>
      </c>
      <c r="E2355" s="20" t="s">
        <v>318</v>
      </c>
      <c r="F2355" s="20">
        <v>32.074559229999998</v>
      </c>
      <c r="G2355" s="20">
        <v>44.765520619999997</v>
      </c>
      <c r="H2355" s="22">
        <v>16</v>
      </c>
      <c r="I2355" s="22">
        <v>96</v>
      </c>
      <c r="J2355" s="21"/>
      <c r="K2355" s="21"/>
      <c r="L2355" s="21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>
        <v>16</v>
      </c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21">
        <v>13</v>
      </c>
      <c r="AH2355" s="21">
        <v>3</v>
      </c>
      <c r="AI2355" s="21"/>
      <c r="AJ2355" s="21"/>
      <c r="AK2355" s="21"/>
      <c r="AL2355" s="21"/>
      <c r="AM2355" s="21"/>
      <c r="AN2355" s="21">
        <v>16</v>
      </c>
      <c r="AO2355" s="21"/>
      <c r="AP2355" s="21"/>
      <c r="AQ2355" s="21"/>
      <c r="AR2355" s="21"/>
      <c r="AS2355" s="21"/>
      <c r="AT2355" s="12" t="str">
        <f>HYPERLINK("http://www.openstreetmap.org/?mlat=32.0746&amp;mlon=44.7655&amp;zoom=12#map=12/32.0746/44.7655","Maplink1")</f>
        <v>Maplink1</v>
      </c>
      <c r="AU2355" s="12" t="str">
        <f>HYPERLINK("https://www.google.iq/maps/search/+32.0746,44.7655/@32.0746,44.7655,14z?hl=en","Maplink2")</f>
        <v>Maplink2</v>
      </c>
      <c r="AV2355" s="12" t="str">
        <f>HYPERLINK("http://www.bing.com/maps/?lvl=14&amp;sty=h&amp;cp=32.0746~44.7655&amp;sp=point.32.0746_44.7655","Maplink3")</f>
        <v>Maplink3</v>
      </c>
    </row>
    <row r="2356" spans="1:48" ht="15" customHeight="1" x14ac:dyDescent="0.25">
      <c r="A2356" s="19">
        <v>3382</v>
      </c>
      <c r="B2356" s="20" t="s">
        <v>22</v>
      </c>
      <c r="C2356" s="20" t="s">
        <v>4095</v>
      </c>
      <c r="D2356" s="20" t="s">
        <v>4190</v>
      </c>
      <c r="E2356" s="20" t="s">
        <v>318</v>
      </c>
      <c r="F2356" s="20">
        <v>31.970628000000001</v>
      </c>
      <c r="G2356" s="20">
        <v>44.885007000000002</v>
      </c>
      <c r="H2356" s="22">
        <v>15</v>
      </c>
      <c r="I2356" s="22">
        <v>90</v>
      </c>
      <c r="J2356" s="21"/>
      <c r="K2356" s="21"/>
      <c r="L2356" s="21"/>
      <c r="M2356" s="21"/>
      <c r="N2356" s="21"/>
      <c r="O2356" s="21"/>
      <c r="P2356" s="21"/>
      <c r="Q2356" s="21"/>
      <c r="R2356" s="21">
        <v>1</v>
      </c>
      <c r="S2356" s="21"/>
      <c r="T2356" s="21"/>
      <c r="U2356" s="21"/>
      <c r="V2356" s="21">
        <v>14</v>
      </c>
      <c r="W2356" s="21"/>
      <c r="X2356" s="21"/>
      <c r="Y2356" s="21"/>
      <c r="Z2356" s="21"/>
      <c r="AA2356" s="21"/>
      <c r="AB2356" s="21"/>
      <c r="AC2356" s="21">
        <v>2</v>
      </c>
      <c r="AD2356" s="21"/>
      <c r="AE2356" s="21"/>
      <c r="AF2356" s="21"/>
      <c r="AG2356" s="21">
        <v>6</v>
      </c>
      <c r="AH2356" s="21">
        <v>7</v>
      </c>
      <c r="AI2356" s="21"/>
      <c r="AJ2356" s="21"/>
      <c r="AK2356" s="21"/>
      <c r="AL2356" s="21"/>
      <c r="AM2356" s="21">
        <v>13</v>
      </c>
      <c r="AN2356" s="21">
        <v>2</v>
      </c>
      <c r="AO2356" s="21"/>
      <c r="AP2356" s="21"/>
      <c r="AQ2356" s="21"/>
      <c r="AR2356" s="21"/>
      <c r="AS2356" s="21"/>
      <c r="AT2356" s="12" t="str">
        <f>HYPERLINK("http://www.openstreetmap.org/?mlat=31.9706&amp;mlon=44.885&amp;zoom=12#map=12/31.9706/44.885","Maplink1")</f>
        <v>Maplink1</v>
      </c>
      <c r="AU2356" s="12" t="str">
        <f>HYPERLINK("https://www.google.iq/maps/search/+31.9706,44.885/@31.9706,44.885,14z?hl=en","Maplink2")</f>
        <v>Maplink2</v>
      </c>
      <c r="AV2356" s="12" t="str">
        <f>HYPERLINK("http://www.bing.com/maps/?lvl=14&amp;sty=h&amp;cp=31.9706~44.885&amp;sp=point.31.9706_44.885","Maplink3")</f>
        <v>Maplink3</v>
      </c>
    </row>
    <row r="2357" spans="1:48" ht="15" customHeight="1" x14ac:dyDescent="0.25">
      <c r="A2357" s="19">
        <v>25074</v>
      </c>
      <c r="B2357" s="20" t="s">
        <v>22</v>
      </c>
      <c r="C2357" s="20" t="s">
        <v>4095</v>
      </c>
      <c r="D2357" s="20" t="s">
        <v>4191</v>
      </c>
      <c r="E2357" s="20" t="s">
        <v>1914</v>
      </c>
      <c r="F2357" s="20">
        <v>31.964019</v>
      </c>
      <c r="G2357" s="20">
        <v>44.883003000000002</v>
      </c>
      <c r="H2357" s="22">
        <v>13</v>
      </c>
      <c r="I2357" s="22">
        <v>78</v>
      </c>
      <c r="J2357" s="21"/>
      <c r="K2357" s="21"/>
      <c r="L2357" s="21"/>
      <c r="M2357" s="21"/>
      <c r="N2357" s="21"/>
      <c r="O2357" s="21"/>
      <c r="P2357" s="21"/>
      <c r="Q2357" s="21"/>
      <c r="R2357" s="21">
        <v>5</v>
      </c>
      <c r="S2357" s="21"/>
      <c r="T2357" s="21"/>
      <c r="U2357" s="21"/>
      <c r="V2357" s="21">
        <v>8</v>
      </c>
      <c r="W2357" s="21"/>
      <c r="X2357" s="21"/>
      <c r="Y2357" s="21"/>
      <c r="Z2357" s="21"/>
      <c r="AA2357" s="21"/>
      <c r="AB2357" s="21"/>
      <c r="AC2357" s="21">
        <v>2</v>
      </c>
      <c r="AD2357" s="21">
        <v>2</v>
      </c>
      <c r="AE2357" s="21"/>
      <c r="AF2357" s="21"/>
      <c r="AG2357" s="21"/>
      <c r="AH2357" s="21">
        <v>9</v>
      </c>
      <c r="AI2357" s="21"/>
      <c r="AJ2357" s="21"/>
      <c r="AK2357" s="21"/>
      <c r="AL2357" s="21"/>
      <c r="AM2357" s="21">
        <v>5</v>
      </c>
      <c r="AN2357" s="21">
        <v>8</v>
      </c>
      <c r="AO2357" s="21"/>
      <c r="AP2357" s="21"/>
      <c r="AQ2357" s="21"/>
      <c r="AR2357" s="21"/>
      <c r="AS2357" s="21"/>
      <c r="AT2357" s="12" t="str">
        <f>HYPERLINK("http://www.openstreetmap.org/?mlat=31.964&amp;mlon=44.883&amp;zoom=12#map=12/31.964/44.883","Maplink1")</f>
        <v>Maplink1</v>
      </c>
      <c r="AU2357" s="12" t="str">
        <f>HYPERLINK("https://www.google.iq/maps/search/+31.964,44.883/@31.964,44.883,14z?hl=en","Maplink2")</f>
        <v>Maplink2</v>
      </c>
      <c r="AV2357" s="12" t="str">
        <f>HYPERLINK("http://www.bing.com/maps/?lvl=14&amp;sty=h&amp;cp=31.964~44.883&amp;sp=point.31.964_44.883","Maplink3")</f>
        <v>Maplink3</v>
      </c>
    </row>
    <row r="2358" spans="1:48" ht="15" customHeight="1" x14ac:dyDescent="0.25">
      <c r="A2358" s="19">
        <v>3209</v>
      </c>
      <c r="B2358" s="20" t="s">
        <v>22</v>
      </c>
      <c r="C2358" s="20" t="s">
        <v>4095</v>
      </c>
      <c r="D2358" s="20" t="s">
        <v>4192</v>
      </c>
      <c r="E2358" s="20" t="s">
        <v>2335</v>
      </c>
      <c r="F2358" s="20">
        <v>31.990873000000001</v>
      </c>
      <c r="G2358" s="20">
        <v>44.895873000000002</v>
      </c>
      <c r="H2358" s="22">
        <v>16</v>
      </c>
      <c r="I2358" s="22">
        <v>96</v>
      </c>
      <c r="J2358" s="21">
        <v>2</v>
      </c>
      <c r="K2358" s="21"/>
      <c r="L2358" s="21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>
        <v>14</v>
      </c>
      <c r="W2358" s="21"/>
      <c r="X2358" s="21"/>
      <c r="Y2358" s="21"/>
      <c r="Z2358" s="21"/>
      <c r="AA2358" s="21"/>
      <c r="AB2358" s="21"/>
      <c r="AC2358" s="21">
        <v>5</v>
      </c>
      <c r="AD2358" s="21"/>
      <c r="AE2358" s="21"/>
      <c r="AF2358" s="21"/>
      <c r="AG2358" s="21">
        <v>6</v>
      </c>
      <c r="AH2358" s="21">
        <v>5</v>
      </c>
      <c r="AI2358" s="21"/>
      <c r="AJ2358" s="21"/>
      <c r="AK2358" s="21"/>
      <c r="AL2358" s="21"/>
      <c r="AM2358" s="21">
        <v>12</v>
      </c>
      <c r="AN2358" s="21">
        <v>4</v>
      </c>
      <c r="AO2358" s="21"/>
      <c r="AP2358" s="21"/>
      <c r="AQ2358" s="21"/>
      <c r="AR2358" s="21"/>
      <c r="AS2358" s="21"/>
      <c r="AT2358" s="12" t="str">
        <f>HYPERLINK("http://www.openstreetmap.org/?mlat=31.9909&amp;mlon=44.8959&amp;zoom=12#map=12/31.9909/44.8959","Maplink1")</f>
        <v>Maplink1</v>
      </c>
      <c r="AU2358" s="12" t="str">
        <f>HYPERLINK("https://www.google.iq/maps/search/+31.9909,44.8959/@31.9909,44.8959,14z?hl=en","Maplink2")</f>
        <v>Maplink2</v>
      </c>
      <c r="AV2358" s="12" t="str">
        <f>HYPERLINK("http://www.bing.com/maps/?lvl=14&amp;sty=h&amp;cp=31.9909~44.8959&amp;sp=point.31.9909_44.8959","Maplink3")</f>
        <v>Maplink3</v>
      </c>
    </row>
    <row r="2359" spans="1:48" ht="15" customHeight="1" x14ac:dyDescent="0.25">
      <c r="A2359" s="19">
        <v>25287</v>
      </c>
      <c r="B2359" s="20" t="s">
        <v>22</v>
      </c>
      <c r="C2359" s="20" t="s">
        <v>4095</v>
      </c>
      <c r="D2359" s="20" t="s">
        <v>4193</v>
      </c>
      <c r="E2359" s="20" t="s">
        <v>4194</v>
      </c>
      <c r="F2359" s="20">
        <v>31.98817</v>
      </c>
      <c r="G2359" s="20">
        <v>44.937981999999998</v>
      </c>
      <c r="H2359" s="22">
        <v>9</v>
      </c>
      <c r="I2359" s="22">
        <v>54</v>
      </c>
      <c r="J2359" s="21"/>
      <c r="K2359" s="21"/>
      <c r="L2359" s="21"/>
      <c r="M2359" s="21"/>
      <c r="N2359" s="21"/>
      <c r="O2359" s="21">
        <v>1</v>
      </c>
      <c r="P2359" s="21"/>
      <c r="Q2359" s="21"/>
      <c r="R2359" s="21"/>
      <c r="S2359" s="21"/>
      <c r="T2359" s="21"/>
      <c r="U2359" s="21"/>
      <c r="V2359" s="21">
        <v>8</v>
      </c>
      <c r="W2359" s="21"/>
      <c r="X2359" s="21"/>
      <c r="Y2359" s="21"/>
      <c r="Z2359" s="21"/>
      <c r="AA2359" s="21"/>
      <c r="AB2359" s="21"/>
      <c r="AC2359" s="21">
        <v>1</v>
      </c>
      <c r="AD2359" s="21"/>
      <c r="AE2359" s="21"/>
      <c r="AF2359" s="21"/>
      <c r="AG2359" s="21"/>
      <c r="AH2359" s="21">
        <v>8</v>
      </c>
      <c r="AI2359" s="21"/>
      <c r="AJ2359" s="21"/>
      <c r="AK2359" s="21"/>
      <c r="AL2359" s="21"/>
      <c r="AM2359" s="21">
        <v>4</v>
      </c>
      <c r="AN2359" s="21">
        <v>5</v>
      </c>
      <c r="AO2359" s="21"/>
      <c r="AP2359" s="21"/>
      <c r="AQ2359" s="21"/>
      <c r="AR2359" s="21"/>
      <c r="AS2359" s="21"/>
      <c r="AT2359" s="12" t="str">
        <f>HYPERLINK("http://www.openstreetmap.org/?mlat=31.9882&amp;mlon=44.938&amp;zoom=12#map=12/31.9882/44.938","Maplink1")</f>
        <v>Maplink1</v>
      </c>
      <c r="AU2359" s="12" t="str">
        <f>HYPERLINK("https://www.google.iq/maps/search/+31.9882,44.938/@31.9882,44.938,14z?hl=en","Maplink2")</f>
        <v>Maplink2</v>
      </c>
      <c r="AV2359" s="12" t="str">
        <f>HYPERLINK("http://www.bing.com/maps/?lvl=14&amp;sty=h&amp;cp=31.9882~44.938&amp;sp=point.31.9882_44.938","Maplink3")</f>
        <v>Maplink3</v>
      </c>
    </row>
    <row r="2360" spans="1:48" ht="15" customHeight="1" x14ac:dyDescent="0.25">
      <c r="A2360" s="19">
        <v>25372</v>
      </c>
      <c r="B2360" s="20" t="s">
        <v>22</v>
      </c>
      <c r="C2360" s="20" t="s">
        <v>4095</v>
      </c>
      <c r="D2360" s="20" t="s">
        <v>4195</v>
      </c>
      <c r="E2360" s="20" t="s">
        <v>4196</v>
      </c>
      <c r="F2360" s="20">
        <v>31.967480999999999</v>
      </c>
      <c r="G2360" s="20">
        <v>44.964596999999998</v>
      </c>
      <c r="H2360" s="22">
        <v>13</v>
      </c>
      <c r="I2360" s="22">
        <v>78</v>
      </c>
      <c r="J2360" s="21"/>
      <c r="K2360" s="21"/>
      <c r="L2360" s="21"/>
      <c r="M2360" s="21"/>
      <c r="N2360" s="21"/>
      <c r="O2360" s="21"/>
      <c r="P2360" s="21"/>
      <c r="Q2360" s="21"/>
      <c r="R2360" s="21">
        <v>5</v>
      </c>
      <c r="S2360" s="21"/>
      <c r="T2360" s="21"/>
      <c r="U2360" s="21"/>
      <c r="V2360" s="21">
        <v>8</v>
      </c>
      <c r="W2360" s="21"/>
      <c r="X2360" s="21"/>
      <c r="Y2360" s="21"/>
      <c r="Z2360" s="21"/>
      <c r="AA2360" s="21"/>
      <c r="AB2360" s="21"/>
      <c r="AC2360" s="21">
        <v>2</v>
      </c>
      <c r="AD2360" s="21"/>
      <c r="AE2360" s="21"/>
      <c r="AF2360" s="21"/>
      <c r="AG2360" s="21"/>
      <c r="AH2360" s="21">
        <v>11</v>
      </c>
      <c r="AI2360" s="21"/>
      <c r="AJ2360" s="21"/>
      <c r="AK2360" s="21"/>
      <c r="AL2360" s="21"/>
      <c r="AM2360" s="21">
        <v>4</v>
      </c>
      <c r="AN2360" s="21">
        <v>9</v>
      </c>
      <c r="AO2360" s="21"/>
      <c r="AP2360" s="21"/>
      <c r="AQ2360" s="21"/>
      <c r="AR2360" s="21"/>
      <c r="AS2360" s="21"/>
      <c r="AT2360" s="12" t="str">
        <f>HYPERLINK("http://www.openstreetmap.org/?mlat=31.9675&amp;mlon=44.9646&amp;zoom=12#map=12/31.9675/44.9646","Maplink1")</f>
        <v>Maplink1</v>
      </c>
      <c r="AU2360" s="12" t="str">
        <f>HYPERLINK("https://www.google.iq/maps/search/+31.9675,44.9646/@31.9675,44.9646,14z?hl=en","Maplink2")</f>
        <v>Maplink2</v>
      </c>
      <c r="AV2360" s="12" t="str">
        <f>HYPERLINK("http://www.bing.com/maps/?lvl=14&amp;sty=h&amp;cp=31.9675~44.9646&amp;sp=point.31.9675_44.9646","Maplink3")</f>
        <v>Maplink3</v>
      </c>
    </row>
    <row r="2361" spans="1:48" ht="15" customHeight="1" x14ac:dyDescent="0.25">
      <c r="A2361" s="19">
        <v>21783</v>
      </c>
      <c r="B2361" s="20" t="s">
        <v>22</v>
      </c>
      <c r="C2361" s="20" t="s">
        <v>4095</v>
      </c>
      <c r="D2361" s="20" t="s">
        <v>4197</v>
      </c>
      <c r="E2361" s="20" t="s">
        <v>4198</v>
      </c>
      <c r="F2361" s="20">
        <v>31.997281000000001</v>
      </c>
      <c r="G2361" s="20">
        <v>44.955804999999998</v>
      </c>
      <c r="H2361" s="22">
        <v>15</v>
      </c>
      <c r="I2361" s="22">
        <v>90</v>
      </c>
      <c r="J2361" s="21"/>
      <c r="K2361" s="21"/>
      <c r="L2361" s="21"/>
      <c r="M2361" s="21"/>
      <c r="N2361" s="21"/>
      <c r="O2361" s="21"/>
      <c r="P2361" s="21"/>
      <c r="Q2361" s="21"/>
      <c r="R2361" s="21">
        <v>5</v>
      </c>
      <c r="S2361" s="21"/>
      <c r="T2361" s="21"/>
      <c r="U2361" s="21"/>
      <c r="V2361" s="21">
        <v>10</v>
      </c>
      <c r="W2361" s="21"/>
      <c r="X2361" s="21"/>
      <c r="Y2361" s="21"/>
      <c r="Z2361" s="21"/>
      <c r="AA2361" s="21"/>
      <c r="AB2361" s="21"/>
      <c r="AC2361" s="21">
        <v>3</v>
      </c>
      <c r="AD2361" s="21"/>
      <c r="AE2361" s="21"/>
      <c r="AF2361" s="21"/>
      <c r="AG2361" s="21">
        <v>7</v>
      </c>
      <c r="AH2361" s="21">
        <v>5</v>
      </c>
      <c r="AI2361" s="21"/>
      <c r="AJ2361" s="21"/>
      <c r="AK2361" s="21"/>
      <c r="AL2361" s="21"/>
      <c r="AM2361" s="21">
        <v>5</v>
      </c>
      <c r="AN2361" s="21">
        <v>10</v>
      </c>
      <c r="AO2361" s="21"/>
      <c r="AP2361" s="21"/>
      <c r="AQ2361" s="21"/>
      <c r="AR2361" s="21"/>
      <c r="AS2361" s="21"/>
      <c r="AT2361" s="12" t="str">
        <f>HYPERLINK("http://www.openstreetmap.org/?mlat=31.9973&amp;mlon=44.9558&amp;zoom=12#map=12/31.9973/44.9558","Maplink1")</f>
        <v>Maplink1</v>
      </c>
      <c r="AU2361" s="12" t="str">
        <f>HYPERLINK("https://www.google.iq/maps/search/+31.9973,44.9558/@31.9973,44.9558,14z?hl=en","Maplink2")</f>
        <v>Maplink2</v>
      </c>
      <c r="AV2361" s="12" t="str">
        <f>HYPERLINK("http://www.bing.com/maps/?lvl=14&amp;sty=h&amp;cp=31.9973~44.9558&amp;sp=point.31.9973_44.9558","Maplink3")</f>
        <v>Maplink3</v>
      </c>
    </row>
    <row r="2362" spans="1:48" ht="15" customHeight="1" x14ac:dyDescent="0.25">
      <c r="A2362" s="19">
        <v>25958</v>
      </c>
      <c r="B2362" s="20" t="s">
        <v>22</v>
      </c>
      <c r="C2362" s="20" t="s">
        <v>4095</v>
      </c>
      <c r="D2362" s="20" t="s">
        <v>4199</v>
      </c>
      <c r="E2362" s="20" t="s">
        <v>123</v>
      </c>
      <c r="F2362" s="20">
        <v>31.991814000000002</v>
      </c>
      <c r="G2362" s="20">
        <v>44.953380000000003</v>
      </c>
      <c r="H2362" s="22">
        <v>12</v>
      </c>
      <c r="I2362" s="22">
        <v>72</v>
      </c>
      <c r="J2362" s="21"/>
      <c r="K2362" s="21"/>
      <c r="L2362" s="21"/>
      <c r="M2362" s="21"/>
      <c r="N2362" s="21"/>
      <c r="O2362" s="21"/>
      <c r="P2362" s="21"/>
      <c r="Q2362" s="21"/>
      <c r="R2362" s="21">
        <v>5</v>
      </c>
      <c r="S2362" s="21"/>
      <c r="T2362" s="21"/>
      <c r="U2362" s="21"/>
      <c r="V2362" s="21">
        <v>7</v>
      </c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21">
        <v>7</v>
      </c>
      <c r="AH2362" s="21">
        <v>5</v>
      </c>
      <c r="AI2362" s="21"/>
      <c r="AJ2362" s="21"/>
      <c r="AK2362" s="21"/>
      <c r="AL2362" s="21"/>
      <c r="AM2362" s="21">
        <v>7</v>
      </c>
      <c r="AN2362" s="21">
        <v>5</v>
      </c>
      <c r="AO2362" s="21"/>
      <c r="AP2362" s="21"/>
      <c r="AQ2362" s="21"/>
      <c r="AR2362" s="21"/>
      <c r="AS2362" s="21"/>
      <c r="AT2362" s="12" t="str">
        <f>HYPERLINK("http://www.openstreetmap.org/?mlat=31.9918&amp;mlon=44.9534&amp;zoom=12#map=12/31.9918/44.9534","Maplink1")</f>
        <v>Maplink1</v>
      </c>
      <c r="AU2362" s="12" t="str">
        <f>HYPERLINK("https://www.google.iq/maps/search/+31.9918,44.9534/@31.9918,44.9534,14z?hl=en","Maplink2")</f>
        <v>Maplink2</v>
      </c>
      <c r="AV2362" s="12" t="str">
        <f>HYPERLINK("http://www.bing.com/maps/?lvl=14&amp;sty=h&amp;cp=31.9918~44.9534&amp;sp=point.31.9918_44.9534","Maplink3")</f>
        <v>Maplink3</v>
      </c>
    </row>
    <row r="2363" spans="1:48" ht="15" customHeight="1" x14ac:dyDescent="0.25">
      <c r="A2363" s="19">
        <v>25512</v>
      </c>
      <c r="B2363" s="20" t="s">
        <v>22</v>
      </c>
      <c r="C2363" s="20" t="s">
        <v>4095</v>
      </c>
      <c r="D2363" s="20" t="s">
        <v>4200</v>
      </c>
      <c r="E2363" s="20" t="s">
        <v>4201</v>
      </c>
      <c r="F2363" s="20">
        <v>31.985550709999998</v>
      </c>
      <c r="G2363" s="20">
        <v>44.930312440000002</v>
      </c>
      <c r="H2363" s="22">
        <v>10</v>
      </c>
      <c r="I2363" s="22">
        <v>60</v>
      </c>
      <c r="J2363" s="21"/>
      <c r="K2363" s="21"/>
      <c r="L2363" s="21">
        <v>2</v>
      </c>
      <c r="M2363" s="21"/>
      <c r="N2363" s="21"/>
      <c r="O2363" s="21"/>
      <c r="P2363" s="21"/>
      <c r="Q2363" s="21"/>
      <c r="R2363" s="21"/>
      <c r="S2363" s="21"/>
      <c r="T2363" s="21"/>
      <c r="U2363" s="21"/>
      <c r="V2363" s="21">
        <v>8</v>
      </c>
      <c r="W2363" s="21"/>
      <c r="X2363" s="21"/>
      <c r="Y2363" s="21"/>
      <c r="Z2363" s="21"/>
      <c r="AA2363" s="21"/>
      <c r="AB2363" s="21"/>
      <c r="AC2363" s="21">
        <v>2</v>
      </c>
      <c r="AD2363" s="21"/>
      <c r="AE2363" s="21"/>
      <c r="AF2363" s="21"/>
      <c r="AG2363" s="21"/>
      <c r="AH2363" s="21">
        <v>8</v>
      </c>
      <c r="AI2363" s="21"/>
      <c r="AJ2363" s="21"/>
      <c r="AK2363" s="21"/>
      <c r="AL2363" s="21"/>
      <c r="AM2363" s="21">
        <v>2</v>
      </c>
      <c r="AN2363" s="21">
        <v>8</v>
      </c>
      <c r="AO2363" s="21"/>
      <c r="AP2363" s="21"/>
      <c r="AQ2363" s="21"/>
      <c r="AR2363" s="21"/>
      <c r="AS2363" s="21"/>
      <c r="AT2363" s="12" t="str">
        <f>HYPERLINK("http://www.openstreetmap.org/?mlat=31.9856&amp;mlon=44.9303&amp;zoom=12#map=12/31.9856/44.9303","Maplink1")</f>
        <v>Maplink1</v>
      </c>
      <c r="AU2363" s="12" t="str">
        <f>HYPERLINK("https://www.google.iq/maps/search/+31.9856,44.9303/@31.9856,44.9303,14z?hl=en","Maplink2")</f>
        <v>Maplink2</v>
      </c>
      <c r="AV2363" s="12" t="str">
        <f>HYPERLINK("http://www.bing.com/maps/?lvl=14&amp;sty=h&amp;cp=31.9856~44.9303&amp;sp=point.31.9856_44.9303","Maplink3")</f>
        <v>Maplink3</v>
      </c>
    </row>
    <row r="2364" spans="1:48" ht="15" customHeight="1" x14ac:dyDescent="0.25">
      <c r="A2364" s="19">
        <v>24307</v>
      </c>
      <c r="B2364" s="20" t="s">
        <v>22</v>
      </c>
      <c r="C2364" s="20" t="s">
        <v>4095</v>
      </c>
      <c r="D2364" s="20" t="s">
        <v>3075</v>
      </c>
      <c r="E2364" s="20" t="s">
        <v>3076</v>
      </c>
      <c r="F2364" s="20">
        <v>31.981279499999999</v>
      </c>
      <c r="G2364" s="20">
        <v>44.902173380000001</v>
      </c>
      <c r="H2364" s="22">
        <v>19</v>
      </c>
      <c r="I2364" s="22">
        <v>114</v>
      </c>
      <c r="J2364" s="21"/>
      <c r="K2364" s="21"/>
      <c r="L2364" s="21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>
        <v>19</v>
      </c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21">
        <v>16</v>
      </c>
      <c r="AH2364" s="21">
        <v>3</v>
      </c>
      <c r="AI2364" s="21"/>
      <c r="AJ2364" s="21"/>
      <c r="AK2364" s="21"/>
      <c r="AL2364" s="21"/>
      <c r="AM2364" s="21">
        <v>10</v>
      </c>
      <c r="AN2364" s="21">
        <v>9</v>
      </c>
      <c r="AO2364" s="21"/>
      <c r="AP2364" s="21"/>
      <c r="AQ2364" s="21"/>
      <c r="AR2364" s="21"/>
      <c r="AS2364" s="21"/>
      <c r="AT2364" s="12" t="str">
        <f>HYPERLINK("http://www.openstreetmap.org/?mlat=31.9813&amp;mlon=44.9022&amp;zoom=12#map=12/31.9813/44.9022","Maplink1")</f>
        <v>Maplink1</v>
      </c>
      <c r="AU2364" s="12" t="str">
        <f>HYPERLINK("https://www.google.iq/maps/search/+31.9813,44.9022/@31.9813,44.9022,14z?hl=en","Maplink2")</f>
        <v>Maplink2</v>
      </c>
      <c r="AV2364" s="12" t="str">
        <f>HYPERLINK("http://www.bing.com/maps/?lvl=14&amp;sty=h&amp;cp=31.9813~44.9022&amp;sp=point.31.9813_44.9022","Maplink3")</f>
        <v>Maplink3</v>
      </c>
    </row>
    <row r="2365" spans="1:48" ht="15" customHeight="1" x14ac:dyDescent="0.25">
      <c r="A2365" s="19">
        <v>25516</v>
      </c>
      <c r="B2365" s="20" t="s">
        <v>22</v>
      </c>
      <c r="C2365" s="20" t="s">
        <v>4095</v>
      </c>
      <c r="D2365" s="20" t="s">
        <v>4202</v>
      </c>
      <c r="E2365" s="20" t="s">
        <v>4203</v>
      </c>
      <c r="F2365" s="20">
        <v>32.153081699799998</v>
      </c>
      <c r="G2365" s="20">
        <v>44.903711665199999</v>
      </c>
      <c r="H2365" s="22">
        <v>7</v>
      </c>
      <c r="I2365" s="22">
        <v>42</v>
      </c>
      <c r="J2365" s="21"/>
      <c r="K2365" s="21"/>
      <c r="L2365" s="21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>
        <v>7</v>
      </c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21">
        <v>4</v>
      </c>
      <c r="AH2365" s="21">
        <v>3</v>
      </c>
      <c r="AI2365" s="21"/>
      <c r="AJ2365" s="21"/>
      <c r="AK2365" s="21"/>
      <c r="AL2365" s="21"/>
      <c r="AM2365" s="21"/>
      <c r="AN2365" s="21">
        <v>7</v>
      </c>
      <c r="AO2365" s="21"/>
      <c r="AP2365" s="21"/>
      <c r="AQ2365" s="21"/>
      <c r="AR2365" s="21"/>
      <c r="AS2365" s="21"/>
      <c r="AT2365" s="12" t="str">
        <f>HYPERLINK("http://www.openstreetmap.org/?mlat=32.1531&amp;mlon=44.9037&amp;zoom=12#map=12/32.1531/44.9037","Maplink1")</f>
        <v>Maplink1</v>
      </c>
      <c r="AU2365" s="12" t="str">
        <f>HYPERLINK("https://www.google.iq/maps/search/+32.1531,44.9037/@32.1531,44.9037,14z?hl=en","Maplink2")</f>
        <v>Maplink2</v>
      </c>
      <c r="AV2365" s="12" t="str">
        <f>HYPERLINK("http://www.bing.com/maps/?lvl=14&amp;sty=h&amp;cp=32.1531~44.9037&amp;sp=point.32.1531_44.9037","Maplink3")</f>
        <v>Maplink3</v>
      </c>
    </row>
    <row r="2366" spans="1:48" ht="15" customHeight="1" x14ac:dyDescent="0.25">
      <c r="A2366" s="19">
        <v>24523</v>
      </c>
      <c r="B2366" s="20" t="s">
        <v>22</v>
      </c>
      <c r="C2366" s="20" t="s">
        <v>4095</v>
      </c>
      <c r="D2366" s="20" t="s">
        <v>4204</v>
      </c>
      <c r="E2366" s="20" t="s">
        <v>4205</v>
      </c>
      <c r="F2366" s="20">
        <v>32.107300530000003</v>
      </c>
      <c r="G2366" s="20">
        <v>44.754876019999998</v>
      </c>
      <c r="H2366" s="22">
        <v>15</v>
      </c>
      <c r="I2366" s="22">
        <v>90</v>
      </c>
      <c r="J2366" s="21"/>
      <c r="K2366" s="21"/>
      <c r="L2366" s="21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>
        <v>15</v>
      </c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21">
        <v>4</v>
      </c>
      <c r="AH2366" s="21">
        <v>3</v>
      </c>
      <c r="AI2366" s="21"/>
      <c r="AJ2366" s="21">
        <v>8</v>
      </c>
      <c r="AK2366" s="21"/>
      <c r="AL2366" s="21"/>
      <c r="AM2366" s="21"/>
      <c r="AN2366" s="21">
        <v>15</v>
      </c>
      <c r="AO2366" s="21"/>
      <c r="AP2366" s="21"/>
      <c r="AQ2366" s="21"/>
      <c r="AR2366" s="21"/>
      <c r="AS2366" s="21"/>
      <c r="AT2366" s="12" t="str">
        <f>HYPERLINK("http://www.openstreetmap.org/?mlat=32.1073&amp;mlon=44.7549&amp;zoom=12#map=12/32.1073/44.7549","Maplink1")</f>
        <v>Maplink1</v>
      </c>
      <c r="AU2366" s="12" t="str">
        <f>HYPERLINK("https://www.google.iq/maps/search/+32.1073,44.7549/@32.1073,44.7549,14z?hl=en","Maplink2")</f>
        <v>Maplink2</v>
      </c>
      <c r="AV2366" s="12" t="str">
        <f>HYPERLINK("http://www.bing.com/maps/?lvl=14&amp;sty=h&amp;cp=32.1073~44.7549&amp;sp=point.32.1073_44.7549","Maplink3")</f>
        <v>Maplink3</v>
      </c>
    </row>
    <row r="2367" spans="1:48" ht="15" customHeight="1" x14ac:dyDescent="0.25">
      <c r="A2367" s="19">
        <v>22452</v>
      </c>
      <c r="B2367" s="20" t="s">
        <v>22</v>
      </c>
      <c r="C2367" s="20" t="s">
        <v>4095</v>
      </c>
      <c r="D2367" s="20" t="s">
        <v>4206</v>
      </c>
      <c r="E2367" s="20" t="s">
        <v>4207</v>
      </c>
      <c r="F2367" s="20">
        <v>32.004636220000002</v>
      </c>
      <c r="G2367" s="20">
        <v>45.008568320000002</v>
      </c>
      <c r="H2367" s="22">
        <v>32</v>
      </c>
      <c r="I2367" s="22">
        <v>192</v>
      </c>
      <c r="J2367" s="21"/>
      <c r="K2367" s="21"/>
      <c r="L2367" s="21">
        <v>8</v>
      </c>
      <c r="M2367" s="21"/>
      <c r="N2367" s="21"/>
      <c r="O2367" s="21"/>
      <c r="P2367" s="21"/>
      <c r="Q2367" s="21"/>
      <c r="R2367" s="21"/>
      <c r="S2367" s="21"/>
      <c r="T2367" s="21"/>
      <c r="U2367" s="21"/>
      <c r="V2367" s="21">
        <v>16</v>
      </c>
      <c r="W2367" s="21"/>
      <c r="X2367" s="21">
        <v>8</v>
      </c>
      <c r="Y2367" s="21"/>
      <c r="Z2367" s="21"/>
      <c r="AA2367" s="21"/>
      <c r="AB2367" s="21"/>
      <c r="AC2367" s="21">
        <v>6</v>
      </c>
      <c r="AD2367" s="21"/>
      <c r="AE2367" s="21"/>
      <c r="AF2367" s="21"/>
      <c r="AG2367" s="21">
        <v>13</v>
      </c>
      <c r="AH2367" s="21">
        <v>13</v>
      </c>
      <c r="AI2367" s="21"/>
      <c r="AJ2367" s="21"/>
      <c r="AK2367" s="21"/>
      <c r="AL2367" s="21"/>
      <c r="AM2367" s="21"/>
      <c r="AN2367" s="21">
        <v>24</v>
      </c>
      <c r="AO2367" s="21">
        <v>8</v>
      </c>
      <c r="AP2367" s="21"/>
      <c r="AQ2367" s="21"/>
      <c r="AR2367" s="21"/>
      <c r="AS2367" s="21"/>
      <c r="AT2367" s="12" t="str">
        <f>HYPERLINK("http://www.openstreetmap.org/?mlat=32.0046&amp;mlon=45.0086&amp;zoom=12#map=12/32.0046/45.0086","Maplink1")</f>
        <v>Maplink1</v>
      </c>
      <c r="AU2367" s="12" t="str">
        <f>HYPERLINK("https://www.google.iq/maps/search/+32.0046,45.0086/@32.0046,45.0086,14z?hl=en","Maplink2")</f>
        <v>Maplink2</v>
      </c>
      <c r="AV2367" s="12" t="str">
        <f>HYPERLINK("http://www.bing.com/maps/?lvl=14&amp;sty=h&amp;cp=32.0046~45.0086&amp;sp=point.32.0046_45.0086","Maplink3")</f>
        <v>Maplink3</v>
      </c>
    </row>
    <row r="2368" spans="1:48" ht="15" customHeight="1" x14ac:dyDescent="0.25">
      <c r="A2368" s="19">
        <v>2114</v>
      </c>
      <c r="B2368" s="20" t="s">
        <v>22</v>
      </c>
      <c r="C2368" s="20" t="s">
        <v>4095</v>
      </c>
      <c r="D2368" s="20" t="s">
        <v>4208</v>
      </c>
      <c r="E2368" s="20" t="s">
        <v>4209</v>
      </c>
      <c r="F2368" s="20">
        <v>32.23463589</v>
      </c>
      <c r="G2368" s="20">
        <v>44.811774470000003</v>
      </c>
      <c r="H2368" s="22">
        <v>12</v>
      </c>
      <c r="I2368" s="22">
        <v>72</v>
      </c>
      <c r="J2368" s="21"/>
      <c r="K2368" s="21"/>
      <c r="L2368" s="21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>
        <v>12</v>
      </c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21">
        <v>7</v>
      </c>
      <c r="AH2368" s="21">
        <v>5</v>
      </c>
      <c r="AI2368" s="21"/>
      <c r="AJ2368" s="21"/>
      <c r="AK2368" s="21"/>
      <c r="AL2368" s="21"/>
      <c r="AM2368" s="21">
        <v>4</v>
      </c>
      <c r="AN2368" s="21">
        <v>8</v>
      </c>
      <c r="AO2368" s="21"/>
      <c r="AP2368" s="21"/>
      <c r="AQ2368" s="21"/>
      <c r="AR2368" s="21"/>
      <c r="AS2368" s="21"/>
      <c r="AT2368" s="12" t="str">
        <f>HYPERLINK("http://www.openstreetmap.org/?mlat=32.2346&amp;mlon=44.8118&amp;zoom=12#map=12/32.2346/44.8118","Maplink1")</f>
        <v>Maplink1</v>
      </c>
      <c r="AU2368" s="12" t="str">
        <f>HYPERLINK("https://www.google.iq/maps/search/+32.2346,44.8118/@32.2346,44.8118,14z?hl=en","Maplink2")</f>
        <v>Maplink2</v>
      </c>
      <c r="AV2368" s="12" t="str">
        <f>HYPERLINK("http://www.bing.com/maps/?lvl=14&amp;sty=h&amp;cp=32.2346~44.8118&amp;sp=point.32.2346_44.8118","Maplink3")</f>
        <v>Maplink3</v>
      </c>
    </row>
    <row r="2369" spans="1:48" ht="15" customHeight="1" x14ac:dyDescent="0.25">
      <c r="A2369" s="19">
        <v>25860</v>
      </c>
      <c r="B2369" s="20" t="s">
        <v>22</v>
      </c>
      <c r="C2369" s="20" t="s">
        <v>4095</v>
      </c>
      <c r="D2369" s="20" t="s">
        <v>4210</v>
      </c>
      <c r="E2369" s="20" t="s">
        <v>4211</v>
      </c>
      <c r="F2369" s="20">
        <v>31.9981042</v>
      </c>
      <c r="G2369" s="20">
        <v>44.97466</v>
      </c>
      <c r="H2369" s="22">
        <v>16</v>
      </c>
      <c r="I2369" s="22">
        <v>96</v>
      </c>
      <c r="J2369" s="21"/>
      <c r="K2369" s="21"/>
      <c r="L2369" s="21"/>
      <c r="M2369" s="21"/>
      <c r="N2369" s="21"/>
      <c r="O2369" s="21"/>
      <c r="P2369" s="21"/>
      <c r="Q2369" s="21"/>
      <c r="R2369" s="21">
        <v>6</v>
      </c>
      <c r="S2369" s="21"/>
      <c r="T2369" s="21"/>
      <c r="U2369" s="21"/>
      <c r="V2369" s="21">
        <v>6</v>
      </c>
      <c r="W2369" s="21"/>
      <c r="X2369" s="21">
        <v>4</v>
      </c>
      <c r="Y2369" s="21"/>
      <c r="Z2369" s="21"/>
      <c r="AA2369" s="21"/>
      <c r="AB2369" s="21"/>
      <c r="AC2369" s="21"/>
      <c r="AD2369" s="21"/>
      <c r="AE2369" s="21"/>
      <c r="AF2369" s="21"/>
      <c r="AG2369" s="21">
        <v>8</v>
      </c>
      <c r="AH2369" s="21">
        <v>8</v>
      </c>
      <c r="AI2369" s="21"/>
      <c r="AJ2369" s="21"/>
      <c r="AK2369" s="21"/>
      <c r="AL2369" s="21"/>
      <c r="AM2369" s="21">
        <v>9</v>
      </c>
      <c r="AN2369" s="21">
        <v>7</v>
      </c>
      <c r="AO2369" s="21"/>
      <c r="AP2369" s="21"/>
      <c r="AQ2369" s="21"/>
      <c r="AR2369" s="21"/>
      <c r="AS2369" s="21"/>
      <c r="AT2369" s="12" t="str">
        <f>HYPERLINK("http://www.openstreetmap.org/?mlat=31.9981&amp;mlon=44.9747&amp;zoom=12#map=12/31.9981/44.9747","Maplink1")</f>
        <v>Maplink1</v>
      </c>
      <c r="AU2369" s="12" t="str">
        <f>HYPERLINK("https://www.google.iq/maps/search/+31.9981,44.9747/@31.9981,44.9747,14z?hl=en","Maplink2")</f>
        <v>Maplink2</v>
      </c>
      <c r="AV2369" s="12" t="str">
        <f>HYPERLINK("http://www.bing.com/maps/?lvl=14&amp;sty=h&amp;cp=31.9981~44.9747&amp;sp=point.31.9981_44.9747","Maplink3")</f>
        <v>Maplink3</v>
      </c>
    </row>
    <row r="2370" spans="1:48" ht="15" customHeight="1" x14ac:dyDescent="0.25">
      <c r="A2370" s="19">
        <v>25861</v>
      </c>
      <c r="B2370" s="20" t="s">
        <v>22</v>
      </c>
      <c r="C2370" s="20" t="s">
        <v>4095</v>
      </c>
      <c r="D2370" s="20" t="s">
        <v>4212</v>
      </c>
      <c r="E2370" s="20" t="s">
        <v>4213</v>
      </c>
      <c r="F2370" s="20">
        <v>31.958341752199999</v>
      </c>
      <c r="G2370" s="20">
        <v>44.747803034299999</v>
      </c>
      <c r="H2370" s="22">
        <v>8</v>
      </c>
      <c r="I2370" s="22">
        <v>48</v>
      </c>
      <c r="J2370" s="21"/>
      <c r="K2370" s="21"/>
      <c r="L2370" s="21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>
        <v>8</v>
      </c>
      <c r="W2370" s="21"/>
      <c r="X2370" s="21"/>
      <c r="Y2370" s="21"/>
      <c r="Z2370" s="21"/>
      <c r="AA2370" s="21"/>
      <c r="AB2370" s="21"/>
      <c r="AC2370" s="21">
        <v>4</v>
      </c>
      <c r="AD2370" s="21"/>
      <c r="AE2370" s="21"/>
      <c r="AF2370" s="21"/>
      <c r="AG2370" s="21"/>
      <c r="AH2370" s="21">
        <v>4</v>
      </c>
      <c r="AI2370" s="21"/>
      <c r="AJ2370" s="21"/>
      <c r="AK2370" s="21"/>
      <c r="AL2370" s="21"/>
      <c r="AM2370" s="21"/>
      <c r="AN2370" s="21">
        <v>8</v>
      </c>
      <c r="AO2370" s="21"/>
      <c r="AP2370" s="21"/>
      <c r="AQ2370" s="21"/>
      <c r="AR2370" s="21"/>
      <c r="AS2370" s="21"/>
      <c r="AT2370" s="12" t="str">
        <f>HYPERLINK("http://www.openstreetmap.org/?mlat=31.9583&amp;mlon=44.7478&amp;zoom=12#map=12/31.9583/44.7478","Maplink1")</f>
        <v>Maplink1</v>
      </c>
      <c r="AU2370" s="12" t="str">
        <f>HYPERLINK("https://www.google.iq/maps/search/+31.9583,44.7478/@31.9583,44.7478,14z?hl=en","Maplink2")</f>
        <v>Maplink2</v>
      </c>
      <c r="AV2370" s="12" t="str">
        <f>HYPERLINK("http://www.bing.com/maps/?lvl=14&amp;sty=h&amp;cp=31.9583~44.7478&amp;sp=point.31.9583_44.7478","Maplink3")</f>
        <v>Maplink3</v>
      </c>
    </row>
    <row r="2371" spans="1:48" ht="15" customHeight="1" x14ac:dyDescent="0.25">
      <c r="A2371" s="19">
        <v>25280</v>
      </c>
      <c r="B2371" s="20" t="s">
        <v>22</v>
      </c>
      <c r="C2371" s="20" t="s">
        <v>4095</v>
      </c>
      <c r="D2371" s="20" t="s">
        <v>4214</v>
      </c>
      <c r="E2371" s="20" t="s">
        <v>4215</v>
      </c>
      <c r="F2371" s="20">
        <v>31.949064910000001</v>
      </c>
      <c r="G2371" s="20">
        <v>44.855493389999999</v>
      </c>
      <c r="H2371" s="22">
        <v>16</v>
      </c>
      <c r="I2371" s="22">
        <v>96</v>
      </c>
      <c r="J2371" s="21"/>
      <c r="K2371" s="21"/>
      <c r="L2371" s="21"/>
      <c r="M2371" s="21"/>
      <c r="N2371" s="21"/>
      <c r="O2371" s="21"/>
      <c r="P2371" s="21"/>
      <c r="Q2371" s="21"/>
      <c r="R2371" s="21">
        <v>5</v>
      </c>
      <c r="S2371" s="21"/>
      <c r="T2371" s="21"/>
      <c r="U2371" s="21"/>
      <c r="V2371" s="21">
        <v>11</v>
      </c>
      <c r="W2371" s="21"/>
      <c r="X2371" s="21"/>
      <c r="Y2371" s="21"/>
      <c r="Z2371" s="21"/>
      <c r="AA2371" s="21"/>
      <c r="AB2371" s="21"/>
      <c r="AC2371" s="21">
        <v>3</v>
      </c>
      <c r="AD2371" s="21"/>
      <c r="AE2371" s="21"/>
      <c r="AF2371" s="21"/>
      <c r="AG2371" s="21">
        <v>4</v>
      </c>
      <c r="AH2371" s="21"/>
      <c r="AI2371" s="21"/>
      <c r="AJ2371" s="21">
        <v>9</v>
      </c>
      <c r="AK2371" s="21"/>
      <c r="AL2371" s="21"/>
      <c r="AM2371" s="21">
        <v>10</v>
      </c>
      <c r="AN2371" s="21">
        <v>6</v>
      </c>
      <c r="AO2371" s="21"/>
      <c r="AP2371" s="21"/>
      <c r="AQ2371" s="21"/>
      <c r="AR2371" s="21"/>
      <c r="AS2371" s="21"/>
      <c r="AT2371" s="12" t="str">
        <f>HYPERLINK("http://www.openstreetmap.org/?mlat=31.9491&amp;mlon=44.8555&amp;zoom=12#map=12/31.9491/44.8555","Maplink1")</f>
        <v>Maplink1</v>
      </c>
      <c r="AU2371" s="12" t="str">
        <f>HYPERLINK("https://www.google.iq/maps/search/+31.9491,44.8555/@31.9491,44.8555,14z?hl=en","Maplink2")</f>
        <v>Maplink2</v>
      </c>
      <c r="AV2371" s="12" t="str">
        <f>HYPERLINK("http://www.bing.com/maps/?lvl=14&amp;sty=h&amp;cp=31.9491~44.8555&amp;sp=point.31.9491_44.8555","Maplink3")</f>
        <v>Maplink3</v>
      </c>
    </row>
    <row r="2372" spans="1:48" ht="15" customHeight="1" x14ac:dyDescent="0.25">
      <c r="A2372" s="19">
        <v>23764</v>
      </c>
      <c r="B2372" s="20" t="s">
        <v>22</v>
      </c>
      <c r="C2372" s="20" t="s">
        <v>4095</v>
      </c>
      <c r="D2372" s="20" t="s">
        <v>4216</v>
      </c>
      <c r="E2372" s="20" t="s">
        <v>4217</v>
      </c>
      <c r="F2372" s="20">
        <v>31.9962657343</v>
      </c>
      <c r="G2372" s="20">
        <v>44.902580670900001</v>
      </c>
      <c r="H2372" s="22">
        <v>20</v>
      </c>
      <c r="I2372" s="22">
        <v>120</v>
      </c>
      <c r="J2372" s="21">
        <v>2</v>
      </c>
      <c r="K2372" s="21"/>
      <c r="L2372" s="21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>
        <v>18</v>
      </c>
      <c r="W2372" s="21"/>
      <c r="X2372" s="21"/>
      <c r="Y2372" s="21"/>
      <c r="Z2372" s="21"/>
      <c r="AA2372" s="21"/>
      <c r="AB2372" s="21"/>
      <c r="AC2372" s="21">
        <v>10</v>
      </c>
      <c r="AD2372" s="21"/>
      <c r="AE2372" s="21"/>
      <c r="AF2372" s="21"/>
      <c r="AG2372" s="21"/>
      <c r="AH2372" s="21">
        <v>10</v>
      </c>
      <c r="AI2372" s="21"/>
      <c r="AJ2372" s="21"/>
      <c r="AK2372" s="21"/>
      <c r="AL2372" s="21">
        <v>5</v>
      </c>
      <c r="AM2372" s="21">
        <v>5</v>
      </c>
      <c r="AN2372" s="21">
        <v>6</v>
      </c>
      <c r="AO2372" s="21">
        <v>1</v>
      </c>
      <c r="AP2372" s="21"/>
      <c r="AQ2372" s="21"/>
      <c r="AR2372" s="21">
        <v>3</v>
      </c>
      <c r="AS2372" s="21"/>
      <c r="AT2372" s="12" t="str">
        <f>HYPERLINK("http://www.openstreetmap.org/?mlat=31.9963&amp;mlon=44.9026&amp;zoom=12#map=12/31.9963/44.9026","Maplink1")</f>
        <v>Maplink1</v>
      </c>
      <c r="AU2372" s="12" t="str">
        <f>HYPERLINK("https://www.google.iq/maps/search/+31.9963,44.9026/@31.9963,44.9026,14z?hl=en","Maplink2")</f>
        <v>Maplink2</v>
      </c>
      <c r="AV2372" s="12" t="str">
        <f>HYPERLINK("http://www.bing.com/maps/?lvl=14&amp;sty=h&amp;cp=31.9963~44.9026&amp;sp=point.31.9963_44.9026","Maplink3")</f>
        <v>Maplink3</v>
      </c>
    </row>
    <row r="2373" spans="1:48" ht="15" customHeight="1" x14ac:dyDescent="0.25">
      <c r="A2373" s="19">
        <v>25508</v>
      </c>
      <c r="B2373" s="20" t="s">
        <v>22</v>
      </c>
      <c r="C2373" s="20" t="s">
        <v>4095</v>
      </c>
      <c r="D2373" s="20" t="s">
        <v>4218</v>
      </c>
      <c r="E2373" s="20" t="s">
        <v>4219</v>
      </c>
      <c r="F2373" s="20">
        <v>32.003618991000003</v>
      </c>
      <c r="G2373" s="20">
        <v>44.900940405199997</v>
      </c>
      <c r="H2373" s="22">
        <v>7</v>
      </c>
      <c r="I2373" s="22">
        <v>42</v>
      </c>
      <c r="J2373" s="21"/>
      <c r="K2373" s="21"/>
      <c r="L2373" s="21"/>
      <c r="M2373" s="21"/>
      <c r="N2373" s="21"/>
      <c r="O2373" s="21"/>
      <c r="P2373" s="21"/>
      <c r="Q2373" s="21"/>
      <c r="R2373" s="21">
        <v>2</v>
      </c>
      <c r="S2373" s="21"/>
      <c r="T2373" s="21"/>
      <c r="U2373" s="21"/>
      <c r="V2373" s="21">
        <v>5</v>
      </c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21"/>
      <c r="AH2373" s="21">
        <v>7</v>
      </c>
      <c r="AI2373" s="21"/>
      <c r="AJ2373" s="21"/>
      <c r="AK2373" s="21"/>
      <c r="AL2373" s="21"/>
      <c r="AM2373" s="21">
        <v>2</v>
      </c>
      <c r="AN2373" s="21">
        <v>5</v>
      </c>
      <c r="AO2373" s="21"/>
      <c r="AP2373" s="21"/>
      <c r="AQ2373" s="21"/>
      <c r="AR2373" s="21"/>
      <c r="AS2373" s="21"/>
      <c r="AT2373" s="12" t="str">
        <f>HYPERLINK("http://www.openstreetmap.org/?mlat=32.0036&amp;mlon=44.9009&amp;zoom=12#map=12/32.0036/44.9009","Maplink1")</f>
        <v>Maplink1</v>
      </c>
      <c r="AU2373" s="12" t="str">
        <f>HYPERLINK("https://www.google.iq/maps/search/+32.0036,44.9009/@32.0036,44.9009,14z?hl=en","Maplink2")</f>
        <v>Maplink2</v>
      </c>
      <c r="AV2373" s="12" t="str">
        <f>HYPERLINK("http://www.bing.com/maps/?lvl=14&amp;sty=h&amp;cp=32.0036~44.9009&amp;sp=point.32.0036_44.9009","Maplink3")</f>
        <v>Maplink3</v>
      </c>
    </row>
    <row r="2374" spans="1:48" ht="15" customHeight="1" x14ac:dyDescent="0.25">
      <c r="A2374" s="19">
        <v>24904</v>
      </c>
      <c r="B2374" s="20" t="s">
        <v>22</v>
      </c>
      <c r="C2374" s="20" t="s">
        <v>4095</v>
      </c>
      <c r="D2374" s="20" t="s">
        <v>4220</v>
      </c>
      <c r="E2374" s="20" t="s">
        <v>4221</v>
      </c>
      <c r="F2374" s="20">
        <v>32.011564446100003</v>
      </c>
      <c r="G2374" s="20">
        <v>44.842121013800003</v>
      </c>
      <c r="H2374" s="22">
        <v>16</v>
      </c>
      <c r="I2374" s="22">
        <v>96</v>
      </c>
      <c r="J2374" s="21"/>
      <c r="K2374" s="21"/>
      <c r="L2374" s="21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>
        <v>16</v>
      </c>
      <c r="W2374" s="21"/>
      <c r="X2374" s="21"/>
      <c r="Y2374" s="21"/>
      <c r="Z2374" s="21"/>
      <c r="AA2374" s="21"/>
      <c r="AB2374" s="21"/>
      <c r="AC2374" s="21">
        <v>5</v>
      </c>
      <c r="AD2374" s="21"/>
      <c r="AE2374" s="21"/>
      <c r="AF2374" s="21"/>
      <c r="AG2374" s="21">
        <v>7</v>
      </c>
      <c r="AH2374" s="21">
        <v>4</v>
      </c>
      <c r="AI2374" s="21"/>
      <c r="AJ2374" s="21"/>
      <c r="AK2374" s="21"/>
      <c r="AL2374" s="21"/>
      <c r="AM2374" s="21">
        <v>16</v>
      </c>
      <c r="AN2374" s="21"/>
      <c r="AO2374" s="21"/>
      <c r="AP2374" s="21"/>
      <c r="AQ2374" s="21"/>
      <c r="AR2374" s="21"/>
      <c r="AS2374" s="21"/>
      <c r="AT2374" s="12" t="str">
        <f>HYPERLINK("http://www.openstreetmap.org/?mlat=32.0116&amp;mlon=44.8421&amp;zoom=12#map=12/32.0116/44.8421","Maplink1")</f>
        <v>Maplink1</v>
      </c>
      <c r="AU2374" s="12" t="str">
        <f>HYPERLINK("https://www.google.iq/maps/search/+32.0116,44.8421/@32.0116,44.8421,14z?hl=en","Maplink2")</f>
        <v>Maplink2</v>
      </c>
      <c r="AV2374" s="12" t="str">
        <f>HYPERLINK("http://www.bing.com/maps/?lvl=14&amp;sty=h&amp;cp=32.0116~44.8421&amp;sp=point.32.0116_44.8421","Maplink3")</f>
        <v>Maplink3</v>
      </c>
    </row>
    <row r="2375" spans="1:48" ht="15" customHeight="1" x14ac:dyDescent="0.25">
      <c r="A2375" s="19">
        <v>24583</v>
      </c>
      <c r="B2375" s="20" t="s">
        <v>22</v>
      </c>
      <c r="C2375" s="20" t="s">
        <v>4222</v>
      </c>
      <c r="D2375" s="20" t="s">
        <v>4224</v>
      </c>
      <c r="E2375" s="20" t="s">
        <v>4225</v>
      </c>
      <c r="F2375" s="20">
        <v>31.866192826999999</v>
      </c>
      <c r="G2375" s="20">
        <v>44.9261202291</v>
      </c>
      <c r="H2375" s="22">
        <v>6</v>
      </c>
      <c r="I2375" s="22">
        <v>36</v>
      </c>
      <c r="J2375" s="21"/>
      <c r="K2375" s="21"/>
      <c r="L2375" s="21"/>
      <c r="M2375" s="21"/>
      <c r="N2375" s="21"/>
      <c r="O2375" s="21"/>
      <c r="P2375" s="21"/>
      <c r="Q2375" s="21"/>
      <c r="R2375" s="21">
        <v>1</v>
      </c>
      <c r="S2375" s="21"/>
      <c r="T2375" s="21"/>
      <c r="U2375" s="21"/>
      <c r="V2375" s="21">
        <v>5</v>
      </c>
      <c r="W2375" s="21"/>
      <c r="X2375" s="21"/>
      <c r="Y2375" s="21"/>
      <c r="Z2375" s="21"/>
      <c r="AA2375" s="21"/>
      <c r="AB2375" s="21"/>
      <c r="AC2375" s="21">
        <v>3</v>
      </c>
      <c r="AD2375" s="21"/>
      <c r="AE2375" s="21"/>
      <c r="AF2375" s="21"/>
      <c r="AG2375" s="21">
        <v>3</v>
      </c>
      <c r="AH2375" s="21"/>
      <c r="AI2375" s="21"/>
      <c r="AJ2375" s="21"/>
      <c r="AK2375" s="21"/>
      <c r="AL2375" s="21"/>
      <c r="AM2375" s="21">
        <v>1</v>
      </c>
      <c r="AN2375" s="21">
        <v>5</v>
      </c>
      <c r="AO2375" s="21"/>
      <c r="AP2375" s="21"/>
      <c r="AQ2375" s="21"/>
      <c r="AR2375" s="21"/>
      <c r="AS2375" s="21"/>
      <c r="AT2375" s="12" t="str">
        <f>HYPERLINK("http://www.openstreetmap.org/?mlat=31.8662&amp;mlon=44.9261&amp;zoom=12#map=12/31.8662/44.9261","Maplink1")</f>
        <v>Maplink1</v>
      </c>
      <c r="AU2375" s="12" t="str">
        <f>HYPERLINK("https://www.google.iq/maps/search/+31.8662,44.9261/@31.8662,44.9261,14z?hl=en","Maplink2")</f>
        <v>Maplink2</v>
      </c>
      <c r="AV2375" s="12" t="str">
        <f>HYPERLINK("http://www.bing.com/maps/?lvl=14&amp;sty=h&amp;cp=31.8662~44.9261&amp;sp=point.31.8662_44.9261","Maplink3")</f>
        <v>Maplink3</v>
      </c>
    </row>
    <row r="2376" spans="1:48" ht="15" customHeight="1" x14ac:dyDescent="0.25">
      <c r="A2376" s="19">
        <v>21102</v>
      </c>
      <c r="B2376" s="20" t="s">
        <v>22</v>
      </c>
      <c r="C2376" s="20" t="s">
        <v>4222</v>
      </c>
      <c r="D2376" s="20" t="s">
        <v>4226</v>
      </c>
      <c r="E2376" s="20" t="s">
        <v>4227</v>
      </c>
      <c r="F2376" s="20">
        <v>31.731123190000002</v>
      </c>
      <c r="G2376" s="20">
        <v>44.96693037</v>
      </c>
      <c r="H2376" s="22">
        <v>19</v>
      </c>
      <c r="I2376" s="22">
        <v>114</v>
      </c>
      <c r="J2376" s="21"/>
      <c r="K2376" s="21"/>
      <c r="L2376" s="21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>
        <v>19</v>
      </c>
      <c r="W2376" s="21"/>
      <c r="X2376" s="21"/>
      <c r="Y2376" s="21"/>
      <c r="Z2376" s="21"/>
      <c r="AA2376" s="21"/>
      <c r="AB2376" s="21"/>
      <c r="AC2376" s="21">
        <v>3</v>
      </c>
      <c r="AD2376" s="21"/>
      <c r="AE2376" s="21"/>
      <c r="AF2376" s="21"/>
      <c r="AG2376" s="21">
        <v>6</v>
      </c>
      <c r="AH2376" s="21">
        <v>2</v>
      </c>
      <c r="AI2376" s="21"/>
      <c r="AJ2376" s="21">
        <v>8</v>
      </c>
      <c r="AK2376" s="21"/>
      <c r="AL2376" s="21"/>
      <c r="AM2376" s="21">
        <v>15</v>
      </c>
      <c r="AN2376" s="21">
        <v>4</v>
      </c>
      <c r="AO2376" s="21"/>
      <c r="AP2376" s="21"/>
      <c r="AQ2376" s="21"/>
      <c r="AR2376" s="21"/>
      <c r="AS2376" s="21"/>
      <c r="AT2376" s="12" t="str">
        <f>HYPERLINK("http://www.openstreetmap.org/?mlat=31.7311&amp;mlon=44.9669&amp;zoom=12#map=12/31.7311/44.9669","Maplink1")</f>
        <v>Maplink1</v>
      </c>
      <c r="AU2376" s="12" t="str">
        <f>HYPERLINK("https://www.google.iq/maps/search/+31.7311,44.9669/@31.7311,44.9669,14z?hl=en","Maplink2")</f>
        <v>Maplink2</v>
      </c>
      <c r="AV2376" s="12" t="str">
        <f>HYPERLINK("http://www.bing.com/maps/?lvl=14&amp;sty=h&amp;cp=31.7311~44.9669&amp;sp=point.31.7311_44.9669","Maplink3")</f>
        <v>Maplink3</v>
      </c>
    </row>
    <row r="2377" spans="1:48" ht="15" customHeight="1" x14ac:dyDescent="0.25">
      <c r="A2377" s="19">
        <v>25283</v>
      </c>
      <c r="B2377" s="20" t="s">
        <v>22</v>
      </c>
      <c r="C2377" s="20" t="s">
        <v>4222</v>
      </c>
      <c r="D2377" s="20" t="s">
        <v>4228</v>
      </c>
      <c r="E2377" s="20" t="s">
        <v>4229</v>
      </c>
      <c r="F2377" s="20">
        <v>31.731875389999999</v>
      </c>
      <c r="G2377" s="20">
        <v>44.977551589999997</v>
      </c>
      <c r="H2377" s="22">
        <v>16</v>
      </c>
      <c r="I2377" s="22">
        <v>96</v>
      </c>
      <c r="J2377" s="21"/>
      <c r="K2377" s="21"/>
      <c r="L2377" s="21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>
        <v>16</v>
      </c>
      <c r="W2377" s="21"/>
      <c r="X2377" s="21"/>
      <c r="Y2377" s="21"/>
      <c r="Z2377" s="21"/>
      <c r="AA2377" s="21"/>
      <c r="AB2377" s="21"/>
      <c r="AC2377" s="21">
        <v>5</v>
      </c>
      <c r="AD2377" s="21">
        <v>1</v>
      </c>
      <c r="AE2377" s="21"/>
      <c r="AF2377" s="21"/>
      <c r="AG2377" s="21">
        <v>10</v>
      </c>
      <c r="AH2377" s="21"/>
      <c r="AI2377" s="21"/>
      <c r="AJ2377" s="21"/>
      <c r="AK2377" s="21"/>
      <c r="AL2377" s="21"/>
      <c r="AM2377" s="21">
        <v>6</v>
      </c>
      <c r="AN2377" s="21">
        <v>10</v>
      </c>
      <c r="AO2377" s="21"/>
      <c r="AP2377" s="21"/>
      <c r="AQ2377" s="21"/>
      <c r="AR2377" s="21"/>
      <c r="AS2377" s="21"/>
      <c r="AT2377" s="12" t="str">
        <f>HYPERLINK("http://www.openstreetmap.org/?mlat=31.7319&amp;mlon=44.9776&amp;zoom=12#map=12/31.7319/44.9776","Maplink1")</f>
        <v>Maplink1</v>
      </c>
      <c r="AU2377" s="12" t="str">
        <f>HYPERLINK("https://www.google.iq/maps/search/+31.7319,44.9776/@31.7319,44.9776,14z?hl=en","Maplink2")</f>
        <v>Maplink2</v>
      </c>
      <c r="AV2377" s="12" t="str">
        <f>HYPERLINK("http://www.bing.com/maps/?lvl=14&amp;sty=h&amp;cp=31.7319~44.9776&amp;sp=point.31.7319_44.9776","Maplink3")</f>
        <v>Maplink3</v>
      </c>
    </row>
    <row r="2378" spans="1:48" ht="15" customHeight="1" x14ac:dyDescent="0.25">
      <c r="A2378" s="19">
        <v>2518</v>
      </c>
      <c r="B2378" s="20" t="s">
        <v>22</v>
      </c>
      <c r="C2378" s="20" t="s">
        <v>4222</v>
      </c>
      <c r="D2378" s="20" t="s">
        <v>4230</v>
      </c>
      <c r="E2378" s="20" t="s">
        <v>4231</v>
      </c>
      <c r="F2378" s="20">
        <v>31.819094750000001</v>
      </c>
      <c r="G2378" s="20">
        <v>44.937790440000001</v>
      </c>
      <c r="H2378" s="22">
        <v>9</v>
      </c>
      <c r="I2378" s="22">
        <v>54</v>
      </c>
      <c r="J2378" s="21"/>
      <c r="K2378" s="21"/>
      <c r="L2378" s="21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>
        <v>9</v>
      </c>
      <c r="W2378" s="21"/>
      <c r="X2378" s="21"/>
      <c r="Y2378" s="21"/>
      <c r="Z2378" s="21"/>
      <c r="AA2378" s="21"/>
      <c r="AB2378" s="21"/>
      <c r="AC2378" s="21">
        <v>4</v>
      </c>
      <c r="AD2378" s="21"/>
      <c r="AE2378" s="21"/>
      <c r="AF2378" s="21"/>
      <c r="AG2378" s="21">
        <v>5</v>
      </c>
      <c r="AH2378" s="21"/>
      <c r="AI2378" s="21"/>
      <c r="AJ2378" s="21"/>
      <c r="AK2378" s="21"/>
      <c r="AL2378" s="21"/>
      <c r="AM2378" s="21">
        <v>4</v>
      </c>
      <c r="AN2378" s="21">
        <v>5</v>
      </c>
      <c r="AO2378" s="21"/>
      <c r="AP2378" s="21"/>
      <c r="AQ2378" s="21"/>
      <c r="AR2378" s="21"/>
      <c r="AS2378" s="21"/>
      <c r="AT2378" s="12" t="str">
        <f>HYPERLINK("http://www.openstreetmap.org/?mlat=31.8191&amp;mlon=44.9378&amp;zoom=12#map=12/31.8191/44.9378","Maplink1")</f>
        <v>Maplink1</v>
      </c>
      <c r="AU2378" s="12" t="str">
        <f>HYPERLINK("https://www.google.iq/maps/search/+31.8191,44.9378/@31.8191,44.9378,14z?hl=en","Maplink2")</f>
        <v>Maplink2</v>
      </c>
      <c r="AV2378" s="12" t="str">
        <f>HYPERLINK("http://www.bing.com/maps/?lvl=14&amp;sty=h&amp;cp=31.8191~44.9378&amp;sp=point.31.8191_44.9378","Maplink3")</f>
        <v>Maplink3</v>
      </c>
    </row>
    <row r="2379" spans="1:48" ht="15" customHeight="1" x14ac:dyDescent="0.25">
      <c r="A2379" s="19">
        <v>2539</v>
      </c>
      <c r="B2379" s="20" t="s">
        <v>22</v>
      </c>
      <c r="C2379" s="20" t="s">
        <v>4222</v>
      </c>
      <c r="D2379" s="20" t="s">
        <v>4232</v>
      </c>
      <c r="E2379" s="20" t="s">
        <v>4233</v>
      </c>
      <c r="F2379" s="20">
        <v>31.829627030000001</v>
      </c>
      <c r="G2379" s="20">
        <v>44.935180899999999</v>
      </c>
      <c r="H2379" s="22">
        <v>7</v>
      </c>
      <c r="I2379" s="22">
        <v>42</v>
      </c>
      <c r="J2379" s="21"/>
      <c r="K2379" s="21"/>
      <c r="L2379" s="21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>
        <v>7</v>
      </c>
      <c r="W2379" s="21"/>
      <c r="X2379" s="21"/>
      <c r="Y2379" s="21"/>
      <c r="Z2379" s="21"/>
      <c r="AA2379" s="21"/>
      <c r="AB2379" s="21"/>
      <c r="AC2379" s="21">
        <v>2</v>
      </c>
      <c r="AD2379" s="21"/>
      <c r="AE2379" s="21"/>
      <c r="AF2379" s="21"/>
      <c r="AG2379" s="21">
        <v>5</v>
      </c>
      <c r="AH2379" s="21"/>
      <c r="AI2379" s="21"/>
      <c r="AJ2379" s="21"/>
      <c r="AK2379" s="21"/>
      <c r="AL2379" s="21"/>
      <c r="AM2379" s="21"/>
      <c r="AN2379" s="21">
        <v>7</v>
      </c>
      <c r="AO2379" s="21"/>
      <c r="AP2379" s="21"/>
      <c r="AQ2379" s="21"/>
      <c r="AR2379" s="21"/>
      <c r="AS2379" s="21"/>
      <c r="AT2379" s="12" t="str">
        <f>HYPERLINK("http://www.openstreetmap.org/?mlat=31.8296&amp;mlon=44.9352&amp;zoom=12#map=12/31.8296/44.9352","Maplink1")</f>
        <v>Maplink1</v>
      </c>
      <c r="AU2379" s="12" t="str">
        <f>HYPERLINK("https://www.google.iq/maps/search/+31.8296,44.9352/@31.8296,44.9352,14z?hl=en","Maplink2")</f>
        <v>Maplink2</v>
      </c>
      <c r="AV2379" s="12" t="str">
        <f>HYPERLINK("http://www.bing.com/maps/?lvl=14&amp;sty=h&amp;cp=31.8296~44.9352&amp;sp=point.31.8296_44.9352","Maplink3")</f>
        <v>Maplink3</v>
      </c>
    </row>
    <row r="2380" spans="1:48" ht="15" customHeight="1" x14ac:dyDescent="0.25">
      <c r="A2380" s="19">
        <v>25282</v>
      </c>
      <c r="B2380" s="20" t="s">
        <v>22</v>
      </c>
      <c r="C2380" s="20" t="s">
        <v>4222</v>
      </c>
      <c r="D2380" s="20" t="s">
        <v>4234</v>
      </c>
      <c r="E2380" s="20" t="s">
        <v>4235</v>
      </c>
      <c r="F2380" s="20">
        <v>31.720618779999999</v>
      </c>
      <c r="G2380" s="20">
        <v>44.974645410000001</v>
      </c>
      <c r="H2380" s="22">
        <v>16</v>
      </c>
      <c r="I2380" s="22">
        <v>96</v>
      </c>
      <c r="J2380" s="21"/>
      <c r="K2380" s="21"/>
      <c r="L2380" s="21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>
        <v>16</v>
      </c>
      <c r="W2380" s="21"/>
      <c r="X2380" s="21"/>
      <c r="Y2380" s="21"/>
      <c r="Z2380" s="21"/>
      <c r="AA2380" s="21"/>
      <c r="AB2380" s="21"/>
      <c r="AC2380" s="21">
        <v>4</v>
      </c>
      <c r="AD2380" s="21">
        <v>2</v>
      </c>
      <c r="AE2380" s="21"/>
      <c r="AF2380" s="21"/>
      <c r="AG2380" s="21">
        <v>10</v>
      </c>
      <c r="AH2380" s="21"/>
      <c r="AI2380" s="21"/>
      <c r="AJ2380" s="21"/>
      <c r="AK2380" s="21"/>
      <c r="AL2380" s="21"/>
      <c r="AM2380" s="21">
        <v>7</v>
      </c>
      <c r="AN2380" s="21">
        <v>9</v>
      </c>
      <c r="AO2380" s="21"/>
      <c r="AP2380" s="21"/>
      <c r="AQ2380" s="21"/>
      <c r="AR2380" s="21"/>
      <c r="AS2380" s="21"/>
      <c r="AT2380" s="12" t="str">
        <f>HYPERLINK("http://www.openstreetmap.org/?mlat=31.7206&amp;mlon=44.9746&amp;zoom=12#map=12/31.7206/44.9746","Maplink1")</f>
        <v>Maplink1</v>
      </c>
      <c r="AU2380" s="12" t="str">
        <f>HYPERLINK("https://www.google.iq/maps/search/+31.7206,44.9746/@31.7206,44.9746,14z?hl=en","Maplink2")</f>
        <v>Maplink2</v>
      </c>
      <c r="AV2380" s="12" t="str">
        <f>HYPERLINK("http://www.bing.com/maps/?lvl=14&amp;sty=h&amp;cp=31.7206~44.9746&amp;sp=point.31.7206_44.9746","Maplink3")</f>
        <v>Maplink3</v>
      </c>
    </row>
    <row r="2381" spans="1:48" ht="15" customHeight="1" x14ac:dyDescent="0.25">
      <c r="A2381" s="19">
        <v>25286</v>
      </c>
      <c r="B2381" s="20" t="s">
        <v>22</v>
      </c>
      <c r="C2381" s="20" t="s">
        <v>4222</v>
      </c>
      <c r="D2381" s="20" t="s">
        <v>4236</v>
      </c>
      <c r="E2381" s="20" t="s">
        <v>4237</v>
      </c>
      <c r="F2381" s="20">
        <v>31.81012007</v>
      </c>
      <c r="G2381" s="20">
        <v>44.940308029999997</v>
      </c>
      <c r="H2381" s="22">
        <v>9</v>
      </c>
      <c r="I2381" s="22">
        <v>54</v>
      </c>
      <c r="J2381" s="21"/>
      <c r="K2381" s="21"/>
      <c r="L2381" s="21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>
        <v>9</v>
      </c>
      <c r="W2381" s="21"/>
      <c r="X2381" s="21"/>
      <c r="Y2381" s="21"/>
      <c r="Z2381" s="21"/>
      <c r="AA2381" s="21"/>
      <c r="AB2381" s="21"/>
      <c r="AC2381" s="21">
        <v>4</v>
      </c>
      <c r="AD2381" s="21"/>
      <c r="AE2381" s="21"/>
      <c r="AF2381" s="21"/>
      <c r="AG2381" s="21">
        <v>3</v>
      </c>
      <c r="AH2381" s="21">
        <v>2</v>
      </c>
      <c r="AI2381" s="21"/>
      <c r="AJ2381" s="21"/>
      <c r="AK2381" s="21"/>
      <c r="AL2381" s="21"/>
      <c r="AM2381" s="21">
        <v>2</v>
      </c>
      <c r="AN2381" s="21">
        <v>7</v>
      </c>
      <c r="AO2381" s="21"/>
      <c r="AP2381" s="21"/>
      <c r="AQ2381" s="21"/>
      <c r="AR2381" s="21"/>
      <c r="AS2381" s="21"/>
      <c r="AT2381" s="12" t="str">
        <f>HYPERLINK("http://www.openstreetmap.org/?mlat=31.8101&amp;mlon=44.9403&amp;zoom=12#map=12/31.8101/44.9403","Maplink1")</f>
        <v>Maplink1</v>
      </c>
      <c r="AU2381" s="12" t="str">
        <f>HYPERLINK("https://www.google.iq/maps/search/+31.8101,44.9403/@31.8101,44.9403,14z?hl=en","Maplink2")</f>
        <v>Maplink2</v>
      </c>
      <c r="AV2381" s="12" t="str">
        <f>HYPERLINK("http://www.bing.com/maps/?lvl=14&amp;sty=h&amp;cp=31.8101~44.9403&amp;sp=point.31.8101_44.9403","Maplink3")</f>
        <v>Maplink3</v>
      </c>
    </row>
    <row r="2382" spans="1:48" ht="15" customHeight="1" x14ac:dyDescent="0.25">
      <c r="A2382" s="19">
        <v>25285</v>
      </c>
      <c r="B2382" s="20" t="s">
        <v>22</v>
      </c>
      <c r="C2382" s="20" t="s">
        <v>4222</v>
      </c>
      <c r="D2382" s="20" t="s">
        <v>1411</v>
      </c>
      <c r="E2382" s="20" t="s">
        <v>112</v>
      </c>
      <c r="F2382" s="20">
        <v>31.82788</v>
      </c>
      <c r="G2382" s="20">
        <v>44.938687000000002</v>
      </c>
      <c r="H2382" s="22">
        <v>6</v>
      </c>
      <c r="I2382" s="22">
        <v>36</v>
      </c>
      <c r="J2382" s="21"/>
      <c r="K2382" s="21"/>
      <c r="L2382" s="21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>
        <v>6</v>
      </c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21">
        <v>3</v>
      </c>
      <c r="AH2382" s="21">
        <v>3</v>
      </c>
      <c r="AI2382" s="21"/>
      <c r="AJ2382" s="21"/>
      <c r="AK2382" s="21"/>
      <c r="AL2382" s="21"/>
      <c r="AM2382" s="21">
        <v>4</v>
      </c>
      <c r="AN2382" s="21">
        <v>2</v>
      </c>
      <c r="AO2382" s="21"/>
      <c r="AP2382" s="21"/>
      <c r="AQ2382" s="21"/>
      <c r="AR2382" s="21"/>
      <c r="AS2382" s="21"/>
      <c r="AT2382" s="12" t="str">
        <f>HYPERLINK("http://www.openstreetmap.org/?mlat=31.8279&amp;mlon=44.9387&amp;zoom=12#map=12/31.8279/44.9387","Maplink1")</f>
        <v>Maplink1</v>
      </c>
      <c r="AU2382" s="12" t="str">
        <f>HYPERLINK("https://www.google.iq/maps/search/+31.8279,44.9387/@31.8279,44.9387,14z?hl=en","Maplink2")</f>
        <v>Maplink2</v>
      </c>
      <c r="AV2382" s="12" t="str">
        <f>HYPERLINK("http://www.bing.com/maps/?lvl=14&amp;sty=h&amp;cp=31.8279~44.9387&amp;sp=point.31.8279_44.9387","Maplink3")</f>
        <v>Maplink3</v>
      </c>
    </row>
    <row r="2383" spans="1:48" ht="15" customHeight="1" x14ac:dyDescent="0.25">
      <c r="A2383" s="19">
        <v>25564</v>
      </c>
      <c r="B2383" s="20" t="s">
        <v>22</v>
      </c>
      <c r="C2383" s="20" t="s">
        <v>4222</v>
      </c>
      <c r="D2383" s="20" t="s">
        <v>4238</v>
      </c>
      <c r="E2383" s="20" t="s">
        <v>4239</v>
      </c>
      <c r="F2383" s="20">
        <v>31.825396000000001</v>
      </c>
      <c r="G2383" s="20">
        <v>44.940756</v>
      </c>
      <c r="H2383" s="22">
        <v>6</v>
      </c>
      <c r="I2383" s="22">
        <v>36</v>
      </c>
      <c r="J2383" s="21"/>
      <c r="K2383" s="21"/>
      <c r="L2383" s="21"/>
      <c r="M2383" s="21"/>
      <c r="N2383" s="21"/>
      <c r="O2383" s="21"/>
      <c r="P2383" s="21"/>
      <c r="Q2383" s="21"/>
      <c r="R2383" s="21">
        <v>3</v>
      </c>
      <c r="S2383" s="21"/>
      <c r="T2383" s="21"/>
      <c r="U2383" s="21"/>
      <c r="V2383" s="21">
        <v>3</v>
      </c>
      <c r="W2383" s="21"/>
      <c r="X2383" s="21"/>
      <c r="Y2383" s="21"/>
      <c r="Z2383" s="21"/>
      <c r="AA2383" s="21"/>
      <c r="AB2383" s="21"/>
      <c r="AC2383" s="21">
        <v>2</v>
      </c>
      <c r="AD2383" s="21"/>
      <c r="AE2383" s="21"/>
      <c r="AF2383" s="21"/>
      <c r="AG2383" s="21">
        <v>2</v>
      </c>
      <c r="AH2383" s="21">
        <v>2</v>
      </c>
      <c r="AI2383" s="21"/>
      <c r="AJ2383" s="21"/>
      <c r="AK2383" s="21"/>
      <c r="AL2383" s="21"/>
      <c r="AM2383" s="21">
        <v>6</v>
      </c>
      <c r="AN2383" s="21"/>
      <c r="AO2383" s="21"/>
      <c r="AP2383" s="21"/>
      <c r="AQ2383" s="21"/>
      <c r="AR2383" s="21"/>
      <c r="AS2383" s="21"/>
      <c r="AT2383" s="12" t="str">
        <f>HYPERLINK("http://www.openstreetmap.org/?mlat=31.8254&amp;mlon=44.9408&amp;zoom=12#map=12/31.8254/44.9408","Maplink1")</f>
        <v>Maplink1</v>
      </c>
      <c r="AU2383" s="12" t="str">
        <f>HYPERLINK("https://www.google.iq/maps/search/+31.8254,44.9408/@31.8254,44.9408,14z?hl=en","Maplink2")</f>
        <v>Maplink2</v>
      </c>
      <c r="AV2383" s="12" t="str">
        <f>HYPERLINK("http://www.bing.com/maps/?lvl=14&amp;sty=h&amp;cp=31.8254~44.9408&amp;sp=point.31.8254_44.9408","Maplink3")</f>
        <v>Maplink3</v>
      </c>
    </row>
    <row r="2384" spans="1:48" ht="15" customHeight="1" x14ac:dyDescent="0.25">
      <c r="A2384" s="19">
        <v>22000</v>
      </c>
      <c r="B2384" s="20" t="s">
        <v>22</v>
      </c>
      <c r="C2384" s="20" t="s">
        <v>4222</v>
      </c>
      <c r="D2384" s="20" t="s">
        <v>4240</v>
      </c>
      <c r="E2384" s="20" t="s">
        <v>318</v>
      </c>
      <c r="F2384" s="20">
        <v>31.71388443</v>
      </c>
      <c r="G2384" s="20">
        <v>44.97182909</v>
      </c>
      <c r="H2384" s="22">
        <v>25</v>
      </c>
      <c r="I2384" s="22">
        <v>150</v>
      </c>
      <c r="J2384" s="21"/>
      <c r="K2384" s="21"/>
      <c r="L2384" s="21"/>
      <c r="M2384" s="21"/>
      <c r="N2384" s="21"/>
      <c r="O2384" s="21"/>
      <c r="P2384" s="21"/>
      <c r="Q2384" s="21"/>
      <c r="R2384" s="21">
        <v>6</v>
      </c>
      <c r="S2384" s="21"/>
      <c r="T2384" s="21"/>
      <c r="U2384" s="21"/>
      <c r="V2384" s="21">
        <v>19</v>
      </c>
      <c r="W2384" s="21"/>
      <c r="X2384" s="21"/>
      <c r="Y2384" s="21"/>
      <c r="Z2384" s="21"/>
      <c r="AA2384" s="21"/>
      <c r="AB2384" s="21"/>
      <c r="AC2384" s="21">
        <v>7</v>
      </c>
      <c r="AD2384" s="21"/>
      <c r="AE2384" s="21"/>
      <c r="AF2384" s="21"/>
      <c r="AG2384" s="21">
        <v>8</v>
      </c>
      <c r="AH2384" s="21">
        <v>10</v>
      </c>
      <c r="AI2384" s="21"/>
      <c r="AJ2384" s="21"/>
      <c r="AK2384" s="21"/>
      <c r="AL2384" s="21"/>
      <c r="AM2384" s="21">
        <v>6</v>
      </c>
      <c r="AN2384" s="21">
        <v>19</v>
      </c>
      <c r="AO2384" s="21"/>
      <c r="AP2384" s="21"/>
      <c r="AQ2384" s="21"/>
      <c r="AR2384" s="21"/>
      <c r="AS2384" s="21"/>
      <c r="AT2384" s="12" t="str">
        <f>HYPERLINK("http://www.openstreetmap.org/?mlat=31.7139&amp;mlon=44.9718&amp;zoom=12#map=12/31.7139/44.9718","Maplink1")</f>
        <v>Maplink1</v>
      </c>
      <c r="AU2384" s="12" t="str">
        <f>HYPERLINK("https://www.google.iq/maps/search/+31.7139,44.9718/@31.7139,44.9718,14z?hl=en","Maplink2")</f>
        <v>Maplink2</v>
      </c>
      <c r="AV2384" s="12" t="str">
        <f>HYPERLINK("http://www.bing.com/maps/?lvl=14&amp;sty=h&amp;cp=31.7139~44.9718&amp;sp=point.31.7139_44.9718","Maplink3")</f>
        <v>Maplink3</v>
      </c>
    </row>
    <row r="2385" spans="1:48" ht="15" customHeight="1" x14ac:dyDescent="0.25">
      <c r="A2385" s="19">
        <v>24582</v>
      </c>
      <c r="B2385" s="20" t="s">
        <v>22</v>
      </c>
      <c r="C2385" s="20" t="s">
        <v>4222</v>
      </c>
      <c r="D2385" s="20" t="s">
        <v>4241</v>
      </c>
      <c r="E2385" s="20" t="s">
        <v>4242</v>
      </c>
      <c r="F2385" s="20">
        <v>31.727026080000002</v>
      </c>
      <c r="G2385" s="20">
        <v>44.971750139999997</v>
      </c>
      <c r="H2385" s="22">
        <v>20</v>
      </c>
      <c r="I2385" s="22">
        <v>120</v>
      </c>
      <c r="J2385" s="21"/>
      <c r="K2385" s="21"/>
      <c r="L2385" s="21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>
        <v>20</v>
      </c>
      <c r="W2385" s="21"/>
      <c r="X2385" s="21"/>
      <c r="Y2385" s="21"/>
      <c r="Z2385" s="21"/>
      <c r="AA2385" s="21"/>
      <c r="AB2385" s="21"/>
      <c r="AC2385" s="21">
        <v>4</v>
      </c>
      <c r="AD2385" s="21"/>
      <c r="AE2385" s="21"/>
      <c r="AF2385" s="21"/>
      <c r="AG2385" s="21">
        <v>8</v>
      </c>
      <c r="AH2385" s="21">
        <v>8</v>
      </c>
      <c r="AI2385" s="21"/>
      <c r="AJ2385" s="21"/>
      <c r="AK2385" s="21"/>
      <c r="AL2385" s="21"/>
      <c r="AM2385" s="21">
        <v>7</v>
      </c>
      <c r="AN2385" s="21">
        <v>13</v>
      </c>
      <c r="AO2385" s="21"/>
      <c r="AP2385" s="21"/>
      <c r="AQ2385" s="21"/>
      <c r="AR2385" s="21"/>
      <c r="AS2385" s="21"/>
      <c r="AT2385" s="12" t="str">
        <f>HYPERLINK("http://www.openstreetmap.org/?mlat=31.727&amp;mlon=44.9718&amp;zoom=12#map=12/31.727/44.9718","Maplink1")</f>
        <v>Maplink1</v>
      </c>
      <c r="AU2385" s="12" t="str">
        <f>HYPERLINK("https://www.google.iq/maps/search/+31.727,44.9718/@31.727,44.9718,14z?hl=en","Maplink2")</f>
        <v>Maplink2</v>
      </c>
      <c r="AV2385" s="12" t="str">
        <f>HYPERLINK("http://www.bing.com/maps/?lvl=14&amp;sty=h&amp;cp=31.727~44.9718&amp;sp=point.31.727_44.9718","Maplink3")</f>
        <v>Maplink3</v>
      </c>
    </row>
    <row r="2386" spans="1:48" ht="15" customHeight="1" x14ac:dyDescent="0.25">
      <c r="A2386" s="19">
        <v>25284</v>
      </c>
      <c r="B2386" s="20" t="s">
        <v>22</v>
      </c>
      <c r="C2386" s="20" t="s">
        <v>4222</v>
      </c>
      <c r="D2386" s="20" t="s">
        <v>4243</v>
      </c>
      <c r="E2386" s="20" t="s">
        <v>4244</v>
      </c>
      <c r="F2386" s="20">
        <v>31.739277319999999</v>
      </c>
      <c r="G2386" s="20">
        <v>44.977499119999997</v>
      </c>
      <c r="H2386" s="22">
        <v>30</v>
      </c>
      <c r="I2386" s="22">
        <v>180</v>
      </c>
      <c r="J2386" s="21"/>
      <c r="K2386" s="21"/>
      <c r="L2386" s="21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>
        <v>30</v>
      </c>
      <c r="W2386" s="21"/>
      <c r="X2386" s="21"/>
      <c r="Y2386" s="21"/>
      <c r="Z2386" s="21"/>
      <c r="AA2386" s="21"/>
      <c r="AB2386" s="21"/>
      <c r="AC2386" s="21">
        <v>12</v>
      </c>
      <c r="AD2386" s="21"/>
      <c r="AE2386" s="21"/>
      <c r="AF2386" s="21"/>
      <c r="AG2386" s="21">
        <v>10</v>
      </c>
      <c r="AH2386" s="21">
        <v>8</v>
      </c>
      <c r="AI2386" s="21"/>
      <c r="AJ2386" s="21"/>
      <c r="AK2386" s="21"/>
      <c r="AL2386" s="21"/>
      <c r="AM2386" s="21">
        <v>10</v>
      </c>
      <c r="AN2386" s="21">
        <v>20</v>
      </c>
      <c r="AO2386" s="21"/>
      <c r="AP2386" s="21"/>
      <c r="AQ2386" s="21"/>
      <c r="AR2386" s="21"/>
      <c r="AS2386" s="21"/>
      <c r="AT2386" s="12" t="str">
        <f>HYPERLINK("http://www.openstreetmap.org/?mlat=31.7393&amp;mlon=44.9775&amp;zoom=12#map=12/31.7393/44.9775","Maplink1")</f>
        <v>Maplink1</v>
      </c>
      <c r="AU2386" s="12" t="str">
        <f>HYPERLINK("https://www.google.iq/maps/search/+31.7393,44.9775/@31.7393,44.9775,14z?hl=en","Maplink2")</f>
        <v>Maplink2</v>
      </c>
      <c r="AV2386" s="12" t="str">
        <f>HYPERLINK("http://www.bing.com/maps/?lvl=14&amp;sty=h&amp;cp=31.7393~44.9775&amp;sp=point.31.7393_44.9775","Maplink3")</f>
        <v>Maplink3</v>
      </c>
    </row>
    <row r="2387" spans="1:48" ht="15" customHeight="1" x14ac:dyDescent="0.25">
      <c r="A2387" s="19">
        <v>25281</v>
      </c>
      <c r="B2387" s="20" t="s">
        <v>22</v>
      </c>
      <c r="C2387" s="20" t="s">
        <v>4222</v>
      </c>
      <c r="D2387" s="20" t="s">
        <v>4245</v>
      </c>
      <c r="E2387" s="20" t="s">
        <v>4246</v>
      </c>
      <c r="F2387" s="20">
        <v>31.648197840000002</v>
      </c>
      <c r="G2387" s="20">
        <v>45.020926678599999</v>
      </c>
      <c r="H2387" s="22">
        <v>14</v>
      </c>
      <c r="I2387" s="22">
        <v>84</v>
      </c>
      <c r="J2387" s="21"/>
      <c r="K2387" s="21"/>
      <c r="L2387" s="21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>
        <v>14</v>
      </c>
      <c r="W2387" s="21"/>
      <c r="X2387" s="21"/>
      <c r="Y2387" s="21"/>
      <c r="Z2387" s="21"/>
      <c r="AA2387" s="21"/>
      <c r="AB2387" s="21"/>
      <c r="AC2387" s="21">
        <v>5</v>
      </c>
      <c r="AD2387" s="21"/>
      <c r="AE2387" s="21"/>
      <c r="AF2387" s="21"/>
      <c r="AG2387" s="21">
        <v>9</v>
      </c>
      <c r="AH2387" s="21"/>
      <c r="AI2387" s="21"/>
      <c r="AJ2387" s="21"/>
      <c r="AK2387" s="21"/>
      <c r="AL2387" s="21"/>
      <c r="AM2387" s="21">
        <v>7</v>
      </c>
      <c r="AN2387" s="21">
        <v>7</v>
      </c>
      <c r="AO2387" s="21"/>
      <c r="AP2387" s="21"/>
      <c r="AQ2387" s="21"/>
      <c r="AR2387" s="21"/>
      <c r="AS2387" s="21"/>
      <c r="AT2387" s="12" t="str">
        <f>HYPERLINK("http://www.openstreetmap.org/?mlat=31.6482&amp;mlon=45.0209&amp;zoom=12#map=12/31.6482/45.0209","Maplink1")</f>
        <v>Maplink1</v>
      </c>
      <c r="AU2387" s="12" t="str">
        <f>HYPERLINK("https://www.google.iq/maps/search/+31.6482,45.0209/@31.6482,45.0209,14z?hl=en","Maplink2")</f>
        <v>Maplink2</v>
      </c>
      <c r="AV2387" s="12" t="str">
        <f>HYPERLINK("http://www.bing.com/maps/?lvl=14&amp;sty=h&amp;cp=31.6482~45.0209&amp;sp=point.31.6482_45.0209","Maplink3")</f>
        <v>Maplink3</v>
      </c>
    </row>
    <row r="2388" spans="1:48" ht="15" customHeight="1" x14ac:dyDescent="0.25">
      <c r="A2388" s="19">
        <v>26116</v>
      </c>
      <c r="B2388" s="20" t="s">
        <v>23</v>
      </c>
      <c r="C2388" s="20" t="s">
        <v>4247</v>
      </c>
      <c r="D2388" s="20" t="s">
        <v>4248</v>
      </c>
      <c r="E2388" s="20" t="s">
        <v>4101</v>
      </c>
      <c r="F2388" s="20">
        <v>34.407308469999997</v>
      </c>
      <c r="G2388" s="20">
        <v>43.79371673</v>
      </c>
      <c r="H2388" s="22">
        <v>65</v>
      </c>
      <c r="I2388" s="22">
        <v>390</v>
      </c>
      <c r="J2388" s="21"/>
      <c r="K2388" s="21"/>
      <c r="L2388" s="21"/>
      <c r="M2388" s="21"/>
      <c r="N2388" s="21"/>
      <c r="O2388" s="21"/>
      <c r="P2388" s="21"/>
      <c r="Q2388" s="21"/>
      <c r="R2388" s="21">
        <v>3</v>
      </c>
      <c r="S2388" s="21"/>
      <c r="T2388" s="21"/>
      <c r="U2388" s="21"/>
      <c r="V2388" s="21">
        <v>51</v>
      </c>
      <c r="W2388" s="21"/>
      <c r="X2388" s="21">
        <v>11</v>
      </c>
      <c r="Y2388" s="21"/>
      <c r="Z2388" s="21"/>
      <c r="AA2388" s="21"/>
      <c r="AB2388" s="21"/>
      <c r="AC2388" s="21"/>
      <c r="AD2388" s="21"/>
      <c r="AE2388" s="21"/>
      <c r="AF2388" s="21"/>
      <c r="AG2388" s="21"/>
      <c r="AH2388" s="21">
        <v>29</v>
      </c>
      <c r="AI2388" s="21">
        <v>36</v>
      </c>
      <c r="AJ2388" s="21"/>
      <c r="AK2388" s="21"/>
      <c r="AL2388" s="21"/>
      <c r="AM2388" s="21"/>
      <c r="AN2388" s="21"/>
      <c r="AO2388" s="21"/>
      <c r="AP2388" s="21"/>
      <c r="AQ2388" s="21"/>
      <c r="AR2388" s="21">
        <v>33</v>
      </c>
      <c r="AS2388" s="21">
        <v>32</v>
      </c>
      <c r="AT2388" s="12" t="str">
        <f>HYPERLINK("http://www.openstreetmap.org/?mlat=34.4073&amp;mlon=43.7937&amp;zoom=12#map=12/34.4073/43.7937","Maplink1")</f>
        <v>Maplink1</v>
      </c>
      <c r="AU2388" s="12" t="str">
        <f>HYPERLINK("https://www.google.iq/maps/search/+34.4073,43.7937/@34.4073,43.7937,14z?hl=en","Maplink2")</f>
        <v>Maplink2</v>
      </c>
      <c r="AV2388" s="12" t="str">
        <f>HYPERLINK("http://www.bing.com/maps/?lvl=14&amp;sty=h&amp;cp=34.4073~43.7937&amp;sp=point.34.4073_43.7937","Maplink3")</f>
        <v>Maplink3</v>
      </c>
    </row>
    <row r="2389" spans="1:48" ht="15" customHeight="1" x14ac:dyDescent="0.25">
      <c r="A2389" s="19">
        <v>26079</v>
      </c>
      <c r="B2389" s="20" t="s">
        <v>23</v>
      </c>
      <c r="C2389" s="20" t="s">
        <v>4247</v>
      </c>
      <c r="D2389" s="20" t="s">
        <v>4249</v>
      </c>
      <c r="E2389" s="20" t="s">
        <v>4250</v>
      </c>
      <c r="F2389" s="20">
        <v>34.464746890000001</v>
      </c>
      <c r="G2389" s="20">
        <v>43.791234510000002</v>
      </c>
      <c r="H2389" s="22">
        <v>2</v>
      </c>
      <c r="I2389" s="22">
        <v>12</v>
      </c>
      <c r="J2389" s="21"/>
      <c r="K2389" s="21"/>
      <c r="L2389" s="21"/>
      <c r="M2389" s="21"/>
      <c r="N2389" s="21"/>
      <c r="O2389" s="21"/>
      <c r="P2389" s="21"/>
      <c r="Q2389" s="21"/>
      <c r="R2389" s="21">
        <v>2</v>
      </c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21"/>
      <c r="AH2389" s="21"/>
      <c r="AI2389" s="21"/>
      <c r="AJ2389" s="21">
        <v>2</v>
      </c>
      <c r="AK2389" s="21"/>
      <c r="AL2389" s="21"/>
      <c r="AM2389" s="21"/>
      <c r="AN2389" s="21"/>
      <c r="AO2389" s="21"/>
      <c r="AP2389" s="21"/>
      <c r="AQ2389" s="21"/>
      <c r="AR2389" s="21"/>
      <c r="AS2389" s="21">
        <v>2</v>
      </c>
      <c r="AT2389" s="12" t="str">
        <f>HYPERLINK("http://www.openstreetmap.org/?mlat=34.4647&amp;mlon=43.7912&amp;zoom=12#map=12/34.4647/43.7912","Maplink1")</f>
        <v>Maplink1</v>
      </c>
      <c r="AU2389" s="12" t="str">
        <f>HYPERLINK("https://www.google.iq/maps/search/+34.4647,43.7912/@34.4647,43.7912,14z?hl=en","Maplink2")</f>
        <v>Maplink2</v>
      </c>
      <c r="AV2389" s="12" t="str">
        <f>HYPERLINK("http://www.bing.com/maps/?lvl=14&amp;sty=h&amp;cp=34.4647~43.7912&amp;sp=point.34.4647_43.7912","Maplink3")</f>
        <v>Maplink3</v>
      </c>
    </row>
    <row r="2390" spans="1:48" ht="15" customHeight="1" x14ac:dyDescent="0.25">
      <c r="A2390" s="19">
        <v>26077</v>
      </c>
      <c r="B2390" s="20" t="s">
        <v>23</v>
      </c>
      <c r="C2390" s="20" t="s">
        <v>4247</v>
      </c>
      <c r="D2390" s="20" t="s">
        <v>4251</v>
      </c>
      <c r="E2390" s="20" t="s">
        <v>4252</v>
      </c>
      <c r="F2390" s="20">
        <v>34.446231679999997</v>
      </c>
      <c r="G2390" s="20">
        <v>43.797421450000002</v>
      </c>
      <c r="H2390" s="22">
        <v>2</v>
      </c>
      <c r="I2390" s="22">
        <v>12</v>
      </c>
      <c r="J2390" s="21"/>
      <c r="K2390" s="21"/>
      <c r="L2390" s="21"/>
      <c r="M2390" s="21"/>
      <c r="N2390" s="21"/>
      <c r="O2390" s="21"/>
      <c r="P2390" s="21"/>
      <c r="Q2390" s="21"/>
      <c r="R2390" s="21">
        <v>2</v>
      </c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21"/>
      <c r="AH2390" s="21">
        <v>2</v>
      </c>
      <c r="AI2390" s="21"/>
      <c r="AJ2390" s="21"/>
      <c r="AK2390" s="21"/>
      <c r="AL2390" s="21"/>
      <c r="AM2390" s="21"/>
      <c r="AN2390" s="21"/>
      <c r="AO2390" s="21"/>
      <c r="AP2390" s="21"/>
      <c r="AQ2390" s="21"/>
      <c r="AR2390" s="21">
        <v>2</v>
      </c>
      <c r="AS2390" s="21"/>
      <c r="AT2390" s="12" t="str">
        <f>HYPERLINK("http://www.openstreetmap.org/?mlat=34.4462&amp;mlon=43.7974&amp;zoom=12#map=12/34.4462/43.7974","Maplink1")</f>
        <v>Maplink1</v>
      </c>
      <c r="AU2390" s="12" t="str">
        <f>HYPERLINK("https://www.google.iq/maps/search/+34.4462,43.7974/@34.4462,43.7974,14z?hl=en","Maplink2")</f>
        <v>Maplink2</v>
      </c>
      <c r="AV2390" s="12" t="str">
        <f>HYPERLINK("http://www.bing.com/maps/?lvl=14&amp;sty=h&amp;cp=34.4462~43.7974&amp;sp=point.34.4462_43.7974","Maplink3")</f>
        <v>Maplink3</v>
      </c>
    </row>
    <row r="2391" spans="1:48" ht="15" customHeight="1" x14ac:dyDescent="0.25">
      <c r="A2391" s="19">
        <v>20981</v>
      </c>
      <c r="B2391" s="20" t="s">
        <v>23</v>
      </c>
      <c r="C2391" s="20" t="s">
        <v>4253</v>
      </c>
      <c r="D2391" s="20" t="s">
        <v>4254</v>
      </c>
      <c r="E2391" s="20" t="s">
        <v>4255</v>
      </c>
      <c r="F2391" s="20">
        <v>33.740893200000002</v>
      </c>
      <c r="G2391" s="20">
        <v>44.267094239999999</v>
      </c>
      <c r="H2391" s="22">
        <v>25</v>
      </c>
      <c r="I2391" s="22">
        <v>150</v>
      </c>
      <c r="J2391" s="21"/>
      <c r="K2391" s="21"/>
      <c r="L2391" s="21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>
        <v>25</v>
      </c>
      <c r="Y2391" s="21"/>
      <c r="Z2391" s="21"/>
      <c r="AA2391" s="21"/>
      <c r="AB2391" s="21"/>
      <c r="AC2391" s="21"/>
      <c r="AD2391" s="21"/>
      <c r="AE2391" s="21"/>
      <c r="AF2391" s="21"/>
      <c r="AG2391" s="21"/>
      <c r="AH2391" s="21">
        <v>25</v>
      </c>
      <c r="AI2391" s="21"/>
      <c r="AJ2391" s="21"/>
      <c r="AK2391" s="21"/>
      <c r="AL2391" s="21"/>
      <c r="AM2391" s="21"/>
      <c r="AN2391" s="21">
        <v>25</v>
      </c>
      <c r="AO2391" s="21"/>
      <c r="AP2391" s="21"/>
      <c r="AQ2391" s="21"/>
      <c r="AR2391" s="21"/>
      <c r="AS2391" s="21"/>
      <c r="AT2391" s="12" t="str">
        <f>HYPERLINK("http://www.openstreetmap.org/?mlat=33.7409&amp;mlon=44.2671&amp;zoom=12#map=12/33.7409/44.2671","Maplink1")</f>
        <v>Maplink1</v>
      </c>
      <c r="AU2391" s="12" t="str">
        <f>HYPERLINK("https://www.google.iq/maps/search/+33.7409,44.2671/@33.7409,44.2671,14z?hl=en","Maplink2")</f>
        <v>Maplink2</v>
      </c>
      <c r="AV2391" s="12" t="str">
        <f>HYPERLINK("http://www.bing.com/maps/?lvl=14&amp;sty=h&amp;cp=33.7409~44.2671&amp;sp=point.33.7409_44.2671","Maplink3")</f>
        <v>Maplink3</v>
      </c>
    </row>
    <row r="2392" spans="1:48" ht="15" customHeight="1" x14ac:dyDescent="0.25">
      <c r="A2392" s="19">
        <v>25916</v>
      </c>
      <c r="B2392" s="20" t="s">
        <v>23</v>
      </c>
      <c r="C2392" s="20" t="s">
        <v>4253</v>
      </c>
      <c r="D2392" s="20" t="s">
        <v>4256</v>
      </c>
      <c r="E2392" s="20" t="s">
        <v>4257</v>
      </c>
      <c r="F2392" s="20">
        <v>33.909314729999998</v>
      </c>
      <c r="G2392" s="20">
        <v>44.198071540000001</v>
      </c>
      <c r="H2392" s="22">
        <v>145</v>
      </c>
      <c r="I2392" s="22">
        <v>870</v>
      </c>
      <c r="J2392" s="21"/>
      <c r="K2392" s="21"/>
      <c r="L2392" s="21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>
        <v>145</v>
      </c>
      <c r="Y2392" s="21"/>
      <c r="Z2392" s="21"/>
      <c r="AA2392" s="21"/>
      <c r="AB2392" s="21"/>
      <c r="AC2392" s="21"/>
      <c r="AD2392" s="21"/>
      <c r="AE2392" s="21"/>
      <c r="AF2392" s="21"/>
      <c r="AG2392" s="21"/>
      <c r="AH2392" s="21">
        <v>145</v>
      </c>
      <c r="AI2392" s="21"/>
      <c r="AJ2392" s="21"/>
      <c r="AK2392" s="21"/>
      <c r="AL2392" s="21"/>
      <c r="AM2392" s="21">
        <v>25</v>
      </c>
      <c r="AN2392" s="21">
        <v>45</v>
      </c>
      <c r="AO2392" s="21">
        <v>75</v>
      </c>
      <c r="AP2392" s="21"/>
      <c r="AQ2392" s="21"/>
      <c r="AR2392" s="21"/>
      <c r="AS2392" s="21"/>
      <c r="AT2392" s="12" t="str">
        <f>HYPERLINK("http://www.openstreetmap.org/?mlat=33.9093&amp;mlon=44.1981&amp;zoom=12#map=12/33.9093/44.1981","Maplink1")</f>
        <v>Maplink1</v>
      </c>
      <c r="AU2392" s="12" t="str">
        <f>HYPERLINK("https://www.google.iq/maps/search/+33.9093,44.1981/@33.9093,44.1981,14z?hl=en","Maplink2")</f>
        <v>Maplink2</v>
      </c>
      <c r="AV2392" s="12" t="str">
        <f>HYPERLINK("http://www.bing.com/maps/?lvl=14&amp;sty=h&amp;cp=33.9093~44.1981&amp;sp=point.33.9093_44.1981","Maplink3")</f>
        <v>Maplink3</v>
      </c>
    </row>
    <row r="2393" spans="1:48" ht="15" customHeight="1" x14ac:dyDescent="0.25">
      <c r="A2393" s="19">
        <v>25917</v>
      </c>
      <c r="B2393" s="20" t="s">
        <v>23</v>
      </c>
      <c r="C2393" s="20" t="s">
        <v>4253</v>
      </c>
      <c r="D2393" s="20" t="s">
        <v>4258</v>
      </c>
      <c r="E2393" s="20" t="s">
        <v>4259</v>
      </c>
      <c r="F2393" s="20">
        <v>33.770796220000001</v>
      </c>
      <c r="G2393" s="20">
        <v>44.292010089999998</v>
      </c>
      <c r="H2393" s="22">
        <v>135</v>
      </c>
      <c r="I2393" s="22">
        <v>810</v>
      </c>
      <c r="J2393" s="21"/>
      <c r="K2393" s="21"/>
      <c r="L2393" s="21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>
        <v>135</v>
      </c>
      <c r="Y2393" s="21"/>
      <c r="Z2393" s="21"/>
      <c r="AA2393" s="21"/>
      <c r="AB2393" s="21"/>
      <c r="AC2393" s="21"/>
      <c r="AD2393" s="21"/>
      <c r="AE2393" s="21"/>
      <c r="AF2393" s="21"/>
      <c r="AG2393" s="21"/>
      <c r="AH2393" s="21">
        <v>135</v>
      </c>
      <c r="AI2393" s="21"/>
      <c r="AJ2393" s="21"/>
      <c r="AK2393" s="21"/>
      <c r="AL2393" s="21"/>
      <c r="AM2393" s="21">
        <v>55</v>
      </c>
      <c r="AN2393" s="21">
        <v>30</v>
      </c>
      <c r="AO2393" s="21">
        <v>50</v>
      </c>
      <c r="AP2393" s="21"/>
      <c r="AQ2393" s="21"/>
      <c r="AR2393" s="21"/>
      <c r="AS2393" s="21"/>
      <c r="AT2393" s="12" t="str">
        <f>HYPERLINK("http://www.openstreetmap.org/?mlat=33.7708&amp;mlon=44.292&amp;zoom=12#map=12/33.7708/44.292","Maplink1")</f>
        <v>Maplink1</v>
      </c>
      <c r="AU2393" s="12" t="str">
        <f>HYPERLINK("https://www.google.iq/maps/search/+33.7708,44.292/@33.7708,44.292,14z?hl=en","Maplink2")</f>
        <v>Maplink2</v>
      </c>
      <c r="AV2393" s="12" t="str">
        <f>HYPERLINK("http://www.bing.com/maps/?lvl=14&amp;sty=h&amp;cp=33.7708~44.292&amp;sp=point.33.7708_44.292","Maplink3")</f>
        <v>Maplink3</v>
      </c>
    </row>
    <row r="2394" spans="1:48" ht="15" customHeight="1" x14ac:dyDescent="0.25">
      <c r="A2394" s="19">
        <v>23920</v>
      </c>
      <c r="B2394" s="20" t="s">
        <v>23</v>
      </c>
      <c r="C2394" s="20" t="s">
        <v>4253</v>
      </c>
      <c r="D2394" s="20" t="s">
        <v>4260</v>
      </c>
      <c r="E2394" s="20" t="s">
        <v>318</v>
      </c>
      <c r="F2394" s="20">
        <v>33.840217090000003</v>
      </c>
      <c r="G2394" s="20">
        <v>44.246030140000002</v>
      </c>
      <c r="H2394" s="22">
        <v>177</v>
      </c>
      <c r="I2394" s="22">
        <v>1062</v>
      </c>
      <c r="J2394" s="21"/>
      <c r="K2394" s="21"/>
      <c r="L2394" s="21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>
        <v>177</v>
      </c>
      <c r="Y2394" s="21"/>
      <c r="Z2394" s="21"/>
      <c r="AA2394" s="21"/>
      <c r="AB2394" s="21"/>
      <c r="AC2394" s="21"/>
      <c r="AD2394" s="21"/>
      <c r="AE2394" s="21"/>
      <c r="AF2394" s="21"/>
      <c r="AG2394" s="21"/>
      <c r="AH2394" s="21">
        <v>177</v>
      </c>
      <c r="AI2394" s="21"/>
      <c r="AJ2394" s="21"/>
      <c r="AK2394" s="21"/>
      <c r="AL2394" s="21"/>
      <c r="AM2394" s="21"/>
      <c r="AN2394" s="21">
        <v>77</v>
      </c>
      <c r="AO2394" s="21">
        <v>100</v>
      </c>
      <c r="AP2394" s="21"/>
      <c r="AQ2394" s="21"/>
      <c r="AR2394" s="21"/>
      <c r="AS2394" s="21"/>
      <c r="AT2394" s="12" t="str">
        <f>HYPERLINK("http://www.openstreetmap.org/?mlat=33.8402&amp;mlon=44.246&amp;zoom=12#map=12/33.8402/44.246","Maplink1")</f>
        <v>Maplink1</v>
      </c>
      <c r="AU2394" s="12" t="str">
        <f>HYPERLINK("https://www.google.iq/maps/search/+33.8402,44.246/@33.8402,44.246,14z?hl=en","Maplink2")</f>
        <v>Maplink2</v>
      </c>
      <c r="AV2394" s="12" t="str">
        <f>HYPERLINK("http://www.bing.com/maps/?lvl=14&amp;sty=h&amp;cp=33.8402~44.246&amp;sp=point.33.8402_44.246","Maplink3")</f>
        <v>Maplink3</v>
      </c>
    </row>
    <row r="2395" spans="1:48" ht="15" customHeight="1" x14ac:dyDescent="0.25">
      <c r="A2395" s="19">
        <v>25743</v>
      </c>
      <c r="B2395" s="20" t="s">
        <v>23</v>
      </c>
      <c r="C2395" s="20" t="s">
        <v>4253</v>
      </c>
      <c r="D2395" s="20" t="s">
        <v>4261</v>
      </c>
      <c r="E2395" s="20" t="s">
        <v>4262</v>
      </c>
      <c r="F2395" s="20">
        <v>33.850316890000002</v>
      </c>
      <c r="G2395" s="20">
        <v>44.229924779999997</v>
      </c>
      <c r="H2395" s="22">
        <v>163</v>
      </c>
      <c r="I2395" s="22">
        <v>978</v>
      </c>
      <c r="J2395" s="21"/>
      <c r="K2395" s="21"/>
      <c r="L2395" s="21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>
        <v>163</v>
      </c>
      <c r="Y2395" s="21"/>
      <c r="Z2395" s="21"/>
      <c r="AA2395" s="21"/>
      <c r="AB2395" s="21"/>
      <c r="AC2395" s="21"/>
      <c r="AD2395" s="21"/>
      <c r="AE2395" s="21"/>
      <c r="AF2395" s="21"/>
      <c r="AG2395" s="21"/>
      <c r="AH2395" s="21">
        <v>163</v>
      </c>
      <c r="AI2395" s="21"/>
      <c r="AJ2395" s="21"/>
      <c r="AK2395" s="21"/>
      <c r="AL2395" s="21"/>
      <c r="AM2395" s="21">
        <v>163</v>
      </c>
      <c r="AN2395" s="21"/>
      <c r="AO2395" s="21"/>
      <c r="AP2395" s="21"/>
      <c r="AQ2395" s="21"/>
      <c r="AR2395" s="21"/>
      <c r="AS2395" s="21"/>
      <c r="AT2395" s="12" t="str">
        <f>HYPERLINK("http://www.openstreetmap.org/?mlat=33.8503&amp;mlon=44.2299&amp;zoom=12#map=12/33.8503/44.2299","Maplink1")</f>
        <v>Maplink1</v>
      </c>
      <c r="AU2395" s="12" t="str">
        <f>HYPERLINK("https://www.google.iq/maps/search/+33.8503,44.2299/@33.8503,44.2299,14z?hl=en","Maplink2")</f>
        <v>Maplink2</v>
      </c>
      <c r="AV2395" s="12" t="str">
        <f>HYPERLINK("http://www.bing.com/maps/?lvl=14&amp;sty=h&amp;cp=33.8503~44.2299&amp;sp=point.33.8503_44.2299","Maplink3")</f>
        <v>Maplink3</v>
      </c>
    </row>
    <row r="2396" spans="1:48" ht="15" customHeight="1" x14ac:dyDescent="0.25">
      <c r="A2396" s="19">
        <v>23913</v>
      </c>
      <c r="B2396" s="20" t="s">
        <v>23</v>
      </c>
      <c r="C2396" s="20" t="s">
        <v>4253</v>
      </c>
      <c r="D2396" s="20" t="s">
        <v>4263</v>
      </c>
      <c r="E2396" s="20" t="s">
        <v>4264</v>
      </c>
      <c r="F2396" s="20">
        <v>33.836503569999998</v>
      </c>
      <c r="G2396" s="20">
        <v>44.252281809999999</v>
      </c>
      <c r="H2396" s="22">
        <v>100</v>
      </c>
      <c r="I2396" s="22">
        <v>600</v>
      </c>
      <c r="J2396" s="21"/>
      <c r="K2396" s="21"/>
      <c r="L2396" s="21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>
        <v>100</v>
      </c>
      <c r="Y2396" s="21"/>
      <c r="Z2396" s="21"/>
      <c r="AA2396" s="21"/>
      <c r="AB2396" s="21"/>
      <c r="AC2396" s="21"/>
      <c r="AD2396" s="21"/>
      <c r="AE2396" s="21"/>
      <c r="AF2396" s="21"/>
      <c r="AG2396" s="21"/>
      <c r="AH2396" s="21">
        <v>100</v>
      </c>
      <c r="AI2396" s="21"/>
      <c r="AJ2396" s="21"/>
      <c r="AK2396" s="21"/>
      <c r="AL2396" s="21"/>
      <c r="AM2396" s="21">
        <v>100</v>
      </c>
      <c r="AN2396" s="21"/>
      <c r="AO2396" s="21"/>
      <c r="AP2396" s="21"/>
      <c r="AQ2396" s="21"/>
      <c r="AR2396" s="21"/>
      <c r="AS2396" s="21"/>
      <c r="AT2396" s="12" t="str">
        <f>HYPERLINK("http://www.openstreetmap.org/?mlat=33.8365&amp;mlon=44.2523&amp;zoom=12#map=12/33.8365/44.2523","Maplink1")</f>
        <v>Maplink1</v>
      </c>
      <c r="AU2396" s="12" t="str">
        <f>HYPERLINK("https://www.google.iq/maps/search/+33.8365,44.2523/@33.8365,44.2523,14z?hl=en","Maplink2")</f>
        <v>Maplink2</v>
      </c>
      <c r="AV2396" s="12" t="str">
        <f>HYPERLINK("http://www.bing.com/maps/?lvl=14&amp;sty=h&amp;cp=33.8365~44.2523&amp;sp=point.33.8365_44.2523","Maplink3")</f>
        <v>Maplink3</v>
      </c>
    </row>
    <row r="2397" spans="1:48" ht="15" customHeight="1" x14ac:dyDescent="0.25">
      <c r="A2397" s="19">
        <v>25747</v>
      </c>
      <c r="B2397" s="20" t="s">
        <v>23</v>
      </c>
      <c r="C2397" s="20" t="s">
        <v>4253</v>
      </c>
      <c r="D2397" s="20" t="s">
        <v>4265</v>
      </c>
      <c r="E2397" s="20" t="s">
        <v>4266</v>
      </c>
      <c r="F2397" s="20">
        <v>33.773045889999999</v>
      </c>
      <c r="G2397" s="20">
        <v>44.305740030000003</v>
      </c>
      <c r="H2397" s="22">
        <v>180</v>
      </c>
      <c r="I2397" s="22">
        <v>1080</v>
      </c>
      <c r="J2397" s="21"/>
      <c r="K2397" s="21"/>
      <c r="L2397" s="21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>
        <v>180</v>
      </c>
      <c r="Y2397" s="21"/>
      <c r="Z2397" s="21"/>
      <c r="AA2397" s="21"/>
      <c r="AB2397" s="21"/>
      <c r="AC2397" s="21"/>
      <c r="AD2397" s="21"/>
      <c r="AE2397" s="21"/>
      <c r="AF2397" s="21"/>
      <c r="AG2397" s="21"/>
      <c r="AH2397" s="21">
        <v>180</v>
      </c>
      <c r="AI2397" s="21"/>
      <c r="AJ2397" s="21"/>
      <c r="AK2397" s="21"/>
      <c r="AL2397" s="21"/>
      <c r="AM2397" s="21"/>
      <c r="AN2397" s="21">
        <v>80</v>
      </c>
      <c r="AO2397" s="21">
        <v>100</v>
      </c>
      <c r="AP2397" s="21"/>
      <c r="AQ2397" s="21"/>
      <c r="AR2397" s="21"/>
      <c r="AS2397" s="21"/>
      <c r="AT2397" s="12" t="str">
        <f>HYPERLINK("http://www.openstreetmap.org/?mlat=33.773&amp;mlon=44.3057&amp;zoom=12#map=12/33.773/44.3057","Maplink1")</f>
        <v>Maplink1</v>
      </c>
      <c r="AU2397" s="12" t="str">
        <f>HYPERLINK("https://www.google.iq/maps/search/+33.773,44.3057/@33.773,44.3057,14z?hl=en","Maplink2")</f>
        <v>Maplink2</v>
      </c>
      <c r="AV2397" s="12" t="str">
        <f>HYPERLINK("http://www.bing.com/maps/?lvl=14&amp;sty=h&amp;cp=33.773~44.3057&amp;sp=point.33.773_44.3057","Maplink3")</f>
        <v>Maplink3</v>
      </c>
    </row>
    <row r="2398" spans="1:48" ht="15" customHeight="1" x14ac:dyDescent="0.25">
      <c r="A2398" s="19">
        <v>25746</v>
      </c>
      <c r="B2398" s="20" t="s">
        <v>23</v>
      </c>
      <c r="C2398" s="20" t="s">
        <v>4253</v>
      </c>
      <c r="D2398" s="20" t="s">
        <v>4267</v>
      </c>
      <c r="E2398" s="20" t="s">
        <v>4268</v>
      </c>
      <c r="F2398" s="20">
        <v>33.846794940000002</v>
      </c>
      <c r="G2398" s="20">
        <v>44.23551269</v>
      </c>
      <c r="H2398" s="22">
        <v>165</v>
      </c>
      <c r="I2398" s="22">
        <v>990</v>
      </c>
      <c r="J2398" s="21"/>
      <c r="K2398" s="21"/>
      <c r="L2398" s="21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>
        <v>165</v>
      </c>
      <c r="Y2398" s="21"/>
      <c r="Z2398" s="21"/>
      <c r="AA2398" s="21"/>
      <c r="AB2398" s="21"/>
      <c r="AC2398" s="21"/>
      <c r="AD2398" s="21"/>
      <c r="AE2398" s="21"/>
      <c r="AF2398" s="21"/>
      <c r="AG2398" s="21"/>
      <c r="AH2398" s="21">
        <v>165</v>
      </c>
      <c r="AI2398" s="21"/>
      <c r="AJ2398" s="21"/>
      <c r="AK2398" s="21"/>
      <c r="AL2398" s="21"/>
      <c r="AM2398" s="21"/>
      <c r="AN2398" s="21">
        <v>165</v>
      </c>
      <c r="AO2398" s="21"/>
      <c r="AP2398" s="21"/>
      <c r="AQ2398" s="21"/>
      <c r="AR2398" s="21"/>
      <c r="AS2398" s="21"/>
      <c r="AT2398" s="12" t="str">
        <f>HYPERLINK("http://www.openstreetmap.org/?mlat=33.8468&amp;mlon=44.2355&amp;zoom=12#map=12/33.8468/44.2355","Maplink1")</f>
        <v>Maplink1</v>
      </c>
      <c r="AU2398" s="12" t="str">
        <f>HYPERLINK("https://www.google.iq/maps/search/+33.8468,44.2355/@33.8468,44.2355,14z?hl=en","Maplink2")</f>
        <v>Maplink2</v>
      </c>
      <c r="AV2398" s="12" t="str">
        <f>HYPERLINK("http://www.bing.com/maps/?lvl=14&amp;sty=h&amp;cp=33.8468~44.2355&amp;sp=point.33.8468_44.2355","Maplink3")</f>
        <v>Maplink3</v>
      </c>
    </row>
    <row r="2399" spans="1:48" ht="15" customHeight="1" x14ac:dyDescent="0.25">
      <c r="A2399" s="19">
        <v>25745</v>
      </c>
      <c r="B2399" s="20" t="s">
        <v>23</v>
      </c>
      <c r="C2399" s="20" t="s">
        <v>4253</v>
      </c>
      <c r="D2399" s="20" t="s">
        <v>4269</v>
      </c>
      <c r="E2399" s="20" t="s">
        <v>4270</v>
      </c>
      <c r="F2399" s="20">
        <v>33.848575250000003</v>
      </c>
      <c r="G2399" s="20">
        <v>44.232462830000003</v>
      </c>
      <c r="H2399" s="22">
        <v>163</v>
      </c>
      <c r="I2399" s="22">
        <v>978</v>
      </c>
      <c r="J2399" s="21"/>
      <c r="K2399" s="21"/>
      <c r="L2399" s="21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>
        <v>163</v>
      </c>
      <c r="Y2399" s="21"/>
      <c r="Z2399" s="21"/>
      <c r="AA2399" s="21"/>
      <c r="AB2399" s="21"/>
      <c r="AC2399" s="21"/>
      <c r="AD2399" s="21"/>
      <c r="AE2399" s="21"/>
      <c r="AF2399" s="21"/>
      <c r="AG2399" s="21"/>
      <c r="AH2399" s="21">
        <v>163</v>
      </c>
      <c r="AI2399" s="21"/>
      <c r="AJ2399" s="21"/>
      <c r="AK2399" s="21"/>
      <c r="AL2399" s="21"/>
      <c r="AM2399" s="21">
        <v>163</v>
      </c>
      <c r="AN2399" s="21"/>
      <c r="AO2399" s="21"/>
      <c r="AP2399" s="21"/>
      <c r="AQ2399" s="21"/>
      <c r="AR2399" s="21"/>
      <c r="AS2399" s="21"/>
      <c r="AT2399" s="12" t="str">
        <f>HYPERLINK("http://www.openstreetmap.org/?mlat=33.8486&amp;mlon=44.2325&amp;zoom=12#map=12/33.8486/44.2325","Maplink1")</f>
        <v>Maplink1</v>
      </c>
      <c r="AU2399" s="12" t="str">
        <f>HYPERLINK("https://www.google.iq/maps/search/+33.8486,44.2325/@33.8486,44.2325,14z?hl=en","Maplink2")</f>
        <v>Maplink2</v>
      </c>
      <c r="AV2399" s="12" t="str">
        <f>HYPERLINK("http://www.bing.com/maps/?lvl=14&amp;sty=h&amp;cp=33.8486~44.2325&amp;sp=point.33.8486_44.2325","Maplink3")</f>
        <v>Maplink3</v>
      </c>
    </row>
    <row r="2400" spans="1:48" ht="15" customHeight="1" x14ac:dyDescent="0.25">
      <c r="A2400" s="19">
        <v>23300</v>
      </c>
      <c r="B2400" s="20" t="s">
        <v>23</v>
      </c>
      <c r="C2400" s="20" t="s">
        <v>4271</v>
      </c>
      <c r="D2400" s="20" t="s">
        <v>4272</v>
      </c>
      <c r="E2400" s="20" t="s">
        <v>4273</v>
      </c>
      <c r="F2400" s="20">
        <v>35.440358000000003</v>
      </c>
      <c r="G2400" s="20">
        <v>43.219168000000003</v>
      </c>
      <c r="H2400" s="22">
        <v>14</v>
      </c>
      <c r="I2400" s="22">
        <v>84</v>
      </c>
      <c r="J2400" s="21"/>
      <c r="K2400" s="21"/>
      <c r="L2400" s="21"/>
      <c r="M2400" s="21"/>
      <c r="N2400" s="21"/>
      <c r="O2400" s="21"/>
      <c r="P2400" s="21"/>
      <c r="Q2400" s="21"/>
      <c r="R2400" s="21">
        <v>3</v>
      </c>
      <c r="S2400" s="21"/>
      <c r="T2400" s="21"/>
      <c r="U2400" s="21"/>
      <c r="V2400" s="21"/>
      <c r="W2400" s="21"/>
      <c r="X2400" s="21">
        <v>11</v>
      </c>
      <c r="Y2400" s="21"/>
      <c r="Z2400" s="21"/>
      <c r="AA2400" s="21"/>
      <c r="AB2400" s="21"/>
      <c r="AC2400" s="21">
        <v>1</v>
      </c>
      <c r="AD2400" s="21"/>
      <c r="AE2400" s="21"/>
      <c r="AF2400" s="21"/>
      <c r="AG2400" s="21"/>
      <c r="AH2400" s="21">
        <v>13</v>
      </c>
      <c r="AI2400" s="21"/>
      <c r="AJ2400" s="21"/>
      <c r="AK2400" s="21"/>
      <c r="AL2400" s="21"/>
      <c r="AM2400" s="21"/>
      <c r="AN2400" s="21"/>
      <c r="AO2400" s="21"/>
      <c r="AP2400" s="21"/>
      <c r="AQ2400" s="21"/>
      <c r="AR2400" s="21">
        <v>14</v>
      </c>
      <c r="AS2400" s="21"/>
      <c r="AT2400" s="12" t="str">
        <f>HYPERLINK("http://www.openstreetmap.org/?mlat=35.4404&amp;mlon=43.2192&amp;zoom=12#map=12/35.4404/43.2192","Maplink1")</f>
        <v>Maplink1</v>
      </c>
      <c r="AU2400" s="12" t="str">
        <f>HYPERLINK("https://www.google.iq/maps/search/+35.4404,43.2192/@35.4404,43.2192,14z?hl=en","Maplink2")</f>
        <v>Maplink2</v>
      </c>
      <c r="AV2400" s="12" t="str">
        <f>HYPERLINK("http://www.bing.com/maps/?lvl=14&amp;sty=h&amp;cp=35.4404~43.2192&amp;sp=point.35.4404_43.2192","Maplink3")</f>
        <v>Maplink3</v>
      </c>
    </row>
    <row r="2401" spans="1:48" ht="15" customHeight="1" x14ac:dyDescent="0.25">
      <c r="A2401" s="19">
        <v>20392</v>
      </c>
      <c r="B2401" s="20" t="s">
        <v>23</v>
      </c>
      <c r="C2401" s="20" t="s">
        <v>4271</v>
      </c>
      <c r="D2401" s="20" t="s">
        <v>4275</v>
      </c>
      <c r="E2401" s="20" t="s">
        <v>4276</v>
      </c>
      <c r="F2401" s="20">
        <v>35.610805999999997</v>
      </c>
      <c r="G2401" s="20">
        <v>43.245241999999998</v>
      </c>
      <c r="H2401" s="22">
        <v>12</v>
      </c>
      <c r="I2401" s="22">
        <v>72</v>
      </c>
      <c r="J2401" s="21"/>
      <c r="K2401" s="21"/>
      <c r="L2401" s="21"/>
      <c r="M2401" s="21"/>
      <c r="N2401" s="21"/>
      <c r="O2401" s="21"/>
      <c r="P2401" s="21"/>
      <c r="Q2401" s="21"/>
      <c r="R2401" s="21">
        <v>1</v>
      </c>
      <c r="S2401" s="21"/>
      <c r="T2401" s="21"/>
      <c r="U2401" s="21"/>
      <c r="V2401" s="21"/>
      <c r="W2401" s="21"/>
      <c r="X2401" s="21">
        <v>11</v>
      </c>
      <c r="Y2401" s="21"/>
      <c r="Z2401" s="21"/>
      <c r="AA2401" s="21"/>
      <c r="AB2401" s="21"/>
      <c r="AC2401" s="21">
        <v>6</v>
      </c>
      <c r="AD2401" s="21"/>
      <c r="AE2401" s="21"/>
      <c r="AF2401" s="21"/>
      <c r="AG2401" s="21"/>
      <c r="AH2401" s="21">
        <v>6</v>
      </c>
      <c r="AI2401" s="21"/>
      <c r="AJ2401" s="21"/>
      <c r="AK2401" s="21"/>
      <c r="AL2401" s="21"/>
      <c r="AM2401" s="21"/>
      <c r="AN2401" s="21"/>
      <c r="AO2401" s="21"/>
      <c r="AP2401" s="21"/>
      <c r="AQ2401" s="21"/>
      <c r="AR2401" s="21">
        <v>8</v>
      </c>
      <c r="AS2401" s="21">
        <v>4</v>
      </c>
      <c r="AT2401" s="12" t="str">
        <f>HYPERLINK("http://www.openstreetmap.org/?mlat=35.6108&amp;mlon=43.2452&amp;zoom=12#map=12/35.6108/43.2452","Maplink1")</f>
        <v>Maplink1</v>
      </c>
      <c r="AU2401" s="12" t="str">
        <f>HYPERLINK("https://www.google.iq/maps/search/+35.6108,43.2452/@35.6108,43.2452,14z?hl=en","Maplink2")</f>
        <v>Maplink2</v>
      </c>
      <c r="AV2401" s="12" t="str">
        <f>HYPERLINK("http://www.bing.com/maps/?lvl=14&amp;sty=h&amp;cp=35.6108~43.2452&amp;sp=point.35.6108_43.2452","Maplink3")</f>
        <v>Maplink3</v>
      </c>
    </row>
    <row r="2402" spans="1:48" ht="15" customHeight="1" x14ac:dyDescent="0.25">
      <c r="A2402" s="19">
        <v>21002</v>
      </c>
      <c r="B2402" s="20" t="s">
        <v>23</v>
      </c>
      <c r="C2402" s="20" t="s">
        <v>4271</v>
      </c>
      <c r="D2402" s="20" t="s">
        <v>4277</v>
      </c>
      <c r="E2402" s="20" t="s">
        <v>4278</v>
      </c>
      <c r="F2402" s="20">
        <v>35.392522</v>
      </c>
      <c r="G2402" s="20">
        <v>43.259435000000003</v>
      </c>
      <c r="H2402" s="22">
        <v>3</v>
      </c>
      <c r="I2402" s="22">
        <v>18</v>
      </c>
      <c r="J2402" s="21"/>
      <c r="K2402" s="21"/>
      <c r="L2402" s="21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>
        <v>3</v>
      </c>
      <c r="Y2402" s="21"/>
      <c r="Z2402" s="21"/>
      <c r="AA2402" s="21"/>
      <c r="AB2402" s="21"/>
      <c r="AC2402" s="21"/>
      <c r="AD2402" s="21"/>
      <c r="AE2402" s="21"/>
      <c r="AF2402" s="21"/>
      <c r="AG2402" s="21"/>
      <c r="AH2402" s="21">
        <v>3</v>
      </c>
      <c r="AI2402" s="21"/>
      <c r="AJ2402" s="21"/>
      <c r="AK2402" s="21"/>
      <c r="AL2402" s="21"/>
      <c r="AM2402" s="21"/>
      <c r="AN2402" s="21"/>
      <c r="AO2402" s="21"/>
      <c r="AP2402" s="21"/>
      <c r="AQ2402" s="21"/>
      <c r="AR2402" s="21">
        <v>3</v>
      </c>
      <c r="AS2402" s="21"/>
      <c r="AT2402" s="12" t="str">
        <f>HYPERLINK("http://www.openstreetmap.org/?mlat=35.3925&amp;mlon=43.2594&amp;zoom=12#map=12/35.3925/43.2594","Maplink1")</f>
        <v>Maplink1</v>
      </c>
      <c r="AU2402" s="12" t="str">
        <f>HYPERLINK("https://www.google.iq/maps/search/+35.3925,43.2594/@35.3925,43.2594,14z?hl=en","Maplink2")</f>
        <v>Maplink2</v>
      </c>
      <c r="AV2402" s="12" t="str">
        <f>HYPERLINK("http://www.bing.com/maps/?lvl=14&amp;sty=h&amp;cp=35.3925~43.2594&amp;sp=point.35.3925_43.2594","Maplink3")</f>
        <v>Maplink3</v>
      </c>
    </row>
    <row r="2403" spans="1:48" ht="15" customHeight="1" x14ac:dyDescent="0.25">
      <c r="A2403" s="19">
        <v>24667</v>
      </c>
      <c r="B2403" s="20" t="s">
        <v>23</v>
      </c>
      <c r="C2403" s="20" t="s">
        <v>4271</v>
      </c>
      <c r="D2403" s="20" t="s">
        <v>4279</v>
      </c>
      <c r="E2403" s="20" t="s">
        <v>4280</v>
      </c>
      <c r="F2403" s="20">
        <v>35.474212999999999</v>
      </c>
      <c r="G2403" s="20">
        <v>43.239139999999999</v>
      </c>
      <c r="H2403" s="22">
        <v>9</v>
      </c>
      <c r="I2403" s="22">
        <v>54</v>
      </c>
      <c r="J2403" s="21"/>
      <c r="K2403" s="21"/>
      <c r="L2403" s="21"/>
      <c r="M2403" s="21"/>
      <c r="N2403" s="21"/>
      <c r="O2403" s="21"/>
      <c r="P2403" s="21"/>
      <c r="Q2403" s="21"/>
      <c r="R2403" s="21">
        <v>2</v>
      </c>
      <c r="S2403" s="21"/>
      <c r="T2403" s="21"/>
      <c r="U2403" s="21"/>
      <c r="V2403" s="21"/>
      <c r="W2403" s="21"/>
      <c r="X2403" s="21">
        <v>7</v>
      </c>
      <c r="Y2403" s="21"/>
      <c r="Z2403" s="21"/>
      <c r="AA2403" s="21"/>
      <c r="AB2403" s="21"/>
      <c r="AC2403" s="21"/>
      <c r="AD2403" s="21"/>
      <c r="AE2403" s="21"/>
      <c r="AF2403" s="21"/>
      <c r="AG2403" s="21"/>
      <c r="AH2403" s="21">
        <v>9</v>
      </c>
      <c r="AI2403" s="21"/>
      <c r="AJ2403" s="21"/>
      <c r="AK2403" s="21"/>
      <c r="AL2403" s="21"/>
      <c r="AM2403" s="21"/>
      <c r="AN2403" s="21"/>
      <c r="AO2403" s="21"/>
      <c r="AP2403" s="21"/>
      <c r="AQ2403" s="21"/>
      <c r="AR2403" s="21">
        <v>9</v>
      </c>
      <c r="AS2403" s="21"/>
      <c r="AT2403" s="12" t="str">
        <f>HYPERLINK("http://www.openstreetmap.org/?mlat=35.4742&amp;mlon=43.2391&amp;zoom=12#map=12/35.4742/43.2391","Maplink1")</f>
        <v>Maplink1</v>
      </c>
      <c r="AU2403" s="12" t="str">
        <f>HYPERLINK("https://www.google.iq/maps/search/+35.4742,43.2391/@35.4742,43.2391,14z?hl=en","Maplink2")</f>
        <v>Maplink2</v>
      </c>
      <c r="AV2403" s="12" t="str">
        <f>HYPERLINK("http://www.bing.com/maps/?lvl=14&amp;sty=h&amp;cp=35.4742~43.2391&amp;sp=point.35.4742_43.2391","Maplink3")</f>
        <v>Maplink3</v>
      </c>
    </row>
    <row r="2404" spans="1:48" ht="15" customHeight="1" x14ac:dyDescent="0.25">
      <c r="A2404" s="19">
        <v>20389</v>
      </c>
      <c r="B2404" s="20" t="s">
        <v>23</v>
      </c>
      <c r="C2404" s="20" t="s">
        <v>4271</v>
      </c>
      <c r="D2404" s="20" t="s">
        <v>4281</v>
      </c>
      <c r="E2404" s="20" t="s">
        <v>4282</v>
      </c>
      <c r="F2404" s="20">
        <v>35.630723860000003</v>
      </c>
      <c r="G2404" s="20">
        <v>43.22592306</v>
      </c>
      <c r="H2404" s="22">
        <v>12</v>
      </c>
      <c r="I2404" s="22">
        <v>72</v>
      </c>
      <c r="J2404" s="21"/>
      <c r="K2404" s="21"/>
      <c r="L2404" s="21"/>
      <c r="M2404" s="21"/>
      <c r="N2404" s="21"/>
      <c r="O2404" s="21"/>
      <c r="P2404" s="21"/>
      <c r="Q2404" s="21"/>
      <c r="R2404" s="21">
        <v>2</v>
      </c>
      <c r="S2404" s="21"/>
      <c r="T2404" s="21"/>
      <c r="U2404" s="21"/>
      <c r="V2404" s="21"/>
      <c r="W2404" s="21"/>
      <c r="X2404" s="21">
        <v>10</v>
      </c>
      <c r="Y2404" s="21"/>
      <c r="Z2404" s="21"/>
      <c r="AA2404" s="21"/>
      <c r="AB2404" s="21"/>
      <c r="AC2404" s="21">
        <v>7</v>
      </c>
      <c r="AD2404" s="21"/>
      <c r="AE2404" s="21"/>
      <c r="AF2404" s="21"/>
      <c r="AG2404" s="21"/>
      <c r="AH2404" s="21">
        <v>5</v>
      </c>
      <c r="AI2404" s="21"/>
      <c r="AJ2404" s="21"/>
      <c r="AK2404" s="21"/>
      <c r="AL2404" s="21"/>
      <c r="AM2404" s="21"/>
      <c r="AN2404" s="21"/>
      <c r="AO2404" s="21"/>
      <c r="AP2404" s="21"/>
      <c r="AQ2404" s="21"/>
      <c r="AR2404" s="21">
        <v>5</v>
      </c>
      <c r="AS2404" s="21">
        <v>7</v>
      </c>
      <c r="AT2404" s="12" t="str">
        <f>HYPERLINK("http://www.openstreetmap.org/?mlat=35.6307&amp;mlon=43.2259&amp;zoom=12#map=12/35.6307/43.2259","Maplink1")</f>
        <v>Maplink1</v>
      </c>
      <c r="AU2404" s="12" t="str">
        <f>HYPERLINK("https://www.google.iq/maps/search/+35.6307,43.2259/@35.6307,43.2259,14z?hl=en","Maplink2")</f>
        <v>Maplink2</v>
      </c>
      <c r="AV2404" s="12" t="str">
        <f>HYPERLINK("http://www.bing.com/maps/?lvl=14&amp;sty=h&amp;cp=35.6307~43.2259&amp;sp=point.35.6307_43.2259","Maplink3")</f>
        <v>Maplink3</v>
      </c>
    </row>
    <row r="2405" spans="1:48" ht="15" customHeight="1" x14ac:dyDescent="0.25">
      <c r="A2405" s="19">
        <v>33149</v>
      </c>
      <c r="B2405" s="20" t="s">
        <v>23</v>
      </c>
      <c r="C2405" s="20" t="s">
        <v>4271</v>
      </c>
      <c r="D2405" s="20" t="s">
        <v>5568</v>
      </c>
      <c r="E2405" s="20" t="s">
        <v>5569</v>
      </c>
      <c r="F2405" s="20">
        <v>35.5204716</v>
      </c>
      <c r="G2405" s="20">
        <v>43.236999599999997</v>
      </c>
      <c r="H2405" s="22">
        <v>316</v>
      </c>
      <c r="I2405" s="22">
        <v>1896</v>
      </c>
      <c r="J2405" s="21"/>
      <c r="K2405" s="21"/>
      <c r="L2405" s="21"/>
      <c r="M2405" s="21"/>
      <c r="N2405" s="21"/>
      <c r="O2405" s="21"/>
      <c r="P2405" s="21"/>
      <c r="Q2405" s="21"/>
      <c r="R2405" s="21">
        <v>17</v>
      </c>
      <c r="S2405" s="21"/>
      <c r="T2405" s="21"/>
      <c r="U2405" s="21"/>
      <c r="V2405" s="21">
        <v>4</v>
      </c>
      <c r="W2405" s="21"/>
      <c r="X2405" s="21">
        <v>295</v>
      </c>
      <c r="Y2405" s="21"/>
      <c r="Z2405" s="21"/>
      <c r="AA2405" s="21"/>
      <c r="AB2405" s="21">
        <v>316</v>
      </c>
      <c r="AC2405" s="21"/>
      <c r="AD2405" s="21"/>
      <c r="AE2405" s="21"/>
      <c r="AF2405" s="21"/>
      <c r="AG2405" s="21"/>
      <c r="AH2405" s="21"/>
      <c r="AI2405" s="21"/>
      <c r="AJ2405" s="21"/>
      <c r="AK2405" s="21"/>
      <c r="AL2405" s="21"/>
      <c r="AM2405" s="21"/>
      <c r="AN2405" s="21"/>
      <c r="AO2405" s="21"/>
      <c r="AP2405" s="21"/>
      <c r="AQ2405" s="21"/>
      <c r="AR2405" s="21"/>
      <c r="AS2405" s="21">
        <v>316</v>
      </c>
      <c r="AT2405" s="12" t="str">
        <f>HYPERLINK("http://www.openstreetmap.org/?mlat=35.5205&amp;mlon=43.237&amp;zoom=12#map=12/35.5205/43.237","Maplink1")</f>
        <v>Maplink1</v>
      </c>
      <c r="AU2405" s="12" t="str">
        <f>HYPERLINK("https://www.google.iq/maps/search/+35.5205,43.237/@35.5205,43.237,14z?hl=en","Maplink2")</f>
        <v>Maplink2</v>
      </c>
      <c r="AV2405" s="12" t="str">
        <f>HYPERLINK("http://www.bing.com/maps/?lvl=14&amp;sty=h&amp;cp=35.5205~43.237&amp;sp=point.35.5205_43.237","Maplink3")</f>
        <v>Maplink3</v>
      </c>
    </row>
    <row r="2406" spans="1:48" ht="15" customHeight="1" x14ac:dyDescent="0.25">
      <c r="A2406" s="19">
        <v>29650</v>
      </c>
      <c r="B2406" s="20" t="s">
        <v>23</v>
      </c>
      <c r="C2406" s="20" t="s">
        <v>4271</v>
      </c>
      <c r="D2406" s="20" t="s">
        <v>4283</v>
      </c>
      <c r="E2406" s="20" t="s">
        <v>4284</v>
      </c>
      <c r="F2406" s="20">
        <v>35.588102800000001</v>
      </c>
      <c r="G2406" s="20">
        <v>43.240881109999997</v>
      </c>
      <c r="H2406" s="22">
        <v>7</v>
      </c>
      <c r="I2406" s="22">
        <v>42</v>
      </c>
      <c r="J2406" s="21"/>
      <c r="K2406" s="21"/>
      <c r="L2406" s="21"/>
      <c r="M2406" s="21"/>
      <c r="N2406" s="21"/>
      <c r="O2406" s="21"/>
      <c r="P2406" s="21"/>
      <c r="Q2406" s="21"/>
      <c r="R2406" s="21">
        <v>2</v>
      </c>
      <c r="S2406" s="21"/>
      <c r="T2406" s="21"/>
      <c r="U2406" s="21"/>
      <c r="V2406" s="21"/>
      <c r="W2406" s="21"/>
      <c r="X2406" s="21">
        <v>5</v>
      </c>
      <c r="Y2406" s="21"/>
      <c r="Z2406" s="21"/>
      <c r="AA2406" s="21"/>
      <c r="AB2406" s="21"/>
      <c r="AC2406" s="21"/>
      <c r="AD2406" s="21"/>
      <c r="AE2406" s="21"/>
      <c r="AF2406" s="21"/>
      <c r="AG2406" s="21"/>
      <c r="AH2406" s="21">
        <v>7</v>
      </c>
      <c r="AI2406" s="21"/>
      <c r="AJ2406" s="21"/>
      <c r="AK2406" s="21"/>
      <c r="AL2406" s="21"/>
      <c r="AM2406" s="21"/>
      <c r="AN2406" s="21"/>
      <c r="AO2406" s="21"/>
      <c r="AP2406" s="21"/>
      <c r="AQ2406" s="21"/>
      <c r="AR2406" s="21">
        <v>7</v>
      </c>
      <c r="AS2406" s="21"/>
      <c r="AT2406" s="12" t="str">
        <f>HYPERLINK("http://www.openstreetmap.org/?mlat=35.5881&amp;mlon=43.2409&amp;zoom=12#map=12/35.5881/43.2409","Maplink1")</f>
        <v>Maplink1</v>
      </c>
      <c r="AU2406" s="12" t="str">
        <f>HYPERLINK("https://www.google.iq/maps/search/+35.5881,43.2409/@35.5881,43.2409,14z?hl=en","Maplink2")</f>
        <v>Maplink2</v>
      </c>
      <c r="AV2406" s="12" t="str">
        <f>HYPERLINK("http://www.bing.com/maps/?lvl=14&amp;sty=h&amp;cp=35.5881~43.2409&amp;sp=point.35.5881_43.2409","Maplink3")</f>
        <v>Maplink3</v>
      </c>
    </row>
    <row r="2407" spans="1:48" ht="15" customHeight="1" x14ac:dyDescent="0.25">
      <c r="A2407" s="19">
        <v>29651</v>
      </c>
      <c r="B2407" s="20" t="s">
        <v>23</v>
      </c>
      <c r="C2407" s="20" t="s">
        <v>4271</v>
      </c>
      <c r="D2407" s="20" t="s">
        <v>4286</v>
      </c>
      <c r="E2407" s="20" t="s">
        <v>2442</v>
      </c>
      <c r="F2407" s="20">
        <v>35.4614628908</v>
      </c>
      <c r="G2407" s="20">
        <v>43.2520072306</v>
      </c>
      <c r="H2407" s="22">
        <v>4</v>
      </c>
      <c r="I2407" s="22">
        <v>24</v>
      </c>
      <c r="J2407" s="21"/>
      <c r="K2407" s="21"/>
      <c r="L2407" s="21"/>
      <c r="M2407" s="21"/>
      <c r="N2407" s="21"/>
      <c r="O2407" s="21"/>
      <c r="P2407" s="21"/>
      <c r="Q2407" s="21"/>
      <c r="R2407" s="21">
        <v>1</v>
      </c>
      <c r="S2407" s="21"/>
      <c r="T2407" s="21"/>
      <c r="U2407" s="21"/>
      <c r="V2407" s="21"/>
      <c r="W2407" s="21"/>
      <c r="X2407" s="21">
        <v>3</v>
      </c>
      <c r="Y2407" s="21"/>
      <c r="Z2407" s="21"/>
      <c r="AA2407" s="21"/>
      <c r="AB2407" s="21"/>
      <c r="AC2407" s="21"/>
      <c r="AD2407" s="21"/>
      <c r="AE2407" s="21"/>
      <c r="AF2407" s="21"/>
      <c r="AG2407" s="21"/>
      <c r="AH2407" s="21">
        <v>4</v>
      </c>
      <c r="AI2407" s="21"/>
      <c r="AJ2407" s="21"/>
      <c r="AK2407" s="21"/>
      <c r="AL2407" s="21"/>
      <c r="AM2407" s="21"/>
      <c r="AN2407" s="21"/>
      <c r="AO2407" s="21"/>
      <c r="AP2407" s="21"/>
      <c r="AQ2407" s="21"/>
      <c r="AR2407" s="21">
        <v>4</v>
      </c>
      <c r="AS2407" s="21"/>
      <c r="AT2407" s="12" t="str">
        <f>HYPERLINK("http://www.openstreetmap.org/?mlat=35.4615&amp;mlon=43.252&amp;zoom=12#map=12/35.4615/43.252","Maplink1")</f>
        <v>Maplink1</v>
      </c>
      <c r="AU2407" s="12" t="str">
        <f>HYPERLINK("https://www.google.iq/maps/search/+35.4615,43.252/@35.4615,43.252,14z?hl=en","Maplink2")</f>
        <v>Maplink2</v>
      </c>
      <c r="AV2407" s="12" t="str">
        <f>HYPERLINK("http://www.bing.com/maps/?lvl=14&amp;sty=h&amp;cp=35.4615~43.252&amp;sp=point.35.4615_43.252","Maplink3")</f>
        <v>Maplink3</v>
      </c>
    </row>
    <row r="2408" spans="1:48" ht="15" customHeight="1" x14ac:dyDescent="0.25">
      <c r="A2408" s="19">
        <v>29653</v>
      </c>
      <c r="B2408" s="20" t="s">
        <v>23</v>
      </c>
      <c r="C2408" s="20" t="s">
        <v>4271</v>
      </c>
      <c r="D2408" s="20" t="s">
        <v>4287</v>
      </c>
      <c r="E2408" s="20" t="s">
        <v>3752</v>
      </c>
      <c r="F2408" s="20">
        <v>35.537074259999997</v>
      </c>
      <c r="G2408" s="20">
        <v>43.228705089999998</v>
      </c>
      <c r="H2408" s="22">
        <v>9</v>
      </c>
      <c r="I2408" s="22">
        <v>54</v>
      </c>
      <c r="J2408" s="21"/>
      <c r="K2408" s="21"/>
      <c r="L2408" s="21"/>
      <c r="M2408" s="21"/>
      <c r="N2408" s="21"/>
      <c r="O2408" s="21"/>
      <c r="P2408" s="21"/>
      <c r="Q2408" s="21"/>
      <c r="R2408" s="21">
        <v>1</v>
      </c>
      <c r="S2408" s="21"/>
      <c r="T2408" s="21"/>
      <c r="U2408" s="21"/>
      <c r="V2408" s="21"/>
      <c r="W2408" s="21"/>
      <c r="X2408" s="21">
        <v>8</v>
      </c>
      <c r="Y2408" s="21"/>
      <c r="Z2408" s="21"/>
      <c r="AA2408" s="21"/>
      <c r="AB2408" s="21"/>
      <c r="AC2408" s="21"/>
      <c r="AD2408" s="21"/>
      <c r="AE2408" s="21"/>
      <c r="AF2408" s="21"/>
      <c r="AG2408" s="21"/>
      <c r="AH2408" s="21">
        <v>9</v>
      </c>
      <c r="AI2408" s="21"/>
      <c r="AJ2408" s="21"/>
      <c r="AK2408" s="21"/>
      <c r="AL2408" s="21"/>
      <c r="AM2408" s="21"/>
      <c r="AN2408" s="21"/>
      <c r="AO2408" s="21"/>
      <c r="AP2408" s="21"/>
      <c r="AQ2408" s="21"/>
      <c r="AR2408" s="21">
        <v>9</v>
      </c>
      <c r="AS2408" s="21"/>
      <c r="AT2408" s="12" t="str">
        <f>HYPERLINK("http://www.openstreetmap.org/?mlat=35.5371&amp;mlon=43.2287&amp;zoom=12#map=12/35.5371/43.2287","Maplink1")</f>
        <v>Maplink1</v>
      </c>
      <c r="AU2408" s="12" t="str">
        <f>HYPERLINK("https://www.google.iq/maps/search/+35.5371,43.2287/@35.5371,43.2287,14z?hl=en","Maplink2")</f>
        <v>Maplink2</v>
      </c>
      <c r="AV2408" s="12" t="str">
        <f>HYPERLINK("http://www.bing.com/maps/?lvl=14&amp;sty=h&amp;cp=35.5371~43.2287&amp;sp=point.35.5371_43.2287","Maplink3")</f>
        <v>Maplink3</v>
      </c>
    </row>
    <row r="2409" spans="1:48" ht="15" customHeight="1" x14ac:dyDescent="0.25">
      <c r="A2409" s="19">
        <v>21349</v>
      </c>
      <c r="B2409" s="20" t="s">
        <v>23</v>
      </c>
      <c r="C2409" s="20" t="s">
        <v>4271</v>
      </c>
      <c r="D2409" s="20" t="s">
        <v>4288</v>
      </c>
      <c r="E2409" s="20" t="s">
        <v>4289</v>
      </c>
      <c r="F2409" s="20">
        <v>35.622395910000002</v>
      </c>
      <c r="G2409" s="20">
        <v>43.240689809999999</v>
      </c>
      <c r="H2409" s="22">
        <v>11</v>
      </c>
      <c r="I2409" s="22">
        <v>66</v>
      </c>
      <c r="J2409" s="21"/>
      <c r="K2409" s="21"/>
      <c r="L2409" s="21"/>
      <c r="M2409" s="21"/>
      <c r="N2409" s="21"/>
      <c r="O2409" s="21"/>
      <c r="P2409" s="21"/>
      <c r="Q2409" s="21"/>
      <c r="R2409" s="21">
        <v>1</v>
      </c>
      <c r="S2409" s="21"/>
      <c r="T2409" s="21"/>
      <c r="U2409" s="21"/>
      <c r="V2409" s="21"/>
      <c r="W2409" s="21"/>
      <c r="X2409" s="21">
        <v>10</v>
      </c>
      <c r="Y2409" s="21"/>
      <c r="Z2409" s="21"/>
      <c r="AA2409" s="21"/>
      <c r="AB2409" s="21"/>
      <c r="AC2409" s="21">
        <v>4</v>
      </c>
      <c r="AD2409" s="21"/>
      <c r="AE2409" s="21"/>
      <c r="AF2409" s="21"/>
      <c r="AG2409" s="21"/>
      <c r="AH2409" s="21">
        <v>7</v>
      </c>
      <c r="AI2409" s="21"/>
      <c r="AJ2409" s="21"/>
      <c r="AK2409" s="21"/>
      <c r="AL2409" s="21"/>
      <c r="AM2409" s="21"/>
      <c r="AN2409" s="21"/>
      <c r="AO2409" s="21"/>
      <c r="AP2409" s="21"/>
      <c r="AQ2409" s="21"/>
      <c r="AR2409" s="21">
        <v>7</v>
      </c>
      <c r="AS2409" s="21">
        <v>4</v>
      </c>
      <c r="AT2409" s="12" t="str">
        <f>HYPERLINK("http://www.openstreetmap.org/?mlat=35.6224&amp;mlon=43.2407&amp;zoom=12#map=12/35.6224/43.2407","Maplink1")</f>
        <v>Maplink1</v>
      </c>
      <c r="AU2409" s="12" t="str">
        <f>HYPERLINK("https://www.google.iq/maps/search/+35.6224,43.2407/@35.6224,43.2407,14z?hl=en","Maplink2")</f>
        <v>Maplink2</v>
      </c>
      <c r="AV2409" s="12" t="str">
        <f>HYPERLINK("http://www.bing.com/maps/?lvl=14&amp;sty=h&amp;cp=35.6224~43.2407&amp;sp=point.35.6224_43.2407","Maplink3")</f>
        <v>Maplink3</v>
      </c>
    </row>
    <row r="2410" spans="1:48" ht="15" customHeight="1" x14ac:dyDescent="0.25">
      <c r="A2410" s="19">
        <v>20395</v>
      </c>
      <c r="B2410" s="20" t="s">
        <v>23</v>
      </c>
      <c r="C2410" s="20" t="s">
        <v>4271</v>
      </c>
      <c r="D2410" s="20" t="s">
        <v>5674</v>
      </c>
      <c r="E2410" s="20" t="s">
        <v>4290</v>
      </c>
      <c r="F2410" s="20">
        <v>35.538307000000003</v>
      </c>
      <c r="G2410" s="20">
        <v>43.224873000000002</v>
      </c>
      <c r="H2410" s="22">
        <v>28</v>
      </c>
      <c r="I2410" s="22">
        <v>168</v>
      </c>
      <c r="J2410" s="21"/>
      <c r="K2410" s="21"/>
      <c r="L2410" s="21"/>
      <c r="M2410" s="21"/>
      <c r="N2410" s="21"/>
      <c r="O2410" s="21"/>
      <c r="P2410" s="21"/>
      <c r="Q2410" s="21"/>
      <c r="R2410" s="21">
        <v>2</v>
      </c>
      <c r="S2410" s="21"/>
      <c r="T2410" s="21"/>
      <c r="U2410" s="21"/>
      <c r="V2410" s="21"/>
      <c r="W2410" s="21"/>
      <c r="X2410" s="21">
        <v>26</v>
      </c>
      <c r="Y2410" s="21"/>
      <c r="Z2410" s="21"/>
      <c r="AA2410" s="21"/>
      <c r="AB2410" s="21"/>
      <c r="AC2410" s="21">
        <v>2</v>
      </c>
      <c r="AD2410" s="21"/>
      <c r="AE2410" s="21"/>
      <c r="AF2410" s="21"/>
      <c r="AG2410" s="21"/>
      <c r="AH2410" s="21">
        <v>26</v>
      </c>
      <c r="AI2410" s="21"/>
      <c r="AJ2410" s="21"/>
      <c r="AK2410" s="21"/>
      <c r="AL2410" s="21"/>
      <c r="AM2410" s="21"/>
      <c r="AN2410" s="21"/>
      <c r="AO2410" s="21"/>
      <c r="AP2410" s="21"/>
      <c r="AQ2410" s="21"/>
      <c r="AR2410" s="21">
        <v>28</v>
      </c>
      <c r="AS2410" s="21"/>
      <c r="AT2410" s="12" t="str">
        <f>HYPERLINK("http://www.openstreetmap.org/?mlat=35.5383&amp;mlon=43.2249&amp;zoom=12#map=12/35.5383/43.2249","Maplink1")</f>
        <v>Maplink1</v>
      </c>
      <c r="AU2410" s="12" t="str">
        <f>HYPERLINK("https://www.google.iq/maps/search/+35.5383,43.2249/@35.5383,43.2249,14z?hl=en","Maplink2")</f>
        <v>Maplink2</v>
      </c>
      <c r="AV2410" s="12" t="str">
        <f>HYPERLINK("http://www.bing.com/maps/?lvl=14&amp;sty=h&amp;cp=35.5383~43.2249&amp;sp=point.35.5383_43.2249","Maplink3")</f>
        <v>Maplink3</v>
      </c>
    </row>
    <row r="2411" spans="1:48" ht="15" customHeight="1" x14ac:dyDescent="0.25">
      <c r="A2411" s="19">
        <v>21004</v>
      </c>
      <c r="B2411" s="20" t="s">
        <v>23</v>
      </c>
      <c r="C2411" s="20" t="s">
        <v>4271</v>
      </c>
      <c r="D2411" s="20" t="s">
        <v>3930</v>
      </c>
      <c r="E2411" s="20" t="s">
        <v>2260</v>
      </c>
      <c r="F2411" s="20">
        <v>35.513067202599998</v>
      </c>
      <c r="G2411" s="20">
        <v>43.239012437200003</v>
      </c>
      <c r="H2411" s="22">
        <v>55</v>
      </c>
      <c r="I2411" s="22">
        <v>330</v>
      </c>
      <c r="J2411" s="21"/>
      <c r="K2411" s="21"/>
      <c r="L2411" s="21"/>
      <c r="M2411" s="21"/>
      <c r="N2411" s="21"/>
      <c r="O2411" s="21"/>
      <c r="P2411" s="21"/>
      <c r="Q2411" s="21"/>
      <c r="R2411" s="21">
        <v>2</v>
      </c>
      <c r="S2411" s="21"/>
      <c r="T2411" s="21"/>
      <c r="U2411" s="21"/>
      <c r="V2411" s="21">
        <v>2</v>
      </c>
      <c r="W2411" s="21"/>
      <c r="X2411" s="21">
        <v>51</v>
      </c>
      <c r="Y2411" s="21"/>
      <c r="Z2411" s="21"/>
      <c r="AA2411" s="21"/>
      <c r="AB2411" s="21"/>
      <c r="AC2411" s="21"/>
      <c r="AD2411" s="21"/>
      <c r="AE2411" s="21">
        <v>3</v>
      </c>
      <c r="AF2411" s="21"/>
      <c r="AG2411" s="21"/>
      <c r="AH2411" s="21">
        <v>52</v>
      </c>
      <c r="AI2411" s="21"/>
      <c r="AJ2411" s="21"/>
      <c r="AK2411" s="21"/>
      <c r="AL2411" s="21"/>
      <c r="AM2411" s="21"/>
      <c r="AN2411" s="21"/>
      <c r="AO2411" s="21"/>
      <c r="AP2411" s="21"/>
      <c r="AQ2411" s="21"/>
      <c r="AR2411" s="21">
        <v>55</v>
      </c>
      <c r="AS2411" s="21"/>
      <c r="AT2411" s="12" t="str">
        <f>HYPERLINK("http://www.openstreetmap.org/?mlat=35.5131&amp;mlon=43.239&amp;zoom=12#map=12/35.5131/43.239","Maplink1")</f>
        <v>Maplink1</v>
      </c>
      <c r="AU2411" s="12" t="str">
        <f>HYPERLINK("https://www.google.iq/maps/search/+35.5131,43.239/@35.5131,43.239,14z?hl=en","Maplink2")</f>
        <v>Maplink2</v>
      </c>
      <c r="AV2411" s="12" t="str">
        <f>HYPERLINK("http://www.bing.com/maps/?lvl=14&amp;sty=h&amp;cp=35.5131~43.239&amp;sp=point.35.5131_43.239","Maplink3")</f>
        <v>Maplink3</v>
      </c>
    </row>
    <row r="2412" spans="1:48" ht="15" customHeight="1" x14ac:dyDescent="0.25">
      <c r="A2412" s="19">
        <v>21005</v>
      </c>
      <c r="B2412" s="20" t="s">
        <v>23</v>
      </c>
      <c r="C2412" s="20" t="s">
        <v>4271</v>
      </c>
      <c r="D2412" s="20" t="s">
        <v>5675</v>
      </c>
      <c r="E2412" s="20" t="s">
        <v>4274</v>
      </c>
      <c r="F2412" s="20">
        <v>35.498500176599997</v>
      </c>
      <c r="G2412" s="20">
        <v>43.237075432600001</v>
      </c>
      <c r="H2412" s="22">
        <v>67</v>
      </c>
      <c r="I2412" s="22">
        <v>402</v>
      </c>
      <c r="J2412" s="21"/>
      <c r="K2412" s="21"/>
      <c r="L2412" s="21"/>
      <c r="M2412" s="21"/>
      <c r="N2412" s="21"/>
      <c r="O2412" s="21"/>
      <c r="P2412" s="21"/>
      <c r="Q2412" s="21"/>
      <c r="R2412" s="21">
        <v>2</v>
      </c>
      <c r="S2412" s="21"/>
      <c r="T2412" s="21"/>
      <c r="U2412" s="21"/>
      <c r="V2412" s="21"/>
      <c r="W2412" s="21"/>
      <c r="X2412" s="21">
        <v>65</v>
      </c>
      <c r="Y2412" s="21"/>
      <c r="Z2412" s="21"/>
      <c r="AA2412" s="21"/>
      <c r="AB2412" s="21"/>
      <c r="AC2412" s="21"/>
      <c r="AD2412" s="21"/>
      <c r="AE2412" s="21"/>
      <c r="AF2412" s="21"/>
      <c r="AG2412" s="21"/>
      <c r="AH2412" s="21">
        <v>67</v>
      </c>
      <c r="AI2412" s="21"/>
      <c r="AJ2412" s="21"/>
      <c r="AK2412" s="21"/>
      <c r="AL2412" s="21"/>
      <c r="AM2412" s="21"/>
      <c r="AN2412" s="21"/>
      <c r="AO2412" s="21"/>
      <c r="AP2412" s="21"/>
      <c r="AQ2412" s="21"/>
      <c r="AR2412" s="21">
        <v>67</v>
      </c>
      <c r="AS2412" s="21"/>
      <c r="AT2412" s="12" t="str">
        <f>HYPERLINK("http://www.openstreetmap.org/?mlat=35.4985&amp;mlon=43.2371&amp;zoom=12#map=12/35.4985/43.2371","Maplink1")</f>
        <v>Maplink1</v>
      </c>
      <c r="AU2412" s="12" t="str">
        <f>HYPERLINK("https://www.google.iq/maps/search/+35.4985,43.2371/@35.4985,43.2371,14z?hl=en","Maplink2")</f>
        <v>Maplink2</v>
      </c>
      <c r="AV2412" s="12" t="str">
        <f>HYPERLINK("http://www.bing.com/maps/?lvl=14&amp;sty=h&amp;cp=35.4985~43.2371&amp;sp=point.35.4985_43.2371","Maplink3")</f>
        <v>Maplink3</v>
      </c>
    </row>
    <row r="2413" spans="1:48" ht="15" customHeight="1" x14ac:dyDescent="0.25">
      <c r="A2413" s="19">
        <v>24210</v>
      </c>
      <c r="B2413" s="20" t="s">
        <v>23</v>
      </c>
      <c r="C2413" s="20" t="s">
        <v>4271</v>
      </c>
      <c r="D2413" s="20" t="s">
        <v>4291</v>
      </c>
      <c r="E2413" s="20" t="s">
        <v>4292</v>
      </c>
      <c r="F2413" s="20">
        <v>35.520427159999997</v>
      </c>
      <c r="G2413" s="20">
        <v>43.236999599999997</v>
      </c>
      <c r="H2413" s="22">
        <v>38</v>
      </c>
      <c r="I2413" s="22">
        <v>228</v>
      </c>
      <c r="J2413" s="21"/>
      <c r="K2413" s="21"/>
      <c r="L2413" s="21"/>
      <c r="M2413" s="21"/>
      <c r="N2413" s="21"/>
      <c r="O2413" s="21"/>
      <c r="P2413" s="21"/>
      <c r="Q2413" s="21"/>
      <c r="R2413" s="21">
        <v>3</v>
      </c>
      <c r="S2413" s="21"/>
      <c r="T2413" s="21"/>
      <c r="U2413" s="21"/>
      <c r="V2413" s="21"/>
      <c r="W2413" s="21"/>
      <c r="X2413" s="21">
        <v>35</v>
      </c>
      <c r="Y2413" s="21"/>
      <c r="Z2413" s="21"/>
      <c r="AA2413" s="21"/>
      <c r="AB2413" s="21"/>
      <c r="AC2413" s="21"/>
      <c r="AD2413" s="21"/>
      <c r="AE2413" s="21">
        <v>1</v>
      </c>
      <c r="AF2413" s="21"/>
      <c r="AG2413" s="21"/>
      <c r="AH2413" s="21">
        <v>37</v>
      </c>
      <c r="AI2413" s="21"/>
      <c r="AJ2413" s="21"/>
      <c r="AK2413" s="21"/>
      <c r="AL2413" s="21"/>
      <c r="AM2413" s="21"/>
      <c r="AN2413" s="21"/>
      <c r="AO2413" s="21"/>
      <c r="AP2413" s="21"/>
      <c r="AQ2413" s="21"/>
      <c r="AR2413" s="21">
        <v>38</v>
      </c>
      <c r="AS2413" s="21"/>
      <c r="AT2413" s="12" t="str">
        <f>HYPERLINK("http://www.openstreetmap.org/?mlat=35.5204&amp;mlon=43.237&amp;zoom=12#map=12/35.5204/43.237","Maplink1")</f>
        <v>Maplink1</v>
      </c>
      <c r="AU2413" s="12" t="str">
        <f>HYPERLINK("https://www.google.iq/maps/search/+35.5204,43.237/@35.5204,43.237,14z?hl=en","Maplink2")</f>
        <v>Maplink2</v>
      </c>
      <c r="AV2413" s="12" t="str">
        <f>HYPERLINK("http://www.bing.com/maps/?lvl=14&amp;sty=h&amp;cp=35.5204~43.237&amp;sp=point.35.5204_43.237","Maplink3")</f>
        <v>Maplink3</v>
      </c>
    </row>
    <row r="2414" spans="1:48" ht="15" customHeight="1" x14ac:dyDescent="0.25">
      <c r="A2414" s="19">
        <v>24246</v>
      </c>
      <c r="B2414" s="20" t="s">
        <v>23</v>
      </c>
      <c r="C2414" s="20" t="s">
        <v>4271</v>
      </c>
      <c r="D2414" s="20" t="s">
        <v>4293</v>
      </c>
      <c r="E2414" s="20" t="s">
        <v>4294</v>
      </c>
      <c r="F2414" s="20">
        <v>35.507100000000001</v>
      </c>
      <c r="G2414" s="20">
        <v>43.244100000000003</v>
      </c>
      <c r="H2414" s="22">
        <v>13</v>
      </c>
      <c r="I2414" s="22">
        <v>78</v>
      </c>
      <c r="J2414" s="21"/>
      <c r="K2414" s="21"/>
      <c r="L2414" s="21"/>
      <c r="M2414" s="21"/>
      <c r="N2414" s="21"/>
      <c r="O2414" s="21"/>
      <c r="P2414" s="21"/>
      <c r="Q2414" s="21"/>
      <c r="R2414" s="21">
        <v>2</v>
      </c>
      <c r="S2414" s="21"/>
      <c r="T2414" s="21"/>
      <c r="U2414" s="21"/>
      <c r="V2414" s="21"/>
      <c r="W2414" s="21"/>
      <c r="X2414" s="21">
        <v>11</v>
      </c>
      <c r="Y2414" s="21"/>
      <c r="Z2414" s="21"/>
      <c r="AA2414" s="21"/>
      <c r="AB2414" s="21"/>
      <c r="AC2414" s="21"/>
      <c r="AD2414" s="21"/>
      <c r="AE2414" s="21"/>
      <c r="AF2414" s="21"/>
      <c r="AG2414" s="21"/>
      <c r="AH2414" s="21">
        <v>10</v>
      </c>
      <c r="AI2414" s="21"/>
      <c r="AJ2414" s="21">
        <v>3</v>
      </c>
      <c r="AK2414" s="21"/>
      <c r="AL2414" s="21"/>
      <c r="AM2414" s="21"/>
      <c r="AN2414" s="21"/>
      <c r="AO2414" s="21"/>
      <c r="AP2414" s="21"/>
      <c r="AQ2414" s="21"/>
      <c r="AR2414" s="21">
        <v>13</v>
      </c>
      <c r="AS2414" s="21"/>
      <c r="AT2414" s="12" t="str">
        <f>HYPERLINK("http://www.openstreetmap.org/?mlat=35.5071&amp;mlon=43.2441&amp;zoom=12#map=12/35.5071/43.2441","Maplink1")</f>
        <v>Maplink1</v>
      </c>
      <c r="AU2414" s="12" t="str">
        <f>HYPERLINK("https://www.google.iq/maps/search/+35.5071,43.2441/@35.5071,43.2441,14z?hl=en","Maplink2")</f>
        <v>Maplink2</v>
      </c>
      <c r="AV2414" s="12" t="str">
        <f>HYPERLINK("http://www.bing.com/maps/?lvl=14&amp;sty=h&amp;cp=35.5071~43.2441&amp;sp=point.35.5071_43.2441","Maplink3")</f>
        <v>Maplink3</v>
      </c>
    </row>
    <row r="2415" spans="1:48" ht="15" customHeight="1" x14ac:dyDescent="0.25">
      <c r="A2415" s="19">
        <v>29654</v>
      </c>
      <c r="B2415" s="20" t="s">
        <v>23</v>
      </c>
      <c r="C2415" s="20" t="s">
        <v>4271</v>
      </c>
      <c r="D2415" s="20" t="s">
        <v>4295</v>
      </c>
      <c r="E2415" s="20" t="s">
        <v>4296</v>
      </c>
      <c r="F2415" s="20">
        <v>35.534980939999997</v>
      </c>
      <c r="G2415" s="20">
        <v>43.223427899999997</v>
      </c>
      <c r="H2415" s="22">
        <v>10</v>
      </c>
      <c r="I2415" s="22">
        <v>60</v>
      </c>
      <c r="J2415" s="21"/>
      <c r="K2415" s="21"/>
      <c r="L2415" s="21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>
        <v>10</v>
      </c>
      <c r="Y2415" s="21"/>
      <c r="Z2415" s="21"/>
      <c r="AA2415" s="21"/>
      <c r="AB2415" s="21"/>
      <c r="AC2415" s="21"/>
      <c r="AD2415" s="21"/>
      <c r="AE2415" s="21"/>
      <c r="AF2415" s="21"/>
      <c r="AG2415" s="21"/>
      <c r="AH2415" s="21">
        <v>10</v>
      </c>
      <c r="AI2415" s="21"/>
      <c r="AJ2415" s="21"/>
      <c r="AK2415" s="21"/>
      <c r="AL2415" s="21"/>
      <c r="AM2415" s="21"/>
      <c r="AN2415" s="21"/>
      <c r="AO2415" s="21"/>
      <c r="AP2415" s="21"/>
      <c r="AQ2415" s="21"/>
      <c r="AR2415" s="21">
        <v>10</v>
      </c>
      <c r="AS2415" s="21"/>
      <c r="AT2415" s="12" t="str">
        <f>HYPERLINK("http://www.openstreetmap.org/?mlat=35.535&amp;mlon=43.2234&amp;zoom=12#map=12/35.535/43.2234","Maplink1")</f>
        <v>Maplink1</v>
      </c>
      <c r="AU2415" s="12" t="str">
        <f>HYPERLINK("https://www.google.iq/maps/search/+35.535,43.2234/@35.535,43.2234,14z?hl=en","Maplink2")</f>
        <v>Maplink2</v>
      </c>
      <c r="AV2415" s="12" t="str">
        <f>HYPERLINK("http://www.bing.com/maps/?lvl=14&amp;sty=h&amp;cp=35.535~43.2234&amp;sp=point.35.535_43.2234","Maplink3")</f>
        <v>Maplink3</v>
      </c>
    </row>
    <row r="2416" spans="1:48" ht="15" customHeight="1" x14ac:dyDescent="0.25">
      <c r="A2416" s="19">
        <v>21955</v>
      </c>
      <c r="B2416" s="20" t="s">
        <v>23</v>
      </c>
      <c r="C2416" s="20" t="s">
        <v>4271</v>
      </c>
      <c r="D2416" s="20" t="s">
        <v>5676</v>
      </c>
      <c r="E2416" s="20" t="s">
        <v>4285</v>
      </c>
      <c r="F2416" s="20">
        <v>35.48115044</v>
      </c>
      <c r="G2416" s="20">
        <v>43.242843800000003</v>
      </c>
      <c r="H2416" s="22">
        <v>13</v>
      </c>
      <c r="I2416" s="22">
        <v>78</v>
      </c>
      <c r="J2416" s="21"/>
      <c r="K2416" s="21"/>
      <c r="L2416" s="21"/>
      <c r="M2416" s="21"/>
      <c r="N2416" s="21"/>
      <c r="O2416" s="21"/>
      <c r="P2416" s="21"/>
      <c r="Q2416" s="21"/>
      <c r="R2416" s="21">
        <v>2</v>
      </c>
      <c r="S2416" s="21"/>
      <c r="T2416" s="21"/>
      <c r="U2416" s="21"/>
      <c r="V2416" s="21"/>
      <c r="W2416" s="21"/>
      <c r="X2416" s="21">
        <v>11</v>
      </c>
      <c r="Y2416" s="21"/>
      <c r="Z2416" s="21"/>
      <c r="AA2416" s="21"/>
      <c r="AB2416" s="21"/>
      <c r="AC2416" s="21"/>
      <c r="AD2416" s="21"/>
      <c r="AE2416" s="21"/>
      <c r="AF2416" s="21"/>
      <c r="AG2416" s="21"/>
      <c r="AH2416" s="21">
        <v>13</v>
      </c>
      <c r="AI2416" s="21"/>
      <c r="AJ2416" s="21"/>
      <c r="AK2416" s="21"/>
      <c r="AL2416" s="21"/>
      <c r="AM2416" s="21"/>
      <c r="AN2416" s="21"/>
      <c r="AO2416" s="21"/>
      <c r="AP2416" s="21"/>
      <c r="AQ2416" s="21"/>
      <c r="AR2416" s="21">
        <v>13</v>
      </c>
      <c r="AS2416" s="21"/>
      <c r="AT2416" s="12" t="str">
        <f>HYPERLINK("http://www.openstreetmap.org/?mlat=35.4812&amp;mlon=43.2428&amp;zoom=12#map=12/35.4812/43.2428","Maplink1")</f>
        <v>Maplink1</v>
      </c>
      <c r="AU2416" s="12" t="str">
        <f>HYPERLINK("https://www.google.iq/maps/search/+35.4812,43.2428/@35.4812,43.2428,14z?hl=en","Maplink2")</f>
        <v>Maplink2</v>
      </c>
      <c r="AV2416" s="12" t="str">
        <f>HYPERLINK("http://www.bing.com/maps/?lvl=14&amp;sty=h&amp;cp=35.4812~43.2428&amp;sp=point.35.4812_43.2428","Maplink3")</f>
        <v>Maplink3</v>
      </c>
    </row>
    <row r="2417" spans="1:48" ht="15" customHeight="1" x14ac:dyDescent="0.25">
      <c r="A2417" s="19">
        <v>29655</v>
      </c>
      <c r="B2417" s="20" t="s">
        <v>23</v>
      </c>
      <c r="C2417" s="20" t="s">
        <v>4271</v>
      </c>
      <c r="D2417" s="20" t="s">
        <v>4297</v>
      </c>
      <c r="E2417" s="20" t="s">
        <v>4298</v>
      </c>
      <c r="F2417" s="20">
        <v>35.522875835599997</v>
      </c>
      <c r="G2417" s="20">
        <v>43.229303637699999</v>
      </c>
      <c r="H2417" s="22">
        <v>11</v>
      </c>
      <c r="I2417" s="22">
        <v>66</v>
      </c>
      <c r="J2417" s="21"/>
      <c r="K2417" s="21"/>
      <c r="L2417" s="21"/>
      <c r="M2417" s="21"/>
      <c r="N2417" s="21"/>
      <c r="O2417" s="21"/>
      <c r="P2417" s="21"/>
      <c r="Q2417" s="21"/>
      <c r="R2417" s="21">
        <v>2</v>
      </c>
      <c r="S2417" s="21"/>
      <c r="T2417" s="21"/>
      <c r="U2417" s="21"/>
      <c r="V2417" s="21"/>
      <c r="W2417" s="21"/>
      <c r="X2417" s="21">
        <v>9</v>
      </c>
      <c r="Y2417" s="21"/>
      <c r="Z2417" s="21"/>
      <c r="AA2417" s="21"/>
      <c r="AB2417" s="21"/>
      <c r="AC2417" s="21"/>
      <c r="AD2417" s="21"/>
      <c r="AE2417" s="21"/>
      <c r="AF2417" s="21"/>
      <c r="AG2417" s="21"/>
      <c r="AH2417" s="21">
        <v>11</v>
      </c>
      <c r="AI2417" s="21"/>
      <c r="AJ2417" s="21"/>
      <c r="AK2417" s="21"/>
      <c r="AL2417" s="21"/>
      <c r="AM2417" s="21"/>
      <c r="AN2417" s="21"/>
      <c r="AO2417" s="21"/>
      <c r="AP2417" s="21"/>
      <c r="AQ2417" s="21"/>
      <c r="AR2417" s="21">
        <v>11</v>
      </c>
      <c r="AS2417" s="21"/>
      <c r="AT2417" s="12" t="str">
        <f>HYPERLINK("http://www.openstreetmap.org/?mlat=35.5229&amp;mlon=43.2293&amp;zoom=12#map=12/35.5229/43.2293","Maplink1")</f>
        <v>Maplink1</v>
      </c>
      <c r="AU2417" s="12" t="str">
        <f>HYPERLINK("https://www.google.iq/maps/search/+35.5229,43.2293/@35.5229,43.2293,14z?hl=en","Maplink2")</f>
        <v>Maplink2</v>
      </c>
      <c r="AV2417" s="12" t="str">
        <f>HYPERLINK("http://www.bing.com/maps/?lvl=14&amp;sty=h&amp;cp=35.5229~43.2293&amp;sp=point.35.5229_43.2293","Maplink3")</f>
        <v>Maplink3</v>
      </c>
    </row>
    <row r="2418" spans="1:48" ht="15" customHeight="1" x14ac:dyDescent="0.25">
      <c r="A2418" s="19">
        <v>20403</v>
      </c>
      <c r="B2418" s="20" t="s">
        <v>23</v>
      </c>
      <c r="C2418" s="20" t="s">
        <v>4271</v>
      </c>
      <c r="D2418" s="20" t="s">
        <v>4299</v>
      </c>
      <c r="E2418" s="20" t="s">
        <v>4300</v>
      </c>
      <c r="F2418" s="20">
        <v>35.561364615199999</v>
      </c>
      <c r="G2418" s="20">
        <v>43.223127630999997</v>
      </c>
      <c r="H2418" s="22">
        <v>31</v>
      </c>
      <c r="I2418" s="22">
        <v>186</v>
      </c>
      <c r="J2418" s="21"/>
      <c r="K2418" s="21"/>
      <c r="L2418" s="21"/>
      <c r="M2418" s="21"/>
      <c r="N2418" s="21"/>
      <c r="O2418" s="21"/>
      <c r="P2418" s="21"/>
      <c r="Q2418" s="21"/>
      <c r="R2418" s="21">
        <v>2</v>
      </c>
      <c r="S2418" s="21"/>
      <c r="T2418" s="21"/>
      <c r="U2418" s="21"/>
      <c r="V2418" s="21"/>
      <c r="W2418" s="21"/>
      <c r="X2418" s="21">
        <v>29</v>
      </c>
      <c r="Y2418" s="21"/>
      <c r="Z2418" s="21"/>
      <c r="AA2418" s="21"/>
      <c r="AB2418" s="21"/>
      <c r="AC2418" s="21">
        <v>22</v>
      </c>
      <c r="AD2418" s="21"/>
      <c r="AE2418" s="21">
        <v>1</v>
      </c>
      <c r="AF2418" s="21"/>
      <c r="AG2418" s="21"/>
      <c r="AH2418" s="21">
        <v>8</v>
      </c>
      <c r="AI2418" s="21"/>
      <c r="AJ2418" s="21"/>
      <c r="AK2418" s="21"/>
      <c r="AL2418" s="21"/>
      <c r="AM2418" s="21"/>
      <c r="AN2418" s="21"/>
      <c r="AO2418" s="21"/>
      <c r="AP2418" s="21"/>
      <c r="AQ2418" s="21"/>
      <c r="AR2418" s="21">
        <v>9</v>
      </c>
      <c r="AS2418" s="21">
        <v>22</v>
      </c>
      <c r="AT2418" s="12" t="str">
        <f>HYPERLINK("http://www.openstreetmap.org/?mlat=35.5614&amp;mlon=43.2231&amp;zoom=12#map=12/35.5614/43.2231","Maplink1")</f>
        <v>Maplink1</v>
      </c>
      <c r="AU2418" s="12" t="str">
        <f>HYPERLINK("https://www.google.iq/maps/search/+35.5614,43.2231/@35.5614,43.2231,14z?hl=en","Maplink2")</f>
        <v>Maplink2</v>
      </c>
      <c r="AV2418" s="12" t="str">
        <f>HYPERLINK("http://www.bing.com/maps/?lvl=14&amp;sty=h&amp;cp=35.5614~43.2231&amp;sp=point.35.5614_43.2231","Maplink3")</f>
        <v>Maplink3</v>
      </c>
    </row>
    <row r="2419" spans="1:48" ht="15" customHeight="1" x14ac:dyDescent="0.25">
      <c r="A2419" s="19">
        <v>20991</v>
      </c>
      <c r="B2419" s="20" t="s">
        <v>23</v>
      </c>
      <c r="C2419" s="20" t="s">
        <v>4271</v>
      </c>
      <c r="D2419" s="20" t="s">
        <v>4301</v>
      </c>
      <c r="E2419" s="20" t="s">
        <v>4302</v>
      </c>
      <c r="F2419" s="20">
        <v>35.468224999999997</v>
      </c>
      <c r="G2419" s="20">
        <v>43.244653</v>
      </c>
      <c r="H2419" s="22">
        <v>9</v>
      </c>
      <c r="I2419" s="22">
        <v>54</v>
      </c>
      <c r="J2419" s="21"/>
      <c r="K2419" s="21"/>
      <c r="L2419" s="21"/>
      <c r="M2419" s="21"/>
      <c r="N2419" s="21"/>
      <c r="O2419" s="21"/>
      <c r="P2419" s="21"/>
      <c r="Q2419" s="21"/>
      <c r="R2419" s="21">
        <v>1</v>
      </c>
      <c r="S2419" s="21"/>
      <c r="T2419" s="21"/>
      <c r="U2419" s="21"/>
      <c r="V2419" s="21"/>
      <c r="W2419" s="21"/>
      <c r="X2419" s="21">
        <v>8</v>
      </c>
      <c r="Y2419" s="21"/>
      <c r="Z2419" s="21"/>
      <c r="AA2419" s="21"/>
      <c r="AB2419" s="21"/>
      <c r="AC2419" s="21"/>
      <c r="AD2419" s="21"/>
      <c r="AE2419" s="21"/>
      <c r="AF2419" s="21"/>
      <c r="AG2419" s="21"/>
      <c r="AH2419" s="21">
        <v>9</v>
      </c>
      <c r="AI2419" s="21"/>
      <c r="AJ2419" s="21"/>
      <c r="AK2419" s="21"/>
      <c r="AL2419" s="21"/>
      <c r="AM2419" s="21"/>
      <c r="AN2419" s="21"/>
      <c r="AO2419" s="21"/>
      <c r="AP2419" s="21"/>
      <c r="AQ2419" s="21"/>
      <c r="AR2419" s="21">
        <v>9</v>
      </c>
      <c r="AS2419" s="21"/>
      <c r="AT2419" s="12" t="str">
        <f>HYPERLINK("http://www.openstreetmap.org/?mlat=35.4682&amp;mlon=43.2447&amp;zoom=12#map=12/35.4682/43.2447","Maplink1")</f>
        <v>Maplink1</v>
      </c>
      <c r="AU2419" s="12" t="str">
        <f>HYPERLINK("https://www.google.iq/maps/search/+35.4682,43.2447/@35.4682,43.2447,14z?hl=en","Maplink2")</f>
        <v>Maplink2</v>
      </c>
      <c r="AV2419" s="12" t="str">
        <f>HYPERLINK("http://www.bing.com/maps/?lvl=14&amp;sty=h&amp;cp=35.4682~43.2447&amp;sp=point.35.4682_43.2447","Maplink3")</f>
        <v>Maplink3</v>
      </c>
    </row>
    <row r="2420" spans="1:48" ht="15" customHeight="1" x14ac:dyDescent="0.25">
      <c r="A2420" s="19">
        <v>21006</v>
      </c>
      <c r="B2420" s="20" t="s">
        <v>23</v>
      </c>
      <c r="C2420" s="20" t="s">
        <v>4271</v>
      </c>
      <c r="D2420" s="20" t="s">
        <v>4303</v>
      </c>
      <c r="E2420" s="20" t="s">
        <v>4304</v>
      </c>
      <c r="F2420" s="20">
        <v>35.51099936</v>
      </c>
      <c r="G2420" s="20">
        <v>43.235405900000003</v>
      </c>
      <c r="H2420" s="22">
        <v>42</v>
      </c>
      <c r="I2420" s="22">
        <v>252</v>
      </c>
      <c r="J2420" s="21"/>
      <c r="K2420" s="21"/>
      <c r="L2420" s="21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>
        <v>3</v>
      </c>
      <c r="W2420" s="21"/>
      <c r="X2420" s="21">
        <v>39</v>
      </c>
      <c r="Y2420" s="21"/>
      <c r="Z2420" s="21"/>
      <c r="AA2420" s="21"/>
      <c r="AB2420" s="21"/>
      <c r="AC2420" s="21"/>
      <c r="AD2420" s="21"/>
      <c r="AE2420" s="21">
        <v>2</v>
      </c>
      <c r="AF2420" s="21"/>
      <c r="AG2420" s="21"/>
      <c r="AH2420" s="21">
        <v>40</v>
      </c>
      <c r="AI2420" s="21"/>
      <c r="AJ2420" s="21"/>
      <c r="AK2420" s="21"/>
      <c r="AL2420" s="21"/>
      <c r="AM2420" s="21"/>
      <c r="AN2420" s="21"/>
      <c r="AO2420" s="21"/>
      <c r="AP2420" s="21"/>
      <c r="AQ2420" s="21"/>
      <c r="AR2420" s="21">
        <v>42</v>
      </c>
      <c r="AS2420" s="21"/>
      <c r="AT2420" s="12" t="str">
        <f>HYPERLINK("http://www.openstreetmap.org/?mlat=35.511&amp;mlon=43.2354&amp;zoom=12#map=12/35.511/43.2354","Maplink1")</f>
        <v>Maplink1</v>
      </c>
      <c r="AU2420" s="12" t="str">
        <f>HYPERLINK("https://www.google.iq/maps/search/+35.511,43.2354/@35.511,43.2354,14z?hl=en","Maplink2")</f>
        <v>Maplink2</v>
      </c>
      <c r="AV2420" s="12" t="str">
        <f>HYPERLINK("http://www.bing.com/maps/?lvl=14&amp;sty=h&amp;cp=35.511~43.2354&amp;sp=point.35.511_43.2354","Maplink3")</f>
        <v>Maplink3</v>
      </c>
    </row>
    <row r="2421" spans="1:48" ht="15" customHeight="1" x14ac:dyDescent="0.25">
      <c r="A2421" s="19">
        <v>23388</v>
      </c>
      <c r="B2421" s="20" t="s">
        <v>23</v>
      </c>
      <c r="C2421" s="20" t="s">
        <v>4305</v>
      </c>
      <c r="D2421" s="20" t="s">
        <v>4306</v>
      </c>
      <c r="E2421" s="20" t="s">
        <v>4307</v>
      </c>
      <c r="F2421" s="20">
        <v>34.759223805700003</v>
      </c>
      <c r="G2421" s="20">
        <v>43.601933000599999</v>
      </c>
      <c r="H2421" s="22">
        <v>100</v>
      </c>
      <c r="I2421" s="22">
        <v>600</v>
      </c>
      <c r="J2421" s="21"/>
      <c r="K2421" s="21"/>
      <c r="L2421" s="21"/>
      <c r="M2421" s="21"/>
      <c r="N2421" s="21"/>
      <c r="O2421" s="21"/>
      <c r="P2421" s="21"/>
      <c r="Q2421" s="21"/>
      <c r="R2421" s="21">
        <v>14</v>
      </c>
      <c r="S2421" s="21"/>
      <c r="T2421" s="21"/>
      <c r="U2421" s="21"/>
      <c r="V2421" s="21"/>
      <c r="W2421" s="21"/>
      <c r="X2421" s="21">
        <v>86</v>
      </c>
      <c r="Y2421" s="21"/>
      <c r="Z2421" s="21"/>
      <c r="AA2421" s="21"/>
      <c r="AB2421" s="21"/>
      <c r="AC2421" s="21">
        <v>12</v>
      </c>
      <c r="AD2421" s="21"/>
      <c r="AE2421" s="21"/>
      <c r="AF2421" s="21"/>
      <c r="AG2421" s="21"/>
      <c r="AH2421" s="21">
        <v>88</v>
      </c>
      <c r="AI2421" s="21"/>
      <c r="AJ2421" s="21"/>
      <c r="AK2421" s="21"/>
      <c r="AL2421" s="21"/>
      <c r="AM2421" s="21">
        <v>29</v>
      </c>
      <c r="AN2421" s="21">
        <v>11</v>
      </c>
      <c r="AO2421" s="21"/>
      <c r="AP2421" s="21"/>
      <c r="AQ2421" s="21">
        <v>51</v>
      </c>
      <c r="AR2421" s="21">
        <v>9</v>
      </c>
      <c r="AS2421" s="21"/>
      <c r="AT2421" s="12" t="str">
        <f>HYPERLINK("http://www.openstreetmap.org/?mlat=34.7592&amp;mlon=43.6019&amp;zoom=12#map=12/34.7592/43.6019","Maplink1")</f>
        <v>Maplink1</v>
      </c>
      <c r="AU2421" s="12" t="str">
        <f>HYPERLINK("https://www.google.iq/maps/search/+34.7592,43.6019/@34.7592,43.6019,14z?hl=en","Maplink2")</f>
        <v>Maplink2</v>
      </c>
      <c r="AV2421" s="12" t="str">
        <f>HYPERLINK("http://www.bing.com/maps/?lvl=14&amp;sty=h&amp;cp=34.7592~43.6019&amp;sp=point.34.7592_43.6019","Maplink3")</f>
        <v>Maplink3</v>
      </c>
    </row>
    <row r="2422" spans="1:48" ht="15" customHeight="1" x14ac:dyDescent="0.25">
      <c r="A2422" s="19">
        <v>25921</v>
      </c>
      <c r="B2422" s="20" t="s">
        <v>23</v>
      </c>
      <c r="C2422" s="20" t="s">
        <v>4305</v>
      </c>
      <c r="D2422" s="20" t="s">
        <v>4308</v>
      </c>
      <c r="E2422" s="20" t="s">
        <v>5677</v>
      </c>
      <c r="F2422" s="20">
        <v>34.84794823</v>
      </c>
      <c r="G2422" s="20">
        <v>43.51412586</v>
      </c>
      <c r="H2422" s="22">
        <v>210</v>
      </c>
      <c r="I2422" s="22">
        <v>1260</v>
      </c>
      <c r="J2422" s="21"/>
      <c r="K2422" s="21"/>
      <c r="L2422" s="21"/>
      <c r="M2422" s="21"/>
      <c r="N2422" s="21"/>
      <c r="O2422" s="21"/>
      <c r="P2422" s="21"/>
      <c r="Q2422" s="21"/>
      <c r="R2422" s="21">
        <v>88</v>
      </c>
      <c r="S2422" s="21"/>
      <c r="T2422" s="21"/>
      <c r="U2422" s="21"/>
      <c r="V2422" s="21"/>
      <c r="W2422" s="21"/>
      <c r="X2422" s="21">
        <v>122</v>
      </c>
      <c r="Y2422" s="21"/>
      <c r="Z2422" s="21"/>
      <c r="AA2422" s="21"/>
      <c r="AB2422" s="21"/>
      <c r="AC2422" s="21">
        <v>98</v>
      </c>
      <c r="AD2422" s="21"/>
      <c r="AE2422" s="21"/>
      <c r="AF2422" s="21"/>
      <c r="AG2422" s="21"/>
      <c r="AH2422" s="21">
        <v>112</v>
      </c>
      <c r="AI2422" s="21"/>
      <c r="AJ2422" s="21"/>
      <c r="AK2422" s="21"/>
      <c r="AL2422" s="21"/>
      <c r="AM2422" s="21"/>
      <c r="AN2422" s="21"/>
      <c r="AO2422" s="21"/>
      <c r="AP2422" s="21"/>
      <c r="AQ2422" s="21">
        <v>210</v>
      </c>
      <c r="AR2422" s="21"/>
      <c r="AS2422" s="21"/>
      <c r="AT2422" s="12" t="str">
        <f>HYPERLINK("http://www.openstreetmap.org/?mlat=34.8479&amp;mlon=43.5141&amp;zoom=12#map=12/34.8479/43.5141","Maplink1")</f>
        <v>Maplink1</v>
      </c>
      <c r="AU2422" s="12" t="str">
        <f>HYPERLINK("https://www.google.iq/maps/search/+34.8479,43.5141/@34.8479,43.5141,14z?hl=en","Maplink2")</f>
        <v>Maplink2</v>
      </c>
      <c r="AV2422" s="12" t="str">
        <f>HYPERLINK("http://www.bing.com/maps/?lvl=14&amp;sty=h&amp;cp=34.8479~43.5141&amp;sp=point.34.8479_43.5141","Maplink3")</f>
        <v>Maplink3</v>
      </c>
    </row>
    <row r="2423" spans="1:48" ht="15" customHeight="1" x14ac:dyDescent="0.25">
      <c r="A2423" s="19">
        <v>20655</v>
      </c>
      <c r="B2423" s="20" t="s">
        <v>23</v>
      </c>
      <c r="C2423" s="20" t="s">
        <v>4305</v>
      </c>
      <c r="D2423" s="20" t="s">
        <v>4309</v>
      </c>
      <c r="E2423" s="20" t="s">
        <v>4310</v>
      </c>
      <c r="F2423" s="20">
        <v>34.886529000000003</v>
      </c>
      <c r="G2423" s="20">
        <v>43.489977000000003</v>
      </c>
      <c r="H2423" s="22">
        <v>75</v>
      </c>
      <c r="I2423" s="22">
        <v>450</v>
      </c>
      <c r="J2423" s="21"/>
      <c r="K2423" s="21"/>
      <c r="L2423" s="21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>
        <v>75</v>
      </c>
      <c r="Y2423" s="21"/>
      <c r="Z2423" s="21"/>
      <c r="AA2423" s="21"/>
      <c r="AB2423" s="21"/>
      <c r="AC2423" s="21">
        <v>75</v>
      </c>
      <c r="AD2423" s="21"/>
      <c r="AE2423" s="21"/>
      <c r="AF2423" s="21"/>
      <c r="AG2423" s="21"/>
      <c r="AH2423" s="21"/>
      <c r="AI2423" s="21"/>
      <c r="AJ2423" s="21"/>
      <c r="AK2423" s="21"/>
      <c r="AL2423" s="21"/>
      <c r="AM2423" s="21"/>
      <c r="AN2423" s="21">
        <v>30</v>
      </c>
      <c r="AO2423" s="21"/>
      <c r="AP2423" s="21"/>
      <c r="AQ2423" s="21">
        <v>45</v>
      </c>
      <c r="AR2423" s="21"/>
      <c r="AS2423" s="21"/>
      <c r="AT2423" s="12" t="str">
        <f>HYPERLINK("http://www.openstreetmap.org/?mlat=34.8865&amp;mlon=43.49&amp;zoom=12#map=12/34.8865/43.49","Maplink1")</f>
        <v>Maplink1</v>
      </c>
      <c r="AU2423" s="12" t="str">
        <f>HYPERLINK("https://www.google.iq/maps/search/+34.8865,43.49/@34.8865,43.49,14z?hl=en","Maplink2")</f>
        <v>Maplink2</v>
      </c>
      <c r="AV2423" s="12" t="str">
        <f>HYPERLINK("http://www.bing.com/maps/?lvl=14&amp;sty=h&amp;cp=34.8865~43.49&amp;sp=point.34.8865_43.49","Maplink3")</f>
        <v>Maplink3</v>
      </c>
    </row>
    <row r="2424" spans="1:48" ht="15" customHeight="1" x14ac:dyDescent="0.25">
      <c r="A2424" s="19">
        <v>25706</v>
      </c>
      <c r="B2424" s="20" t="s">
        <v>23</v>
      </c>
      <c r="C2424" s="20" t="s">
        <v>4305</v>
      </c>
      <c r="D2424" s="20" t="s">
        <v>5678</v>
      </c>
      <c r="E2424" s="20" t="s">
        <v>5679</v>
      </c>
      <c r="F2424" s="20">
        <v>34.820187300000001</v>
      </c>
      <c r="G2424" s="20">
        <v>43.5295816</v>
      </c>
      <c r="H2424" s="22">
        <v>200</v>
      </c>
      <c r="I2424" s="22">
        <v>1200</v>
      </c>
      <c r="J2424" s="21"/>
      <c r="K2424" s="21"/>
      <c r="L2424" s="21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>
        <v>200</v>
      </c>
      <c r="Y2424" s="21"/>
      <c r="Z2424" s="21"/>
      <c r="AA2424" s="21"/>
      <c r="AB2424" s="21"/>
      <c r="AC2424" s="21">
        <v>45</v>
      </c>
      <c r="AD2424" s="21"/>
      <c r="AE2424" s="21"/>
      <c r="AF2424" s="21"/>
      <c r="AG2424" s="21"/>
      <c r="AH2424" s="21">
        <v>155</v>
      </c>
      <c r="AI2424" s="21"/>
      <c r="AJ2424" s="21"/>
      <c r="AK2424" s="21"/>
      <c r="AL2424" s="21"/>
      <c r="AM2424" s="21"/>
      <c r="AN2424" s="21">
        <v>42</v>
      </c>
      <c r="AO2424" s="21">
        <v>26</v>
      </c>
      <c r="AP2424" s="21"/>
      <c r="AQ2424" s="21">
        <v>132</v>
      </c>
      <c r="AR2424" s="21"/>
      <c r="AS2424" s="21"/>
      <c r="AT2424" s="12" t="str">
        <f>HYPERLINK("http://www.openstreetmap.org/?mlat=34.8202&amp;mlon=43.5296&amp;zoom=12#map=12/34.8202/43.5296","Maplink1")</f>
        <v>Maplink1</v>
      </c>
      <c r="AU2424" s="12" t="str">
        <f>HYPERLINK("https://www.google.iq/maps/search/+34.8202,43.5296/@34.8202,43.5296,14z?hl=en","Maplink2")</f>
        <v>Maplink2</v>
      </c>
      <c r="AV2424" s="12" t="str">
        <f>HYPERLINK("http://www.bing.com/maps/?lvl=14&amp;sty=h&amp;cp=34.8202~43.5296&amp;sp=point.34.8202_43.5296","Maplink3")</f>
        <v>Maplink3</v>
      </c>
    </row>
    <row r="2425" spans="1:48" ht="15" customHeight="1" x14ac:dyDescent="0.25">
      <c r="A2425" s="19">
        <v>22813</v>
      </c>
      <c r="B2425" s="20" t="s">
        <v>23</v>
      </c>
      <c r="C2425" s="20" t="s">
        <v>4305</v>
      </c>
      <c r="D2425" s="20" t="s">
        <v>4311</v>
      </c>
      <c r="E2425" s="20" t="s">
        <v>5680</v>
      </c>
      <c r="F2425" s="20">
        <v>34.872193000000003</v>
      </c>
      <c r="G2425" s="20">
        <v>43.520938000000001</v>
      </c>
      <c r="H2425" s="22">
        <v>150</v>
      </c>
      <c r="I2425" s="22">
        <v>900</v>
      </c>
      <c r="J2425" s="21"/>
      <c r="K2425" s="21"/>
      <c r="L2425" s="21"/>
      <c r="M2425" s="21"/>
      <c r="N2425" s="21"/>
      <c r="O2425" s="21"/>
      <c r="P2425" s="21"/>
      <c r="Q2425" s="21"/>
      <c r="R2425" s="21">
        <v>30</v>
      </c>
      <c r="S2425" s="21"/>
      <c r="T2425" s="21"/>
      <c r="U2425" s="21"/>
      <c r="V2425" s="21"/>
      <c r="W2425" s="21"/>
      <c r="X2425" s="21">
        <v>120</v>
      </c>
      <c r="Y2425" s="21"/>
      <c r="Z2425" s="21"/>
      <c r="AA2425" s="21"/>
      <c r="AB2425" s="21"/>
      <c r="AC2425" s="21">
        <v>50</v>
      </c>
      <c r="AD2425" s="21"/>
      <c r="AE2425" s="21"/>
      <c r="AF2425" s="21"/>
      <c r="AG2425" s="21"/>
      <c r="AH2425" s="21">
        <v>100</v>
      </c>
      <c r="AI2425" s="21"/>
      <c r="AJ2425" s="21"/>
      <c r="AK2425" s="21"/>
      <c r="AL2425" s="21"/>
      <c r="AM2425" s="21"/>
      <c r="AN2425" s="21"/>
      <c r="AO2425" s="21"/>
      <c r="AP2425" s="21">
        <v>150</v>
      </c>
      <c r="AQ2425" s="21"/>
      <c r="AR2425" s="21"/>
      <c r="AS2425" s="21"/>
      <c r="AT2425" s="12" t="str">
        <f>HYPERLINK("http://www.openstreetmap.org/?mlat=34.8722&amp;mlon=43.5209&amp;zoom=12#map=12/34.8722/43.5209","Maplink1")</f>
        <v>Maplink1</v>
      </c>
      <c r="AU2425" s="12" t="str">
        <f>HYPERLINK("https://www.google.iq/maps/search/+34.8722,43.5209/@34.8722,43.5209,14z?hl=en","Maplink2")</f>
        <v>Maplink2</v>
      </c>
      <c r="AV2425" s="12" t="str">
        <f>HYPERLINK("http://www.bing.com/maps/?lvl=14&amp;sty=h&amp;cp=34.8722~43.5209&amp;sp=point.34.8722_43.5209","Maplink3")</f>
        <v>Maplink3</v>
      </c>
    </row>
    <row r="2426" spans="1:48" ht="15" customHeight="1" x14ac:dyDescent="0.25">
      <c r="A2426" s="19">
        <v>23140</v>
      </c>
      <c r="B2426" s="20" t="s">
        <v>23</v>
      </c>
      <c r="C2426" s="20" t="s">
        <v>4312</v>
      </c>
      <c r="D2426" s="20" t="s">
        <v>4313</v>
      </c>
      <c r="E2426" s="20" t="s">
        <v>4314</v>
      </c>
      <c r="F2426" s="20">
        <v>34.083024999999999</v>
      </c>
      <c r="G2426" s="20">
        <v>44.169611000000003</v>
      </c>
      <c r="H2426" s="22">
        <v>190</v>
      </c>
      <c r="I2426" s="22">
        <v>1140</v>
      </c>
      <c r="J2426" s="21"/>
      <c r="K2426" s="21"/>
      <c r="L2426" s="21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>
        <v>190</v>
      </c>
      <c r="Y2426" s="21"/>
      <c r="Z2426" s="21"/>
      <c r="AA2426" s="21"/>
      <c r="AB2426" s="21"/>
      <c r="AC2426" s="21"/>
      <c r="AD2426" s="21"/>
      <c r="AE2426" s="21"/>
      <c r="AF2426" s="21"/>
      <c r="AG2426" s="21"/>
      <c r="AH2426" s="21">
        <v>190</v>
      </c>
      <c r="AI2426" s="21"/>
      <c r="AJ2426" s="21"/>
      <c r="AK2426" s="21"/>
      <c r="AL2426" s="21"/>
      <c r="AM2426" s="21">
        <v>115</v>
      </c>
      <c r="AN2426" s="21">
        <v>75</v>
      </c>
      <c r="AO2426" s="21"/>
      <c r="AP2426" s="21"/>
      <c r="AQ2426" s="21"/>
      <c r="AR2426" s="21"/>
      <c r="AS2426" s="21"/>
      <c r="AT2426" s="12" t="str">
        <f>HYPERLINK("http://www.openstreetmap.org/?mlat=34.083&amp;mlon=44.1696&amp;zoom=12#map=12/34.083/44.1696","Maplink1")</f>
        <v>Maplink1</v>
      </c>
      <c r="AU2426" s="12" t="str">
        <f>HYPERLINK("https://www.google.iq/maps/search/+34.083,44.1696/@34.083,44.1696,14z?hl=en","Maplink2")</f>
        <v>Maplink2</v>
      </c>
      <c r="AV2426" s="12" t="str">
        <f>HYPERLINK("http://www.bing.com/maps/?lvl=14&amp;sty=h&amp;cp=34.083~44.1696&amp;sp=point.34.083_44.1696","Maplink3")</f>
        <v>Maplink3</v>
      </c>
    </row>
    <row r="2427" spans="1:48" ht="15" customHeight="1" x14ac:dyDescent="0.25">
      <c r="A2427" s="19">
        <v>26020</v>
      </c>
      <c r="B2427" s="20" t="s">
        <v>23</v>
      </c>
      <c r="C2427" s="20" t="s">
        <v>4312</v>
      </c>
      <c r="D2427" s="20" t="s">
        <v>4315</v>
      </c>
      <c r="E2427" s="20" t="s">
        <v>2234</v>
      </c>
      <c r="F2427" s="20">
        <v>34.058575230000002</v>
      </c>
      <c r="G2427" s="20">
        <v>44.258428270000003</v>
      </c>
      <c r="H2427" s="22">
        <v>113</v>
      </c>
      <c r="I2427" s="22">
        <v>678</v>
      </c>
      <c r="J2427" s="21"/>
      <c r="K2427" s="21"/>
      <c r="L2427" s="21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>
        <v>113</v>
      </c>
      <c r="Y2427" s="21"/>
      <c r="Z2427" s="21"/>
      <c r="AA2427" s="21"/>
      <c r="AB2427" s="21"/>
      <c r="AC2427" s="21"/>
      <c r="AD2427" s="21"/>
      <c r="AE2427" s="21"/>
      <c r="AF2427" s="21"/>
      <c r="AG2427" s="21"/>
      <c r="AH2427" s="21">
        <v>113</v>
      </c>
      <c r="AI2427" s="21"/>
      <c r="AJ2427" s="21"/>
      <c r="AK2427" s="21"/>
      <c r="AL2427" s="21"/>
      <c r="AM2427" s="21"/>
      <c r="AN2427" s="21">
        <v>78</v>
      </c>
      <c r="AO2427" s="21">
        <v>25</v>
      </c>
      <c r="AP2427" s="21">
        <v>10</v>
      </c>
      <c r="AQ2427" s="21"/>
      <c r="AR2427" s="21"/>
      <c r="AS2427" s="21"/>
      <c r="AT2427" s="12" t="str">
        <f>HYPERLINK("http://www.openstreetmap.org/?mlat=34.0586&amp;mlon=44.2584&amp;zoom=12#map=12/34.0586/44.2584","Maplink1")</f>
        <v>Maplink1</v>
      </c>
      <c r="AU2427" s="12" t="str">
        <f>HYPERLINK("https://www.google.iq/maps/search/+34.0586,44.2584/@34.0586,44.2584,14z?hl=en","Maplink2")</f>
        <v>Maplink2</v>
      </c>
      <c r="AV2427" s="12" t="str">
        <f>HYPERLINK("http://www.bing.com/maps/?lvl=14&amp;sty=h&amp;cp=34.0586~44.2584&amp;sp=point.34.0586_44.2584","Maplink3")</f>
        <v>Maplink3</v>
      </c>
    </row>
    <row r="2428" spans="1:48" ht="15" customHeight="1" x14ac:dyDescent="0.25">
      <c r="A2428" s="19">
        <v>25742</v>
      </c>
      <c r="B2428" s="20" t="s">
        <v>23</v>
      </c>
      <c r="C2428" s="20" t="s">
        <v>4312</v>
      </c>
      <c r="D2428" s="20" t="s">
        <v>4316</v>
      </c>
      <c r="E2428" s="20" t="s">
        <v>4317</v>
      </c>
      <c r="F2428" s="20">
        <v>34.032523079999997</v>
      </c>
      <c r="G2428" s="20">
        <v>44.231025440000003</v>
      </c>
      <c r="H2428" s="22">
        <v>263</v>
      </c>
      <c r="I2428" s="22">
        <v>1578</v>
      </c>
      <c r="J2428" s="21"/>
      <c r="K2428" s="21"/>
      <c r="L2428" s="21"/>
      <c r="M2428" s="21"/>
      <c r="N2428" s="21"/>
      <c r="O2428" s="21"/>
      <c r="P2428" s="21"/>
      <c r="Q2428" s="21"/>
      <c r="R2428" s="21">
        <v>56</v>
      </c>
      <c r="S2428" s="21"/>
      <c r="T2428" s="21"/>
      <c r="U2428" s="21"/>
      <c r="V2428" s="21"/>
      <c r="W2428" s="21"/>
      <c r="X2428" s="21">
        <v>207</v>
      </c>
      <c r="Y2428" s="21"/>
      <c r="Z2428" s="21"/>
      <c r="AA2428" s="21"/>
      <c r="AB2428" s="21"/>
      <c r="AC2428" s="21"/>
      <c r="AD2428" s="21"/>
      <c r="AE2428" s="21"/>
      <c r="AF2428" s="21"/>
      <c r="AG2428" s="21"/>
      <c r="AH2428" s="21">
        <v>263</v>
      </c>
      <c r="AI2428" s="21"/>
      <c r="AJ2428" s="21"/>
      <c r="AK2428" s="21"/>
      <c r="AL2428" s="21"/>
      <c r="AM2428" s="21">
        <v>47</v>
      </c>
      <c r="AN2428" s="21">
        <v>50</v>
      </c>
      <c r="AO2428" s="21">
        <v>110</v>
      </c>
      <c r="AP2428" s="21"/>
      <c r="AQ2428" s="21"/>
      <c r="AR2428" s="21">
        <v>56</v>
      </c>
      <c r="AS2428" s="21"/>
      <c r="AT2428" s="12" t="str">
        <f>HYPERLINK("http://www.openstreetmap.org/?mlat=34.0325&amp;mlon=44.231&amp;zoom=12#map=12/34.0325/44.231","Maplink1")</f>
        <v>Maplink1</v>
      </c>
      <c r="AU2428" s="12" t="str">
        <f>HYPERLINK("https://www.google.iq/maps/search/+34.0325,44.231/@34.0325,44.231,14z?hl=en","Maplink2")</f>
        <v>Maplink2</v>
      </c>
      <c r="AV2428" s="12" t="str">
        <f>HYPERLINK("http://www.bing.com/maps/?lvl=14&amp;sty=h&amp;cp=34.0325~44.231&amp;sp=point.34.0325_44.231","Maplink3")</f>
        <v>Maplink3</v>
      </c>
    </row>
    <row r="2429" spans="1:48" ht="15" customHeight="1" x14ac:dyDescent="0.25">
      <c r="A2429" s="19">
        <v>20770</v>
      </c>
      <c r="B2429" s="20" t="s">
        <v>23</v>
      </c>
      <c r="C2429" s="20" t="s">
        <v>4312</v>
      </c>
      <c r="D2429" s="20" t="s">
        <v>4318</v>
      </c>
      <c r="E2429" s="20" t="s">
        <v>4319</v>
      </c>
      <c r="F2429" s="20">
        <v>34.046609420000003</v>
      </c>
      <c r="G2429" s="20">
        <v>44.219951469999998</v>
      </c>
      <c r="H2429" s="22">
        <v>253</v>
      </c>
      <c r="I2429" s="22">
        <v>1518</v>
      </c>
      <c r="J2429" s="21"/>
      <c r="K2429" s="21"/>
      <c r="L2429" s="21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>
        <v>253</v>
      </c>
      <c r="Y2429" s="21"/>
      <c r="Z2429" s="21"/>
      <c r="AA2429" s="21"/>
      <c r="AB2429" s="21"/>
      <c r="AC2429" s="21"/>
      <c r="AD2429" s="21"/>
      <c r="AE2429" s="21"/>
      <c r="AF2429" s="21"/>
      <c r="AG2429" s="21"/>
      <c r="AH2429" s="21">
        <v>253</v>
      </c>
      <c r="AI2429" s="21"/>
      <c r="AJ2429" s="21"/>
      <c r="AK2429" s="21"/>
      <c r="AL2429" s="21"/>
      <c r="AM2429" s="21"/>
      <c r="AN2429" s="21"/>
      <c r="AO2429" s="21">
        <v>150</v>
      </c>
      <c r="AP2429" s="21">
        <v>103</v>
      </c>
      <c r="AQ2429" s="21"/>
      <c r="AR2429" s="21"/>
      <c r="AS2429" s="21"/>
      <c r="AT2429" s="12" t="str">
        <f>HYPERLINK("http://www.openstreetmap.org/?mlat=34.0466&amp;mlon=44.22&amp;zoom=12#map=12/34.0466/44.22","Maplink1")</f>
        <v>Maplink1</v>
      </c>
      <c r="AU2429" s="12" t="str">
        <f>HYPERLINK("https://www.google.iq/maps/search/+34.0466,44.22/@34.0466,44.22,14z?hl=en","Maplink2")</f>
        <v>Maplink2</v>
      </c>
      <c r="AV2429" s="12" t="str">
        <f>HYPERLINK("http://www.bing.com/maps/?lvl=14&amp;sty=h&amp;cp=34.0466~44.22&amp;sp=point.34.0466_44.22","Maplink3")</f>
        <v>Maplink3</v>
      </c>
    </row>
    <row r="2430" spans="1:48" ht="15" customHeight="1" x14ac:dyDescent="0.25">
      <c r="A2430" s="19">
        <v>20921</v>
      </c>
      <c r="B2430" s="20" t="s">
        <v>23</v>
      </c>
      <c r="C2430" s="20" t="s">
        <v>4312</v>
      </c>
      <c r="D2430" s="20" t="s">
        <v>5681</v>
      </c>
      <c r="E2430" s="20" t="s">
        <v>4320</v>
      </c>
      <c r="F2430" s="20">
        <v>34.023355899999999</v>
      </c>
      <c r="G2430" s="20">
        <v>44.212505</v>
      </c>
      <c r="H2430" s="22">
        <v>210</v>
      </c>
      <c r="I2430" s="22">
        <v>1260</v>
      </c>
      <c r="J2430" s="21"/>
      <c r="K2430" s="21"/>
      <c r="L2430" s="21"/>
      <c r="M2430" s="21"/>
      <c r="N2430" s="21"/>
      <c r="O2430" s="21"/>
      <c r="P2430" s="21"/>
      <c r="Q2430" s="21"/>
      <c r="R2430" s="21">
        <v>70</v>
      </c>
      <c r="S2430" s="21"/>
      <c r="T2430" s="21"/>
      <c r="U2430" s="21"/>
      <c r="V2430" s="21"/>
      <c r="W2430" s="21"/>
      <c r="X2430" s="21">
        <v>140</v>
      </c>
      <c r="Y2430" s="21"/>
      <c r="Z2430" s="21"/>
      <c r="AA2430" s="21"/>
      <c r="AB2430" s="21"/>
      <c r="AC2430" s="21"/>
      <c r="AD2430" s="21"/>
      <c r="AE2430" s="21"/>
      <c r="AF2430" s="21"/>
      <c r="AG2430" s="21"/>
      <c r="AH2430" s="21">
        <v>210</v>
      </c>
      <c r="AI2430" s="21"/>
      <c r="AJ2430" s="21"/>
      <c r="AK2430" s="21"/>
      <c r="AL2430" s="21"/>
      <c r="AM2430" s="21"/>
      <c r="AN2430" s="21"/>
      <c r="AO2430" s="21">
        <v>140</v>
      </c>
      <c r="AP2430" s="21"/>
      <c r="AQ2430" s="21">
        <v>30</v>
      </c>
      <c r="AR2430" s="21">
        <v>40</v>
      </c>
      <c r="AS2430" s="21"/>
      <c r="AT2430" s="12" t="str">
        <f>HYPERLINK("http://www.openstreetmap.org/?mlat=34.0234&amp;mlon=44.2125&amp;zoom=12#map=12/34.0234/44.2125","Maplink1")</f>
        <v>Maplink1</v>
      </c>
      <c r="AU2430" s="12" t="str">
        <f>HYPERLINK("https://www.google.iq/maps/search/+34.0234,44.2125/@34.0234,44.2125,14z?hl=en","Maplink2")</f>
        <v>Maplink2</v>
      </c>
      <c r="AV2430" s="12" t="str">
        <f>HYPERLINK("http://www.bing.com/maps/?lvl=14&amp;sty=h&amp;cp=34.0234~44.2125&amp;sp=point.34.0234_44.2125","Maplink3")</f>
        <v>Maplink3</v>
      </c>
    </row>
    <row r="2431" spans="1:48" ht="15" customHeight="1" x14ac:dyDescent="0.25">
      <c r="A2431" s="19">
        <v>20771</v>
      </c>
      <c r="B2431" s="20" t="s">
        <v>23</v>
      </c>
      <c r="C2431" s="20" t="s">
        <v>4312</v>
      </c>
      <c r="D2431" s="20" t="s">
        <v>4321</v>
      </c>
      <c r="E2431" s="20" t="s">
        <v>4322</v>
      </c>
      <c r="F2431" s="20">
        <v>34.073441000000003</v>
      </c>
      <c r="G2431" s="20">
        <v>44.140613999999999</v>
      </c>
      <c r="H2431" s="22">
        <v>100</v>
      </c>
      <c r="I2431" s="22">
        <v>600</v>
      </c>
      <c r="J2431" s="21"/>
      <c r="K2431" s="21"/>
      <c r="L2431" s="21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>
        <v>100</v>
      </c>
      <c r="Y2431" s="21"/>
      <c r="Z2431" s="21"/>
      <c r="AA2431" s="21"/>
      <c r="AB2431" s="21"/>
      <c r="AC2431" s="21"/>
      <c r="AD2431" s="21"/>
      <c r="AE2431" s="21"/>
      <c r="AF2431" s="21"/>
      <c r="AG2431" s="21"/>
      <c r="AH2431" s="21">
        <v>100</v>
      </c>
      <c r="AI2431" s="21"/>
      <c r="AJ2431" s="21"/>
      <c r="AK2431" s="21"/>
      <c r="AL2431" s="21"/>
      <c r="AM2431" s="21"/>
      <c r="AN2431" s="21">
        <v>100</v>
      </c>
      <c r="AO2431" s="21"/>
      <c r="AP2431" s="21"/>
      <c r="AQ2431" s="21"/>
      <c r="AR2431" s="21"/>
      <c r="AS2431" s="21"/>
      <c r="AT2431" s="12" t="str">
        <f>HYPERLINK("http://www.openstreetmap.org/?mlat=34.0734&amp;mlon=44.1406&amp;zoom=12#map=12/34.0734/44.1406","Maplink1")</f>
        <v>Maplink1</v>
      </c>
      <c r="AU2431" s="12" t="str">
        <f>HYPERLINK("https://www.google.iq/maps/search/+34.0734,44.1406/@34.0734,44.1406,14z?hl=en","Maplink2")</f>
        <v>Maplink2</v>
      </c>
      <c r="AV2431" s="12" t="str">
        <f>HYPERLINK("http://www.bing.com/maps/?lvl=14&amp;sty=h&amp;cp=34.0734~44.1406&amp;sp=point.34.0734_44.1406","Maplink3")</f>
        <v>Maplink3</v>
      </c>
    </row>
    <row r="2432" spans="1:48" ht="15" customHeight="1" x14ac:dyDescent="0.25">
      <c r="A2432" s="19">
        <v>20767</v>
      </c>
      <c r="B2432" s="20" t="s">
        <v>23</v>
      </c>
      <c r="C2432" s="20" t="s">
        <v>4312</v>
      </c>
      <c r="D2432" s="20" t="s">
        <v>4323</v>
      </c>
      <c r="E2432" s="20" t="s">
        <v>4324</v>
      </c>
      <c r="F2432" s="20">
        <v>34.058075340000002</v>
      </c>
      <c r="G2432" s="20">
        <v>44.217821950000001</v>
      </c>
      <c r="H2432" s="22">
        <v>183</v>
      </c>
      <c r="I2432" s="22">
        <v>1098</v>
      </c>
      <c r="J2432" s="21"/>
      <c r="K2432" s="21"/>
      <c r="L2432" s="21"/>
      <c r="M2432" s="21"/>
      <c r="N2432" s="21"/>
      <c r="O2432" s="21"/>
      <c r="P2432" s="21"/>
      <c r="Q2432" s="21"/>
      <c r="R2432" s="21">
        <v>108</v>
      </c>
      <c r="S2432" s="21"/>
      <c r="T2432" s="21"/>
      <c r="U2432" s="21"/>
      <c r="V2432" s="21"/>
      <c r="W2432" s="21"/>
      <c r="X2432" s="21">
        <v>75</v>
      </c>
      <c r="Y2432" s="21"/>
      <c r="Z2432" s="21"/>
      <c r="AA2432" s="21"/>
      <c r="AB2432" s="21"/>
      <c r="AC2432" s="21"/>
      <c r="AD2432" s="21"/>
      <c r="AE2432" s="21"/>
      <c r="AF2432" s="21"/>
      <c r="AG2432" s="21"/>
      <c r="AH2432" s="21">
        <v>158</v>
      </c>
      <c r="AI2432" s="21">
        <v>25</v>
      </c>
      <c r="AJ2432" s="21"/>
      <c r="AK2432" s="21"/>
      <c r="AL2432" s="21"/>
      <c r="AM2432" s="21"/>
      <c r="AN2432" s="21">
        <v>32</v>
      </c>
      <c r="AO2432" s="21">
        <v>43</v>
      </c>
      <c r="AP2432" s="21"/>
      <c r="AQ2432" s="21"/>
      <c r="AR2432" s="21">
        <v>108</v>
      </c>
      <c r="AS2432" s="21"/>
      <c r="AT2432" s="12" t="str">
        <f>HYPERLINK("http://www.openstreetmap.org/?mlat=34.0581&amp;mlon=44.2178&amp;zoom=12#map=12/34.0581/44.2178","Maplink1")</f>
        <v>Maplink1</v>
      </c>
      <c r="AU2432" s="12" t="str">
        <f>HYPERLINK("https://www.google.iq/maps/search/+34.0581,44.2178/@34.0581,44.2178,14z?hl=en","Maplink2")</f>
        <v>Maplink2</v>
      </c>
      <c r="AV2432" s="12" t="str">
        <f>HYPERLINK("http://www.bing.com/maps/?lvl=14&amp;sty=h&amp;cp=34.0581~44.2178&amp;sp=point.34.0581_44.2178","Maplink3")</f>
        <v>Maplink3</v>
      </c>
    </row>
    <row r="2433" spans="1:48" ht="15" customHeight="1" x14ac:dyDescent="0.25">
      <c r="A2433" s="19">
        <v>33347</v>
      </c>
      <c r="B2433" s="20" t="s">
        <v>23</v>
      </c>
      <c r="C2433" s="20" t="s">
        <v>4312</v>
      </c>
      <c r="D2433" s="20" t="s">
        <v>5811</v>
      </c>
      <c r="E2433" s="20" t="s">
        <v>5812</v>
      </c>
      <c r="F2433" s="20">
        <v>33.956004</v>
      </c>
      <c r="G2433" s="20">
        <v>44.155814999999997</v>
      </c>
      <c r="H2433" s="22">
        <v>63</v>
      </c>
      <c r="I2433" s="22">
        <v>378</v>
      </c>
      <c r="J2433" s="21"/>
      <c r="K2433" s="21"/>
      <c r="L2433" s="21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>
        <v>63</v>
      </c>
      <c r="Y2433" s="21"/>
      <c r="Z2433" s="21"/>
      <c r="AA2433" s="21"/>
      <c r="AB2433" s="21"/>
      <c r="AC2433" s="21"/>
      <c r="AD2433" s="21"/>
      <c r="AE2433" s="21"/>
      <c r="AF2433" s="21"/>
      <c r="AG2433" s="21"/>
      <c r="AH2433" s="21">
        <v>63</v>
      </c>
      <c r="AI2433" s="21"/>
      <c r="AJ2433" s="21"/>
      <c r="AK2433" s="21"/>
      <c r="AL2433" s="21"/>
      <c r="AM2433" s="21">
        <v>63</v>
      </c>
      <c r="AN2433" s="21"/>
      <c r="AO2433" s="21"/>
      <c r="AP2433" s="21"/>
      <c r="AQ2433" s="21"/>
      <c r="AR2433" s="21"/>
      <c r="AS2433" s="21"/>
      <c r="AT2433" s="12" t="str">
        <f>HYPERLINK("http://www.openstreetmap.org/?mlat=33.956&amp;mlon=44.1558&amp;zoom=12#map=12/33.956/44.1558","Maplink1")</f>
        <v>Maplink1</v>
      </c>
      <c r="AU2433" s="12" t="str">
        <f>HYPERLINK("https://www.google.iq/maps/search/+33.956,44.1558/@33.956,44.1558,14z?hl=en","Maplink2")</f>
        <v>Maplink2</v>
      </c>
      <c r="AV2433" s="12" t="str">
        <f>HYPERLINK("http://www.bing.com/maps/?lvl=14&amp;sty=h&amp;cp=33.956~44.1558&amp;sp=point.33.956_44.1558","Maplink3")</f>
        <v>Maplink3</v>
      </c>
    </row>
    <row r="2434" spans="1:48" ht="15" customHeight="1" x14ac:dyDescent="0.25">
      <c r="A2434" s="19">
        <v>20773</v>
      </c>
      <c r="B2434" s="20" t="s">
        <v>23</v>
      </c>
      <c r="C2434" s="20" t="s">
        <v>4312</v>
      </c>
      <c r="D2434" s="20" t="s">
        <v>4325</v>
      </c>
      <c r="E2434" s="20" t="s">
        <v>4326</v>
      </c>
      <c r="F2434" s="20">
        <v>34.026709490000002</v>
      </c>
      <c r="G2434" s="20">
        <v>44.281843780000003</v>
      </c>
      <c r="H2434" s="22">
        <v>237</v>
      </c>
      <c r="I2434" s="22">
        <v>1422</v>
      </c>
      <c r="J2434" s="21"/>
      <c r="K2434" s="21"/>
      <c r="L2434" s="21"/>
      <c r="M2434" s="21"/>
      <c r="N2434" s="21"/>
      <c r="O2434" s="21"/>
      <c r="P2434" s="21"/>
      <c r="Q2434" s="21"/>
      <c r="R2434" s="21">
        <v>50</v>
      </c>
      <c r="S2434" s="21"/>
      <c r="T2434" s="21"/>
      <c r="U2434" s="21"/>
      <c r="V2434" s="21"/>
      <c r="W2434" s="21"/>
      <c r="X2434" s="21">
        <v>187</v>
      </c>
      <c r="Y2434" s="21"/>
      <c r="Z2434" s="21"/>
      <c r="AA2434" s="21"/>
      <c r="AB2434" s="21"/>
      <c r="AC2434" s="21"/>
      <c r="AD2434" s="21"/>
      <c r="AE2434" s="21"/>
      <c r="AF2434" s="21"/>
      <c r="AG2434" s="21"/>
      <c r="AH2434" s="21">
        <v>199</v>
      </c>
      <c r="AI2434" s="21"/>
      <c r="AJ2434" s="21">
        <v>38</v>
      </c>
      <c r="AK2434" s="21"/>
      <c r="AL2434" s="21"/>
      <c r="AM2434" s="21">
        <v>87</v>
      </c>
      <c r="AN2434" s="21">
        <v>100</v>
      </c>
      <c r="AO2434" s="21"/>
      <c r="AP2434" s="21"/>
      <c r="AQ2434" s="21"/>
      <c r="AR2434" s="21">
        <v>50</v>
      </c>
      <c r="AS2434" s="21"/>
      <c r="AT2434" s="12" t="str">
        <f>HYPERLINK("http://www.openstreetmap.org/?mlat=34.0267&amp;mlon=44.2818&amp;zoom=12#map=12/34.0267/44.2818","Maplink1")</f>
        <v>Maplink1</v>
      </c>
      <c r="AU2434" s="12" t="str">
        <f>HYPERLINK("https://www.google.iq/maps/search/+34.0267,44.2818/@34.0267,44.2818,14z?hl=en","Maplink2")</f>
        <v>Maplink2</v>
      </c>
      <c r="AV2434" s="12" t="str">
        <f>HYPERLINK("http://www.bing.com/maps/?lvl=14&amp;sty=h&amp;cp=34.0267~44.2818&amp;sp=point.34.0267_44.2818","Maplink3")</f>
        <v>Maplink3</v>
      </c>
    </row>
    <row r="2435" spans="1:48" ht="15" customHeight="1" x14ac:dyDescent="0.25">
      <c r="A2435" s="19">
        <v>29601</v>
      </c>
      <c r="B2435" s="20" t="s">
        <v>23</v>
      </c>
      <c r="C2435" s="20" t="s">
        <v>4312</v>
      </c>
      <c r="D2435" s="20" t="s">
        <v>4327</v>
      </c>
      <c r="E2435" s="20" t="s">
        <v>4328</v>
      </c>
      <c r="F2435" s="20">
        <v>34.048566999999998</v>
      </c>
      <c r="G2435" s="20">
        <v>43.982852000000001</v>
      </c>
      <c r="H2435" s="22">
        <v>73</v>
      </c>
      <c r="I2435" s="22">
        <v>438</v>
      </c>
      <c r="J2435" s="21"/>
      <c r="K2435" s="21"/>
      <c r="L2435" s="21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>
        <v>73</v>
      </c>
      <c r="Y2435" s="21"/>
      <c r="Z2435" s="21"/>
      <c r="AA2435" s="21"/>
      <c r="AB2435" s="21">
        <v>73</v>
      </c>
      <c r="AC2435" s="21"/>
      <c r="AD2435" s="21"/>
      <c r="AE2435" s="21"/>
      <c r="AF2435" s="21"/>
      <c r="AG2435" s="21"/>
      <c r="AH2435" s="21"/>
      <c r="AI2435" s="21"/>
      <c r="AJ2435" s="21"/>
      <c r="AK2435" s="21"/>
      <c r="AL2435" s="21"/>
      <c r="AM2435" s="21"/>
      <c r="AN2435" s="21"/>
      <c r="AO2435" s="21">
        <v>73</v>
      </c>
      <c r="AP2435" s="21"/>
      <c r="AQ2435" s="21"/>
      <c r="AR2435" s="21"/>
      <c r="AS2435" s="21"/>
      <c r="AT2435" s="12" t="str">
        <f>HYPERLINK("http://www.openstreetmap.org/?mlat=34.0486&amp;mlon=43.9829&amp;zoom=12#map=12/34.0486/43.9829","Maplink1")</f>
        <v>Maplink1</v>
      </c>
      <c r="AU2435" s="12" t="str">
        <f>HYPERLINK("https://www.google.iq/maps/search/+34.0486,43.9829/@34.0486,43.9829,14z?hl=en","Maplink2")</f>
        <v>Maplink2</v>
      </c>
      <c r="AV2435" s="12" t="str">
        <f>HYPERLINK("http://www.bing.com/maps/?lvl=14&amp;sty=h&amp;cp=34.0486~43.9829&amp;sp=point.34.0486_43.9829","Maplink3")</f>
        <v>Maplink3</v>
      </c>
    </row>
    <row r="2436" spans="1:48" ht="15" customHeight="1" x14ac:dyDescent="0.25">
      <c r="A2436" s="19">
        <v>26021</v>
      </c>
      <c r="B2436" s="20" t="s">
        <v>23</v>
      </c>
      <c r="C2436" s="20" t="s">
        <v>4312</v>
      </c>
      <c r="D2436" s="20" t="s">
        <v>4329</v>
      </c>
      <c r="E2436" s="20" t="s">
        <v>4330</v>
      </c>
      <c r="F2436" s="20">
        <v>34.075593589999997</v>
      </c>
      <c r="G2436" s="20">
        <v>44.28724493</v>
      </c>
      <c r="H2436" s="22">
        <v>73</v>
      </c>
      <c r="I2436" s="22">
        <v>438</v>
      </c>
      <c r="J2436" s="21"/>
      <c r="K2436" s="21"/>
      <c r="L2436" s="21"/>
      <c r="M2436" s="21"/>
      <c r="N2436" s="21"/>
      <c r="O2436" s="21"/>
      <c r="P2436" s="21"/>
      <c r="Q2436" s="21"/>
      <c r="R2436" s="21">
        <v>5</v>
      </c>
      <c r="S2436" s="21"/>
      <c r="T2436" s="21"/>
      <c r="U2436" s="21"/>
      <c r="V2436" s="21"/>
      <c r="W2436" s="21"/>
      <c r="X2436" s="21">
        <v>68</v>
      </c>
      <c r="Y2436" s="21"/>
      <c r="Z2436" s="21"/>
      <c r="AA2436" s="21"/>
      <c r="AB2436" s="21"/>
      <c r="AC2436" s="21">
        <v>5</v>
      </c>
      <c r="AD2436" s="21"/>
      <c r="AE2436" s="21"/>
      <c r="AF2436" s="21"/>
      <c r="AG2436" s="21"/>
      <c r="AH2436" s="21">
        <v>68</v>
      </c>
      <c r="AI2436" s="21"/>
      <c r="AJ2436" s="21"/>
      <c r="AK2436" s="21"/>
      <c r="AL2436" s="21"/>
      <c r="AM2436" s="21"/>
      <c r="AN2436" s="21">
        <v>13</v>
      </c>
      <c r="AO2436" s="21">
        <v>55</v>
      </c>
      <c r="AP2436" s="21"/>
      <c r="AQ2436" s="21"/>
      <c r="AR2436" s="21">
        <v>5</v>
      </c>
      <c r="AS2436" s="21"/>
      <c r="AT2436" s="12" t="str">
        <f>HYPERLINK("http://www.openstreetmap.org/?mlat=34.0756&amp;mlon=44.2872&amp;zoom=12#map=12/34.0756/44.2872","Maplink1")</f>
        <v>Maplink1</v>
      </c>
      <c r="AU2436" s="12" t="str">
        <f>HYPERLINK("https://www.google.iq/maps/search/+34.0756,44.2872/@34.0756,44.2872,14z?hl=en","Maplink2")</f>
        <v>Maplink2</v>
      </c>
      <c r="AV2436" s="12" t="str">
        <f>HYPERLINK("http://www.bing.com/maps/?lvl=14&amp;sty=h&amp;cp=34.0756~44.2872&amp;sp=point.34.0756_44.2872","Maplink3")</f>
        <v>Maplink3</v>
      </c>
    </row>
    <row r="2437" spans="1:48" ht="15" customHeight="1" x14ac:dyDescent="0.25">
      <c r="A2437" s="19">
        <v>22065</v>
      </c>
      <c r="B2437" s="20" t="s">
        <v>23</v>
      </c>
      <c r="C2437" s="20" t="s">
        <v>4312</v>
      </c>
      <c r="D2437" s="20" t="s">
        <v>4331</v>
      </c>
      <c r="E2437" s="20" t="s">
        <v>4332</v>
      </c>
      <c r="F2437" s="20">
        <v>34.049490609999999</v>
      </c>
      <c r="G2437" s="20">
        <v>43.987108710000001</v>
      </c>
      <c r="H2437" s="22">
        <v>134</v>
      </c>
      <c r="I2437" s="22">
        <v>804</v>
      </c>
      <c r="J2437" s="21"/>
      <c r="K2437" s="21"/>
      <c r="L2437" s="21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>
        <v>134</v>
      </c>
      <c r="Y2437" s="21"/>
      <c r="Z2437" s="21"/>
      <c r="AA2437" s="21"/>
      <c r="AB2437" s="21"/>
      <c r="AC2437" s="21"/>
      <c r="AD2437" s="21"/>
      <c r="AE2437" s="21"/>
      <c r="AF2437" s="21"/>
      <c r="AG2437" s="21"/>
      <c r="AH2437" s="21">
        <v>134</v>
      </c>
      <c r="AI2437" s="21"/>
      <c r="AJ2437" s="21"/>
      <c r="AK2437" s="21"/>
      <c r="AL2437" s="21"/>
      <c r="AM2437" s="21"/>
      <c r="AN2437" s="21">
        <v>43</v>
      </c>
      <c r="AO2437" s="21">
        <v>91</v>
      </c>
      <c r="AP2437" s="21"/>
      <c r="AQ2437" s="21"/>
      <c r="AR2437" s="21"/>
      <c r="AS2437" s="21"/>
      <c r="AT2437" s="12" t="str">
        <f>HYPERLINK("http://www.openstreetmap.org/?mlat=34.0495&amp;mlon=43.9871&amp;zoom=12#map=12/34.0495/43.9871","Maplink1")</f>
        <v>Maplink1</v>
      </c>
      <c r="AU2437" s="12" t="str">
        <f>HYPERLINK("https://www.google.iq/maps/search/+34.0495,43.9871/@34.0495,43.9871,14z?hl=en","Maplink2")</f>
        <v>Maplink2</v>
      </c>
      <c r="AV2437" s="12" t="str">
        <f>HYPERLINK("http://www.bing.com/maps/?lvl=14&amp;sty=h&amp;cp=34.0495~43.9871&amp;sp=point.34.0495_43.9871","Maplink3")</f>
        <v>Maplink3</v>
      </c>
    </row>
    <row r="2438" spans="1:48" ht="15" customHeight="1" x14ac:dyDescent="0.25">
      <c r="A2438" s="19">
        <v>21589</v>
      </c>
      <c r="B2438" s="20" t="s">
        <v>23</v>
      </c>
      <c r="C2438" s="20" t="s">
        <v>4333</v>
      </c>
      <c r="D2438" s="20" t="s">
        <v>4334</v>
      </c>
      <c r="E2438" s="20" t="s">
        <v>4335</v>
      </c>
      <c r="F2438" s="20">
        <v>34.201600429999999</v>
      </c>
      <c r="G2438" s="20">
        <v>43.892763160000001</v>
      </c>
      <c r="H2438" s="22">
        <v>71</v>
      </c>
      <c r="I2438" s="22">
        <v>426</v>
      </c>
      <c r="J2438" s="21"/>
      <c r="K2438" s="21"/>
      <c r="L2438" s="21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>
        <v>71</v>
      </c>
      <c r="Y2438" s="21"/>
      <c r="Z2438" s="21"/>
      <c r="AA2438" s="21"/>
      <c r="AB2438" s="21"/>
      <c r="AC2438" s="21">
        <v>2</v>
      </c>
      <c r="AD2438" s="21"/>
      <c r="AE2438" s="21"/>
      <c r="AF2438" s="21"/>
      <c r="AG2438" s="21"/>
      <c r="AH2438" s="21">
        <v>29</v>
      </c>
      <c r="AI2438" s="21"/>
      <c r="AJ2438" s="21">
        <v>40</v>
      </c>
      <c r="AK2438" s="21"/>
      <c r="AL2438" s="21"/>
      <c r="AM2438" s="21"/>
      <c r="AN2438" s="21"/>
      <c r="AO2438" s="21">
        <v>30</v>
      </c>
      <c r="AP2438" s="21">
        <v>41</v>
      </c>
      <c r="AQ2438" s="21"/>
      <c r="AR2438" s="21"/>
      <c r="AS2438" s="21"/>
      <c r="AT2438" s="12" t="str">
        <f>HYPERLINK("http://www.openstreetmap.org/?mlat=34.2016&amp;mlon=43.8928&amp;zoom=12#map=12/34.2016/43.8928","Maplink1")</f>
        <v>Maplink1</v>
      </c>
      <c r="AU2438" s="12" t="str">
        <f>HYPERLINK("https://www.google.iq/maps/search/+34.2016,43.8928/@34.2016,43.8928,14z?hl=en","Maplink2")</f>
        <v>Maplink2</v>
      </c>
      <c r="AV2438" s="12" t="str">
        <f>HYPERLINK("http://www.bing.com/maps/?lvl=14&amp;sty=h&amp;cp=34.2016~43.8928&amp;sp=point.34.2016_43.8928","Maplink3")</f>
        <v>Maplink3</v>
      </c>
    </row>
    <row r="2439" spans="1:48" ht="15" customHeight="1" x14ac:dyDescent="0.25">
      <c r="A2439" s="19">
        <v>23876</v>
      </c>
      <c r="B2439" s="20" t="s">
        <v>23</v>
      </c>
      <c r="C2439" s="20" t="s">
        <v>4333</v>
      </c>
      <c r="D2439" s="20" t="s">
        <v>4336</v>
      </c>
      <c r="E2439" s="20" t="s">
        <v>4337</v>
      </c>
      <c r="F2439" s="20">
        <v>34.186432080000003</v>
      </c>
      <c r="G2439" s="20">
        <v>43.895916270000001</v>
      </c>
      <c r="H2439" s="22">
        <v>186</v>
      </c>
      <c r="I2439" s="22">
        <v>1116</v>
      </c>
      <c r="J2439" s="21"/>
      <c r="K2439" s="21"/>
      <c r="L2439" s="21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>
        <v>186</v>
      </c>
      <c r="Y2439" s="21"/>
      <c r="Z2439" s="21"/>
      <c r="AA2439" s="21"/>
      <c r="AB2439" s="21"/>
      <c r="AC2439" s="21">
        <v>6</v>
      </c>
      <c r="AD2439" s="21"/>
      <c r="AE2439" s="21">
        <v>24</v>
      </c>
      <c r="AF2439" s="21"/>
      <c r="AG2439" s="21"/>
      <c r="AH2439" s="21">
        <v>111</v>
      </c>
      <c r="AI2439" s="21">
        <v>39</v>
      </c>
      <c r="AJ2439" s="21">
        <v>6</v>
      </c>
      <c r="AK2439" s="21"/>
      <c r="AL2439" s="21"/>
      <c r="AM2439" s="21">
        <v>20</v>
      </c>
      <c r="AN2439" s="21">
        <v>154</v>
      </c>
      <c r="AO2439" s="21">
        <v>12</v>
      </c>
      <c r="AP2439" s="21"/>
      <c r="AQ2439" s="21"/>
      <c r="AR2439" s="21"/>
      <c r="AS2439" s="21"/>
      <c r="AT2439" s="12" t="str">
        <f>HYPERLINK("http://www.openstreetmap.org/?mlat=34.1864&amp;mlon=43.8959&amp;zoom=12#map=12/34.1864/43.8959","Maplink1")</f>
        <v>Maplink1</v>
      </c>
      <c r="AU2439" s="12" t="str">
        <f>HYPERLINK("https://www.google.iq/maps/search/+34.1864,43.8959/@34.1864,43.8959,14z?hl=en","Maplink2")</f>
        <v>Maplink2</v>
      </c>
      <c r="AV2439" s="12" t="str">
        <f>HYPERLINK("http://www.bing.com/maps/?lvl=14&amp;sty=h&amp;cp=34.1864~43.8959&amp;sp=point.34.1864_43.8959","Maplink3")</f>
        <v>Maplink3</v>
      </c>
    </row>
    <row r="2440" spans="1:48" ht="15" customHeight="1" x14ac:dyDescent="0.25">
      <c r="A2440" s="19">
        <v>21588</v>
      </c>
      <c r="B2440" s="20" t="s">
        <v>23</v>
      </c>
      <c r="C2440" s="20" t="s">
        <v>4333</v>
      </c>
      <c r="D2440" s="20" t="s">
        <v>4338</v>
      </c>
      <c r="E2440" s="20" t="s">
        <v>4339</v>
      </c>
      <c r="F2440" s="20">
        <v>34.185839016000003</v>
      </c>
      <c r="G2440" s="20">
        <v>43.900668723499997</v>
      </c>
      <c r="H2440" s="22">
        <v>476</v>
      </c>
      <c r="I2440" s="22">
        <v>2856</v>
      </c>
      <c r="J2440" s="21"/>
      <c r="K2440" s="21"/>
      <c r="L2440" s="21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>
        <v>476</v>
      </c>
      <c r="Y2440" s="21"/>
      <c r="Z2440" s="21"/>
      <c r="AA2440" s="21"/>
      <c r="AB2440" s="21"/>
      <c r="AC2440" s="21">
        <v>12</v>
      </c>
      <c r="AD2440" s="21"/>
      <c r="AE2440" s="21">
        <v>18</v>
      </c>
      <c r="AF2440" s="21"/>
      <c r="AG2440" s="21"/>
      <c r="AH2440" s="21">
        <v>96</v>
      </c>
      <c r="AI2440" s="21"/>
      <c r="AJ2440" s="21">
        <v>350</v>
      </c>
      <c r="AK2440" s="21"/>
      <c r="AL2440" s="21"/>
      <c r="AM2440" s="21">
        <v>160</v>
      </c>
      <c r="AN2440" s="21">
        <v>73</v>
      </c>
      <c r="AO2440" s="21">
        <v>60</v>
      </c>
      <c r="AP2440" s="21">
        <v>183</v>
      </c>
      <c r="AQ2440" s="21"/>
      <c r="AR2440" s="21"/>
      <c r="AS2440" s="21"/>
      <c r="AT2440" s="12" t="str">
        <f>HYPERLINK("http://www.openstreetmap.org/?mlat=34.1858&amp;mlon=43.9007&amp;zoom=12#map=12/34.1858/43.9007","Maplink1")</f>
        <v>Maplink1</v>
      </c>
      <c r="AU2440" s="12" t="str">
        <f>HYPERLINK("https://www.google.iq/maps/search/+34.1858,43.9007/@34.1858,43.9007,14z?hl=en","Maplink2")</f>
        <v>Maplink2</v>
      </c>
      <c r="AV2440" s="12" t="str">
        <f>HYPERLINK("http://www.bing.com/maps/?lvl=14&amp;sty=h&amp;cp=34.1858~43.9007&amp;sp=point.34.1858_43.9007","Maplink3")</f>
        <v>Maplink3</v>
      </c>
    </row>
    <row r="2441" spans="1:48" ht="15" customHeight="1" x14ac:dyDescent="0.25">
      <c r="A2441" s="19">
        <v>25518</v>
      </c>
      <c r="B2441" s="20" t="s">
        <v>23</v>
      </c>
      <c r="C2441" s="20" t="s">
        <v>4333</v>
      </c>
      <c r="D2441" s="20" t="s">
        <v>4340</v>
      </c>
      <c r="E2441" s="20" t="s">
        <v>4341</v>
      </c>
      <c r="F2441" s="20">
        <v>34.194386838900002</v>
      </c>
      <c r="G2441" s="20">
        <v>43.871555691600001</v>
      </c>
      <c r="H2441" s="22">
        <v>62</v>
      </c>
      <c r="I2441" s="22">
        <v>372</v>
      </c>
      <c r="J2441" s="21"/>
      <c r="K2441" s="21"/>
      <c r="L2441" s="21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>
        <v>62</v>
      </c>
      <c r="Y2441" s="21"/>
      <c r="Z2441" s="21"/>
      <c r="AA2441" s="21"/>
      <c r="AB2441" s="21"/>
      <c r="AC2441" s="21"/>
      <c r="AD2441" s="21"/>
      <c r="AE2441" s="21"/>
      <c r="AF2441" s="21"/>
      <c r="AG2441" s="21"/>
      <c r="AH2441" s="21">
        <v>62</v>
      </c>
      <c r="AI2441" s="21"/>
      <c r="AJ2441" s="21"/>
      <c r="AK2441" s="21"/>
      <c r="AL2441" s="21">
        <v>2</v>
      </c>
      <c r="AM2441" s="21">
        <v>11</v>
      </c>
      <c r="AN2441" s="21">
        <v>37</v>
      </c>
      <c r="AO2441" s="21">
        <v>8</v>
      </c>
      <c r="AP2441" s="21">
        <v>4</v>
      </c>
      <c r="AQ2441" s="21"/>
      <c r="AR2441" s="21"/>
      <c r="AS2441" s="21"/>
      <c r="AT2441" s="12" t="str">
        <f>HYPERLINK("http://www.openstreetmap.org/?mlat=34.1944&amp;mlon=43.8716&amp;zoom=12#map=12/34.1944/43.8716","Maplink1")</f>
        <v>Maplink1</v>
      </c>
      <c r="AU2441" s="12" t="str">
        <f>HYPERLINK("https://www.google.iq/maps/search/+34.1944,43.8716/@34.1944,43.8716,14z?hl=en","Maplink2")</f>
        <v>Maplink2</v>
      </c>
      <c r="AV2441" s="12" t="str">
        <f>HYPERLINK("http://www.bing.com/maps/?lvl=14&amp;sty=h&amp;cp=34.1944~43.8716&amp;sp=point.34.1944_43.8716","Maplink3")</f>
        <v>Maplink3</v>
      </c>
    </row>
    <row r="2442" spans="1:48" ht="15" customHeight="1" x14ac:dyDescent="0.25">
      <c r="A2442" s="19">
        <v>21723</v>
      </c>
      <c r="B2442" s="20" t="s">
        <v>23</v>
      </c>
      <c r="C2442" s="20" t="s">
        <v>4333</v>
      </c>
      <c r="D2442" s="20" t="s">
        <v>4342</v>
      </c>
      <c r="E2442" s="20" t="s">
        <v>4343</v>
      </c>
      <c r="F2442" s="20">
        <v>34.182769980000003</v>
      </c>
      <c r="G2442" s="20">
        <v>43.857258430000002</v>
      </c>
      <c r="H2442" s="22">
        <v>210</v>
      </c>
      <c r="I2442" s="22">
        <v>1260</v>
      </c>
      <c r="J2442" s="21"/>
      <c r="K2442" s="21"/>
      <c r="L2442" s="21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>
        <v>16</v>
      </c>
      <c r="W2442" s="21"/>
      <c r="X2442" s="21">
        <v>194</v>
      </c>
      <c r="Y2442" s="21"/>
      <c r="Z2442" s="21"/>
      <c r="AA2442" s="21"/>
      <c r="AB2442" s="21"/>
      <c r="AC2442" s="21"/>
      <c r="AD2442" s="21"/>
      <c r="AE2442" s="21"/>
      <c r="AF2442" s="21"/>
      <c r="AG2442" s="21"/>
      <c r="AH2442" s="21">
        <v>170</v>
      </c>
      <c r="AI2442" s="21"/>
      <c r="AJ2442" s="21">
        <v>40</v>
      </c>
      <c r="AK2442" s="21"/>
      <c r="AL2442" s="21">
        <v>10</v>
      </c>
      <c r="AM2442" s="21">
        <v>69</v>
      </c>
      <c r="AN2442" s="21"/>
      <c r="AO2442" s="21"/>
      <c r="AP2442" s="21">
        <v>115</v>
      </c>
      <c r="AQ2442" s="21"/>
      <c r="AR2442" s="21">
        <v>16</v>
      </c>
      <c r="AS2442" s="21"/>
      <c r="AT2442" s="12" t="str">
        <f>HYPERLINK("http://www.openstreetmap.org/?mlat=34.1828&amp;mlon=43.8573&amp;zoom=12#map=12/34.1828/43.8573","Maplink1")</f>
        <v>Maplink1</v>
      </c>
      <c r="AU2442" s="12" t="str">
        <f>HYPERLINK("https://www.google.iq/maps/search/+34.1828,43.8573/@34.1828,43.8573,14z?hl=en","Maplink2")</f>
        <v>Maplink2</v>
      </c>
      <c r="AV2442" s="12" t="str">
        <f>HYPERLINK("http://www.bing.com/maps/?lvl=14&amp;sty=h&amp;cp=34.1828~43.8573&amp;sp=point.34.1828_43.8573","Maplink3")</f>
        <v>Maplink3</v>
      </c>
    </row>
    <row r="2443" spans="1:48" ht="15" customHeight="1" x14ac:dyDescent="0.25">
      <c r="A2443" s="19">
        <v>23781</v>
      </c>
      <c r="B2443" s="20" t="s">
        <v>23</v>
      </c>
      <c r="C2443" s="20" t="s">
        <v>4333</v>
      </c>
      <c r="D2443" s="20" t="s">
        <v>4344</v>
      </c>
      <c r="E2443" s="20" t="s">
        <v>5682</v>
      </c>
      <c r="F2443" s="20">
        <v>34.078364241899997</v>
      </c>
      <c r="G2443" s="20">
        <v>44.054400203699998</v>
      </c>
      <c r="H2443" s="22">
        <v>9</v>
      </c>
      <c r="I2443" s="22">
        <v>54</v>
      </c>
      <c r="J2443" s="21"/>
      <c r="K2443" s="21"/>
      <c r="L2443" s="21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>
        <v>9</v>
      </c>
      <c r="Y2443" s="21"/>
      <c r="Z2443" s="21"/>
      <c r="AA2443" s="21"/>
      <c r="AB2443" s="21"/>
      <c r="AC2443" s="21"/>
      <c r="AD2443" s="21"/>
      <c r="AE2443" s="21"/>
      <c r="AF2443" s="21"/>
      <c r="AG2443" s="21"/>
      <c r="AH2443" s="21">
        <v>9</v>
      </c>
      <c r="AI2443" s="21"/>
      <c r="AJ2443" s="21"/>
      <c r="AK2443" s="21"/>
      <c r="AL2443" s="21"/>
      <c r="AM2443" s="21"/>
      <c r="AN2443" s="21">
        <v>9</v>
      </c>
      <c r="AO2443" s="21"/>
      <c r="AP2443" s="21"/>
      <c r="AQ2443" s="21"/>
      <c r="AR2443" s="21"/>
      <c r="AS2443" s="21"/>
      <c r="AT2443" s="12" t="str">
        <f>HYPERLINK("http://www.openstreetmap.org/?mlat=34.0784&amp;mlon=44.0544&amp;zoom=12#map=12/34.0784/44.0544","Maplink1")</f>
        <v>Maplink1</v>
      </c>
      <c r="AU2443" s="12" t="str">
        <f>HYPERLINK("https://www.google.iq/maps/search/+34.0784,44.0544/@34.0784,44.0544,14z?hl=en","Maplink2")</f>
        <v>Maplink2</v>
      </c>
      <c r="AV2443" s="12" t="str">
        <f>HYPERLINK("http://www.bing.com/maps/?lvl=14&amp;sty=h&amp;cp=34.0784~44.0544&amp;sp=point.34.0784_44.0544","Maplink3")</f>
        <v>Maplink3</v>
      </c>
    </row>
    <row r="2444" spans="1:48" ht="15" customHeight="1" x14ac:dyDescent="0.25">
      <c r="A2444" s="19">
        <v>20695</v>
      </c>
      <c r="B2444" s="20" t="s">
        <v>23</v>
      </c>
      <c r="C2444" s="20" t="s">
        <v>4333</v>
      </c>
      <c r="D2444" s="20" t="s">
        <v>4345</v>
      </c>
      <c r="E2444" s="20" t="s">
        <v>4346</v>
      </c>
      <c r="F2444" s="20">
        <v>34.309098212999999</v>
      </c>
      <c r="G2444" s="20">
        <v>43.779920367499997</v>
      </c>
      <c r="H2444" s="22">
        <v>295</v>
      </c>
      <c r="I2444" s="22">
        <v>1770</v>
      </c>
      <c r="J2444" s="21"/>
      <c r="K2444" s="21"/>
      <c r="L2444" s="21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>
        <v>295</v>
      </c>
      <c r="Y2444" s="21"/>
      <c r="Z2444" s="21"/>
      <c r="AA2444" s="21"/>
      <c r="AB2444" s="21"/>
      <c r="AC2444" s="21">
        <v>73</v>
      </c>
      <c r="AD2444" s="21"/>
      <c r="AE2444" s="21">
        <v>142</v>
      </c>
      <c r="AF2444" s="21"/>
      <c r="AG2444" s="21"/>
      <c r="AH2444" s="21">
        <v>46</v>
      </c>
      <c r="AI2444" s="21"/>
      <c r="AJ2444" s="21">
        <v>34</v>
      </c>
      <c r="AK2444" s="21"/>
      <c r="AL2444" s="21"/>
      <c r="AM2444" s="21"/>
      <c r="AN2444" s="21"/>
      <c r="AO2444" s="21"/>
      <c r="AP2444" s="21">
        <v>280</v>
      </c>
      <c r="AQ2444" s="21">
        <v>15</v>
      </c>
      <c r="AR2444" s="21"/>
      <c r="AS2444" s="21"/>
      <c r="AT2444" s="12" t="str">
        <f>HYPERLINK("http://www.openstreetmap.org/?mlat=34.3091&amp;mlon=43.7799&amp;zoom=12#map=12/34.3091/43.7799","Maplink1")</f>
        <v>Maplink1</v>
      </c>
      <c r="AU2444" s="12" t="str">
        <f>HYPERLINK("https://www.google.iq/maps/search/+34.3091,43.7799/@34.3091,43.7799,14z?hl=en","Maplink2")</f>
        <v>Maplink2</v>
      </c>
      <c r="AV2444" s="12" t="str">
        <f>HYPERLINK("http://www.bing.com/maps/?lvl=14&amp;sty=h&amp;cp=34.3091~43.7799&amp;sp=point.34.3091_43.7799","Maplink3")</f>
        <v>Maplink3</v>
      </c>
    </row>
    <row r="2445" spans="1:48" ht="15" customHeight="1" x14ac:dyDescent="0.25">
      <c r="A2445" s="19">
        <v>20675</v>
      </c>
      <c r="B2445" s="20" t="s">
        <v>23</v>
      </c>
      <c r="C2445" s="20" t="s">
        <v>4333</v>
      </c>
      <c r="D2445" s="20" t="s">
        <v>4347</v>
      </c>
      <c r="E2445" s="20" t="s">
        <v>4348</v>
      </c>
      <c r="F2445" s="20">
        <v>34.208181310000001</v>
      </c>
      <c r="G2445" s="20">
        <v>43.906555500000003</v>
      </c>
      <c r="H2445" s="22">
        <v>244</v>
      </c>
      <c r="I2445" s="22">
        <v>1464</v>
      </c>
      <c r="J2445" s="21"/>
      <c r="K2445" s="21"/>
      <c r="L2445" s="21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>
        <v>244</v>
      </c>
      <c r="Y2445" s="21"/>
      <c r="Z2445" s="21"/>
      <c r="AA2445" s="21"/>
      <c r="AB2445" s="21"/>
      <c r="AC2445" s="21"/>
      <c r="AD2445" s="21"/>
      <c r="AE2445" s="21">
        <v>101</v>
      </c>
      <c r="AF2445" s="21"/>
      <c r="AG2445" s="21"/>
      <c r="AH2445" s="21">
        <v>120</v>
      </c>
      <c r="AI2445" s="21"/>
      <c r="AJ2445" s="21">
        <v>23</v>
      </c>
      <c r="AK2445" s="21"/>
      <c r="AL2445" s="21"/>
      <c r="AM2445" s="21">
        <v>67</v>
      </c>
      <c r="AN2445" s="21">
        <v>16</v>
      </c>
      <c r="AO2445" s="21">
        <v>79</v>
      </c>
      <c r="AP2445" s="21">
        <v>82</v>
      </c>
      <c r="AQ2445" s="21"/>
      <c r="AR2445" s="21"/>
      <c r="AS2445" s="21"/>
      <c r="AT2445" s="12" t="str">
        <f>HYPERLINK("http://www.openstreetmap.org/?mlat=34.2082&amp;mlon=43.9066&amp;zoom=12#map=12/34.2082/43.9066","Maplink1")</f>
        <v>Maplink1</v>
      </c>
      <c r="AU2445" s="12" t="str">
        <f>HYPERLINK("https://www.google.iq/maps/search/+34.2082,43.9066/@34.2082,43.9066,14z?hl=en","Maplink2")</f>
        <v>Maplink2</v>
      </c>
      <c r="AV2445" s="12" t="str">
        <f>HYPERLINK("http://www.bing.com/maps/?lvl=14&amp;sty=h&amp;cp=34.2082~43.9066&amp;sp=point.34.2082_43.9066","Maplink3")</f>
        <v>Maplink3</v>
      </c>
    </row>
    <row r="2446" spans="1:48" ht="15" customHeight="1" x14ac:dyDescent="0.25">
      <c r="A2446" s="19">
        <v>20674</v>
      </c>
      <c r="B2446" s="20" t="s">
        <v>23</v>
      </c>
      <c r="C2446" s="20" t="s">
        <v>4333</v>
      </c>
      <c r="D2446" s="20" t="s">
        <v>4349</v>
      </c>
      <c r="E2446" s="20" t="s">
        <v>2256</v>
      </c>
      <c r="F2446" s="20">
        <v>34.202021160000001</v>
      </c>
      <c r="G2446" s="20">
        <v>43.811763470000002</v>
      </c>
      <c r="H2446" s="22">
        <v>312</v>
      </c>
      <c r="I2446" s="22">
        <v>1872</v>
      </c>
      <c r="J2446" s="21"/>
      <c r="K2446" s="21"/>
      <c r="L2446" s="21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>
        <v>312</v>
      </c>
      <c r="Y2446" s="21"/>
      <c r="Z2446" s="21"/>
      <c r="AA2446" s="21"/>
      <c r="AB2446" s="21"/>
      <c r="AC2446" s="21">
        <v>44</v>
      </c>
      <c r="AD2446" s="21"/>
      <c r="AE2446" s="21"/>
      <c r="AF2446" s="21"/>
      <c r="AG2446" s="21"/>
      <c r="AH2446" s="21">
        <v>108</v>
      </c>
      <c r="AI2446" s="21">
        <v>19</v>
      </c>
      <c r="AJ2446" s="21">
        <v>141</v>
      </c>
      <c r="AK2446" s="21"/>
      <c r="AL2446" s="21"/>
      <c r="AM2446" s="21"/>
      <c r="AN2446" s="21"/>
      <c r="AO2446" s="21">
        <v>67</v>
      </c>
      <c r="AP2446" s="21">
        <v>245</v>
      </c>
      <c r="AQ2446" s="21"/>
      <c r="AR2446" s="21"/>
      <c r="AS2446" s="21"/>
      <c r="AT2446" s="12" t="str">
        <f>HYPERLINK("http://www.openstreetmap.org/?mlat=34.202&amp;mlon=43.8118&amp;zoom=12#map=12/34.202/43.8118","Maplink1")</f>
        <v>Maplink1</v>
      </c>
      <c r="AU2446" s="12" t="str">
        <f>HYPERLINK("https://www.google.iq/maps/search/+34.202,43.8118/@34.202,43.8118,14z?hl=en","Maplink2")</f>
        <v>Maplink2</v>
      </c>
      <c r="AV2446" s="12" t="str">
        <f>HYPERLINK("http://www.bing.com/maps/?lvl=14&amp;sty=h&amp;cp=34.202~43.8118&amp;sp=point.34.202_43.8118","Maplink3")</f>
        <v>Maplink3</v>
      </c>
    </row>
    <row r="2447" spans="1:48" ht="15" customHeight="1" x14ac:dyDescent="0.25">
      <c r="A2447" s="19">
        <v>20643</v>
      </c>
      <c r="B2447" s="20" t="s">
        <v>23</v>
      </c>
      <c r="C2447" s="20" t="s">
        <v>4333</v>
      </c>
      <c r="D2447" s="20" t="s">
        <v>4350</v>
      </c>
      <c r="E2447" s="20" t="s">
        <v>4151</v>
      </c>
      <c r="F2447" s="20">
        <v>34.212341760000001</v>
      </c>
      <c r="G2447" s="20">
        <v>43.90191059</v>
      </c>
      <c r="H2447" s="22">
        <v>200</v>
      </c>
      <c r="I2447" s="22">
        <v>1200</v>
      </c>
      <c r="J2447" s="21"/>
      <c r="K2447" s="21"/>
      <c r="L2447" s="21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>
        <v>200</v>
      </c>
      <c r="Y2447" s="21"/>
      <c r="Z2447" s="21"/>
      <c r="AA2447" s="21"/>
      <c r="AB2447" s="21"/>
      <c r="AC2447" s="21">
        <v>5</v>
      </c>
      <c r="AD2447" s="21"/>
      <c r="AE2447" s="21"/>
      <c r="AF2447" s="21"/>
      <c r="AG2447" s="21"/>
      <c r="AH2447" s="21">
        <v>95</v>
      </c>
      <c r="AI2447" s="21">
        <v>72</v>
      </c>
      <c r="AJ2447" s="21">
        <v>28</v>
      </c>
      <c r="AK2447" s="21"/>
      <c r="AL2447" s="21">
        <v>25</v>
      </c>
      <c r="AM2447" s="21">
        <v>130</v>
      </c>
      <c r="AN2447" s="21">
        <v>5</v>
      </c>
      <c r="AO2447" s="21">
        <v>40</v>
      </c>
      <c r="AP2447" s="21"/>
      <c r="AQ2447" s="21"/>
      <c r="AR2447" s="21"/>
      <c r="AS2447" s="21"/>
      <c r="AT2447" s="12" t="str">
        <f>HYPERLINK("http://www.openstreetmap.org/?mlat=34.2123&amp;mlon=43.9019&amp;zoom=12#map=12/34.2123/43.9019","Maplink1")</f>
        <v>Maplink1</v>
      </c>
      <c r="AU2447" s="12" t="str">
        <f>HYPERLINK("https://www.google.iq/maps/search/+34.2123,43.9019/@34.2123,43.9019,14z?hl=en","Maplink2")</f>
        <v>Maplink2</v>
      </c>
      <c r="AV2447" s="12" t="str">
        <f>HYPERLINK("http://www.bing.com/maps/?lvl=14&amp;sty=h&amp;cp=34.2123~43.9019&amp;sp=point.34.2123_43.9019","Maplink3")</f>
        <v>Maplink3</v>
      </c>
    </row>
    <row r="2448" spans="1:48" ht="15" customHeight="1" x14ac:dyDescent="0.25">
      <c r="A2448" s="19">
        <v>20633</v>
      </c>
      <c r="B2448" s="20" t="s">
        <v>23</v>
      </c>
      <c r="C2448" s="20" t="s">
        <v>4333</v>
      </c>
      <c r="D2448" s="20" t="s">
        <v>4351</v>
      </c>
      <c r="E2448" s="20" t="s">
        <v>4352</v>
      </c>
      <c r="F2448" s="20">
        <v>34.193466799299998</v>
      </c>
      <c r="G2448" s="20">
        <v>43.9040939044</v>
      </c>
      <c r="H2448" s="22">
        <v>298</v>
      </c>
      <c r="I2448" s="22">
        <v>1788</v>
      </c>
      <c r="J2448" s="21"/>
      <c r="K2448" s="21"/>
      <c r="L2448" s="21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>
        <v>298</v>
      </c>
      <c r="Y2448" s="21"/>
      <c r="Z2448" s="21"/>
      <c r="AA2448" s="21"/>
      <c r="AB2448" s="21"/>
      <c r="AC2448" s="21"/>
      <c r="AD2448" s="21"/>
      <c r="AE2448" s="21"/>
      <c r="AF2448" s="21"/>
      <c r="AG2448" s="21"/>
      <c r="AH2448" s="21">
        <v>274</v>
      </c>
      <c r="AI2448" s="21">
        <v>20</v>
      </c>
      <c r="AJ2448" s="21">
        <v>4</v>
      </c>
      <c r="AK2448" s="21"/>
      <c r="AL2448" s="21"/>
      <c r="AM2448" s="21"/>
      <c r="AN2448" s="21">
        <v>12</v>
      </c>
      <c r="AO2448" s="21">
        <v>138</v>
      </c>
      <c r="AP2448" s="21">
        <v>138</v>
      </c>
      <c r="AQ2448" s="21"/>
      <c r="AR2448" s="21">
        <v>10</v>
      </c>
      <c r="AS2448" s="21"/>
      <c r="AT2448" s="12" t="str">
        <f>HYPERLINK("http://www.openstreetmap.org/?mlat=34.1935&amp;mlon=43.9041&amp;zoom=12#map=12/34.1935/43.9041","Maplink1")</f>
        <v>Maplink1</v>
      </c>
      <c r="AU2448" s="12" t="str">
        <f>HYPERLINK("https://www.google.iq/maps/search/+34.1935,43.9041/@34.1935,43.9041,14z?hl=en","Maplink2")</f>
        <v>Maplink2</v>
      </c>
      <c r="AV2448" s="12" t="str">
        <f>HYPERLINK("http://www.bing.com/maps/?lvl=14&amp;sty=h&amp;cp=34.1935~43.9041&amp;sp=point.34.1935_43.9041","Maplink3")</f>
        <v>Maplink3</v>
      </c>
    </row>
    <row r="2449" spans="1:48" ht="15" customHeight="1" x14ac:dyDescent="0.25">
      <c r="A2449" s="19">
        <v>20649</v>
      </c>
      <c r="B2449" s="20" t="s">
        <v>23</v>
      </c>
      <c r="C2449" s="20" t="s">
        <v>4333</v>
      </c>
      <c r="D2449" s="20" t="s">
        <v>4353</v>
      </c>
      <c r="E2449" s="20" t="s">
        <v>4354</v>
      </c>
      <c r="F2449" s="20">
        <v>34.190974859500002</v>
      </c>
      <c r="G2449" s="20">
        <v>43.884755764200001</v>
      </c>
      <c r="H2449" s="22">
        <v>184</v>
      </c>
      <c r="I2449" s="22">
        <v>1104</v>
      </c>
      <c r="J2449" s="21">
        <v>6</v>
      </c>
      <c r="K2449" s="21"/>
      <c r="L2449" s="21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>
        <v>178</v>
      </c>
      <c r="Y2449" s="21"/>
      <c r="Z2449" s="21"/>
      <c r="AA2449" s="21"/>
      <c r="AB2449" s="21"/>
      <c r="AC2449" s="21"/>
      <c r="AD2449" s="21"/>
      <c r="AE2449" s="21"/>
      <c r="AF2449" s="21"/>
      <c r="AG2449" s="21"/>
      <c r="AH2449" s="21">
        <v>178</v>
      </c>
      <c r="AI2449" s="21"/>
      <c r="AJ2449" s="21">
        <v>6</v>
      </c>
      <c r="AK2449" s="21"/>
      <c r="AL2449" s="21"/>
      <c r="AM2449" s="21"/>
      <c r="AN2449" s="21">
        <v>100</v>
      </c>
      <c r="AO2449" s="21"/>
      <c r="AP2449" s="21">
        <v>84</v>
      </c>
      <c r="AQ2449" s="21"/>
      <c r="AR2449" s="21"/>
      <c r="AS2449" s="21"/>
      <c r="AT2449" s="12" t="str">
        <f>HYPERLINK("http://www.openstreetmap.org/?mlat=34.191&amp;mlon=43.8848&amp;zoom=12#map=12/34.191/43.8848","Maplink1")</f>
        <v>Maplink1</v>
      </c>
      <c r="AU2449" s="12" t="str">
        <f>HYPERLINK("https://www.google.iq/maps/search/+34.191,43.8848/@34.191,43.8848,14z?hl=en","Maplink2")</f>
        <v>Maplink2</v>
      </c>
      <c r="AV2449" s="12" t="str">
        <f>HYPERLINK("http://www.bing.com/maps/?lvl=14&amp;sty=h&amp;cp=34.191~43.8848&amp;sp=point.34.191_43.8848","Maplink3")</f>
        <v>Maplink3</v>
      </c>
    </row>
    <row r="2450" spans="1:48" ht="15" customHeight="1" x14ac:dyDescent="0.25">
      <c r="A2450" s="19">
        <v>25926</v>
      </c>
      <c r="B2450" s="20" t="s">
        <v>23</v>
      </c>
      <c r="C2450" s="20" t="s">
        <v>4333</v>
      </c>
      <c r="D2450" s="20" t="s">
        <v>6044</v>
      </c>
      <c r="E2450" s="20" t="s">
        <v>6045</v>
      </c>
      <c r="F2450" s="20">
        <v>34.261302631299998</v>
      </c>
      <c r="G2450" s="20">
        <v>43.876644177400003</v>
      </c>
      <c r="H2450" s="22">
        <v>10</v>
      </c>
      <c r="I2450" s="22">
        <v>60</v>
      </c>
      <c r="J2450" s="21"/>
      <c r="K2450" s="21"/>
      <c r="L2450" s="21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>
        <v>10</v>
      </c>
      <c r="Y2450" s="21"/>
      <c r="Z2450" s="21"/>
      <c r="AA2450" s="21"/>
      <c r="AB2450" s="21"/>
      <c r="AC2450" s="21">
        <v>10</v>
      </c>
      <c r="AD2450" s="21"/>
      <c r="AE2450" s="21"/>
      <c r="AF2450" s="21"/>
      <c r="AG2450" s="21"/>
      <c r="AH2450" s="21"/>
      <c r="AI2450" s="21"/>
      <c r="AJ2450" s="21"/>
      <c r="AK2450" s="21"/>
      <c r="AL2450" s="21"/>
      <c r="AM2450" s="21"/>
      <c r="AN2450" s="21"/>
      <c r="AO2450" s="21"/>
      <c r="AP2450" s="21"/>
      <c r="AQ2450" s="21"/>
      <c r="AR2450" s="21"/>
      <c r="AS2450" s="21">
        <v>10</v>
      </c>
      <c r="AT2450" s="12" t="str">
        <f>HYPERLINK("http://www.openstreetmap.org/?mlat=34.2613&amp;mlon=43.8766&amp;zoom=12#map=12/34.2613/43.8766","Maplink1")</f>
        <v>Maplink1</v>
      </c>
      <c r="AU2450" s="12" t="str">
        <f>HYPERLINK("https://www.google.iq/maps/search/+34.2613,43.8766/@34.2613,43.8766,14z?hl=en","Maplink2")</f>
        <v>Maplink2</v>
      </c>
      <c r="AV2450" s="12" t="str">
        <f>HYPERLINK("http://www.bing.com/maps/?lvl=14&amp;sty=h&amp;cp=34.2613~43.8766&amp;sp=point.34.2613_43.8766","Maplink3")</f>
        <v>Maplink3</v>
      </c>
    </row>
    <row r="2451" spans="1:48" ht="15" customHeight="1" x14ac:dyDescent="0.25">
      <c r="A2451" s="19">
        <v>22580</v>
      </c>
      <c r="B2451" s="20" t="s">
        <v>23</v>
      </c>
      <c r="C2451" s="20" t="s">
        <v>4333</v>
      </c>
      <c r="D2451" s="20" t="s">
        <v>4355</v>
      </c>
      <c r="E2451" s="20" t="s">
        <v>4356</v>
      </c>
      <c r="F2451" s="20">
        <v>34.205613020000001</v>
      </c>
      <c r="G2451" s="20">
        <v>43.884455860000003</v>
      </c>
      <c r="H2451" s="22">
        <v>178</v>
      </c>
      <c r="I2451" s="22">
        <v>1068</v>
      </c>
      <c r="J2451" s="21"/>
      <c r="K2451" s="21"/>
      <c r="L2451" s="21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>
        <v>5</v>
      </c>
      <c r="W2451" s="21"/>
      <c r="X2451" s="21">
        <v>173</v>
      </c>
      <c r="Y2451" s="21"/>
      <c r="Z2451" s="21"/>
      <c r="AA2451" s="21"/>
      <c r="AB2451" s="21"/>
      <c r="AC2451" s="21"/>
      <c r="AD2451" s="21"/>
      <c r="AE2451" s="21"/>
      <c r="AF2451" s="21"/>
      <c r="AG2451" s="21"/>
      <c r="AH2451" s="21">
        <v>178</v>
      </c>
      <c r="AI2451" s="21"/>
      <c r="AJ2451" s="21"/>
      <c r="AK2451" s="21"/>
      <c r="AL2451" s="21"/>
      <c r="AM2451" s="21">
        <v>83</v>
      </c>
      <c r="AN2451" s="21">
        <v>92</v>
      </c>
      <c r="AO2451" s="21">
        <v>3</v>
      </c>
      <c r="AP2451" s="21"/>
      <c r="AQ2451" s="21"/>
      <c r="AR2451" s="21"/>
      <c r="AS2451" s="21"/>
      <c r="AT2451" s="12" t="str">
        <f>HYPERLINK("http://www.openstreetmap.org/?mlat=34.2056&amp;mlon=43.8845&amp;zoom=12#map=12/34.2056/43.8845","Maplink1")</f>
        <v>Maplink1</v>
      </c>
      <c r="AU2451" s="12" t="str">
        <f>HYPERLINK("https://www.google.iq/maps/search/+34.2056,43.8845/@34.2056,43.8845,14z?hl=en","Maplink2")</f>
        <v>Maplink2</v>
      </c>
      <c r="AV2451" s="12" t="str">
        <f>HYPERLINK("http://www.bing.com/maps/?lvl=14&amp;sty=h&amp;cp=34.2056~43.8845&amp;sp=point.34.2056_43.8845","Maplink3")</f>
        <v>Maplink3</v>
      </c>
    </row>
    <row r="2452" spans="1:48" ht="15" customHeight="1" x14ac:dyDescent="0.25">
      <c r="A2452" s="19">
        <v>22474</v>
      </c>
      <c r="B2452" s="20" t="s">
        <v>23</v>
      </c>
      <c r="C2452" s="20" t="s">
        <v>4333</v>
      </c>
      <c r="D2452" s="20" t="s">
        <v>4357</v>
      </c>
      <c r="E2452" s="20" t="s">
        <v>4358</v>
      </c>
      <c r="F2452" s="20">
        <v>34.195095240000001</v>
      </c>
      <c r="G2452" s="20">
        <v>43.894225220000003</v>
      </c>
      <c r="H2452" s="22">
        <v>144</v>
      </c>
      <c r="I2452" s="22">
        <v>864</v>
      </c>
      <c r="J2452" s="21"/>
      <c r="K2452" s="21"/>
      <c r="L2452" s="21"/>
      <c r="M2452" s="21"/>
      <c r="N2452" s="21"/>
      <c r="O2452" s="21"/>
      <c r="P2452" s="21"/>
      <c r="Q2452" s="21"/>
      <c r="R2452" s="21">
        <v>5</v>
      </c>
      <c r="S2452" s="21"/>
      <c r="T2452" s="21"/>
      <c r="U2452" s="21"/>
      <c r="V2452" s="21"/>
      <c r="W2452" s="21"/>
      <c r="X2452" s="21">
        <v>139</v>
      </c>
      <c r="Y2452" s="21"/>
      <c r="Z2452" s="21"/>
      <c r="AA2452" s="21"/>
      <c r="AB2452" s="21"/>
      <c r="AC2452" s="21"/>
      <c r="AD2452" s="21"/>
      <c r="AE2452" s="21"/>
      <c r="AF2452" s="21"/>
      <c r="AG2452" s="21"/>
      <c r="AH2452" s="21">
        <v>52</v>
      </c>
      <c r="AI2452" s="21">
        <v>92</v>
      </c>
      <c r="AJ2452" s="21"/>
      <c r="AK2452" s="21"/>
      <c r="AL2452" s="21"/>
      <c r="AM2452" s="21">
        <v>44</v>
      </c>
      <c r="AN2452" s="21">
        <v>29</v>
      </c>
      <c r="AO2452" s="21">
        <v>66</v>
      </c>
      <c r="AP2452" s="21"/>
      <c r="AQ2452" s="21"/>
      <c r="AR2452" s="21">
        <v>5</v>
      </c>
      <c r="AS2452" s="21"/>
      <c r="AT2452" s="12" t="str">
        <f>HYPERLINK("http://www.openstreetmap.org/?mlat=34.1951&amp;mlon=43.8942&amp;zoom=12#map=12/34.1951/43.8942","Maplink1")</f>
        <v>Maplink1</v>
      </c>
      <c r="AU2452" s="12" t="str">
        <f>HYPERLINK("https://www.google.iq/maps/search/+34.1951,43.8942/@34.1951,43.8942,14z?hl=en","Maplink2")</f>
        <v>Maplink2</v>
      </c>
      <c r="AV2452" s="12" t="str">
        <f>HYPERLINK("http://www.bing.com/maps/?lvl=14&amp;sty=h&amp;cp=34.1951~43.8942&amp;sp=point.34.1951_43.8942","Maplink3")</f>
        <v>Maplink3</v>
      </c>
    </row>
    <row r="2453" spans="1:48" ht="15" customHeight="1" x14ac:dyDescent="0.25">
      <c r="A2453" s="19">
        <v>22584</v>
      </c>
      <c r="B2453" s="20" t="s">
        <v>23</v>
      </c>
      <c r="C2453" s="20" t="s">
        <v>4333</v>
      </c>
      <c r="D2453" s="20" t="s">
        <v>4359</v>
      </c>
      <c r="E2453" s="20" t="s">
        <v>4360</v>
      </c>
      <c r="F2453" s="20">
        <v>34.193618430000001</v>
      </c>
      <c r="G2453" s="20">
        <v>43.895672099999999</v>
      </c>
      <c r="H2453" s="22">
        <v>74</v>
      </c>
      <c r="I2453" s="22">
        <v>444</v>
      </c>
      <c r="J2453" s="21"/>
      <c r="K2453" s="21"/>
      <c r="L2453" s="21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>
        <v>74</v>
      </c>
      <c r="Y2453" s="21"/>
      <c r="Z2453" s="21"/>
      <c r="AA2453" s="21"/>
      <c r="AB2453" s="21"/>
      <c r="AC2453" s="21">
        <v>4</v>
      </c>
      <c r="AD2453" s="21"/>
      <c r="AE2453" s="21"/>
      <c r="AF2453" s="21"/>
      <c r="AG2453" s="21"/>
      <c r="AH2453" s="21">
        <v>52</v>
      </c>
      <c r="AI2453" s="21"/>
      <c r="AJ2453" s="21">
        <v>18</v>
      </c>
      <c r="AK2453" s="21"/>
      <c r="AL2453" s="21"/>
      <c r="AM2453" s="21">
        <v>31</v>
      </c>
      <c r="AN2453" s="21">
        <v>20</v>
      </c>
      <c r="AO2453" s="21">
        <v>23</v>
      </c>
      <c r="AP2453" s="21"/>
      <c r="AQ2453" s="21"/>
      <c r="AR2453" s="21"/>
      <c r="AS2453" s="21"/>
      <c r="AT2453" s="12" t="str">
        <f>HYPERLINK("http://www.openstreetmap.org/?mlat=34.1936&amp;mlon=43.8957&amp;zoom=12#map=12/34.1936/43.8957","Maplink1")</f>
        <v>Maplink1</v>
      </c>
      <c r="AU2453" s="12" t="str">
        <f>HYPERLINK("https://www.google.iq/maps/search/+34.1936,43.8957/@34.1936,43.8957,14z?hl=en","Maplink2")</f>
        <v>Maplink2</v>
      </c>
      <c r="AV2453" s="12" t="str">
        <f>HYPERLINK("http://www.bing.com/maps/?lvl=14&amp;sty=h&amp;cp=34.1936~43.8957&amp;sp=point.34.1936_43.8957","Maplink3")</f>
        <v>Maplink3</v>
      </c>
    </row>
    <row r="2454" spans="1:48" ht="15" customHeight="1" x14ac:dyDescent="0.25">
      <c r="A2454" s="19">
        <v>20680</v>
      </c>
      <c r="B2454" s="20" t="s">
        <v>23</v>
      </c>
      <c r="C2454" s="20" t="s">
        <v>4333</v>
      </c>
      <c r="D2454" s="20" t="s">
        <v>4361</v>
      </c>
      <c r="E2454" s="20" t="s">
        <v>4362</v>
      </c>
      <c r="F2454" s="20">
        <v>34.202446459999997</v>
      </c>
      <c r="G2454" s="20">
        <v>43.876131710000003</v>
      </c>
      <c r="H2454" s="22">
        <v>63</v>
      </c>
      <c r="I2454" s="22">
        <v>378</v>
      </c>
      <c r="J2454" s="21"/>
      <c r="K2454" s="21"/>
      <c r="L2454" s="21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>
        <v>9</v>
      </c>
      <c r="W2454" s="21"/>
      <c r="X2454" s="21">
        <v>54</v>
      </c>
      <c r="Y2454" s="21"/>
      <c r="Z2454" s="21"/>
      <c r="AA2454" s="21"/>
      <c r="AB2454" s="21"/>
      <c r="AC2454" s="21"/>
      <c r="AD2454" s="21"/>
      <c r="AE2454" s="21"/>
      <c r="AF2454" s="21"/>
      <c r="AG2454" s="21"/>
      <c r="AH2454" s="21">
        <v>63</v>
      </c>
      <c r="AI2454" s="21"/>
      <c r="AJ2454" s="21"/>
      <c r="AK2454" s="21"/>
      <c r="AL2454" s="21"/>
      <c r="AM2454" s="21">
        <v>9</v>
      </c>
      <c r="AN2454" s="21"/>
      <c r="AO2454" s="21">
        <v>40</v>
      </c>
      <c r="AP2454" s="21">
        <v>5</v>
      </c>
      <c r="AQ2454" s="21"/>
      <c r="AR2454" s="21">
        <v>9</v>
      </c>
      <c r="AS2454" s="21"/>
      <c r="AT2454" s="12" t="str">
        <f>HYPERLINK("http://www.openstreetmap.org/?mlat=34.2024&amp;mlon=43.8761&amp;zoom=12#map=12/34.2024/43.8761","Maplink1")</f>
        <v>Maplink1</v>
      </c>
      <c r="AU2454" s="12" t="str">
        <f>HYPERLINK("https://www.google.iq/maps/search/+34.2024,43.8761/@34.2024,43.8761,14z?hl=en","Maplink2")</f>
        <v>Maplink2</v>
      </c>
      <c r="AV2454" s="12" t="str">
        <f>HYPERLINK("http://www.bing.com/maps/?lvl=14&amp;sty=h&amp;cp=34.2024~43.8761&amp;sp=point.34.2024_43.8761","Maplink3")</f>
        <v>Maplink3</v>
      </c>
    </row>
    <row r="2455" spans="1:48" ht="15" customHeight="1" x14ac:dyDescent="0.25">
      <c r="A2455" s="19">
        <v>22903</v>
      </c>
      <c r="B2455" s="20" t="s">
        <v>23</v>
      </c>
      <c r="C2455" s="20" t="s">
        <v>4333</v>
      </c>
      <c r="D2455" s="20" t="s">
        <v>4363</v>
      </c>
      <c r="E2455" s="20" t="s">
        <v>4364</v>
      </c>
      <c r="F2455" s="20">
        <v>34.196214259999998</v>
      </c>
      <c r="G2455" s="20">
        <v>43.869031479999997</v>
      </c>
      <c r="H2455" s="22">
        <v>20</v>
      </c>
      <c r="I2455" s="22">
        <v>120</v>
      </c>
      <c r="J2455" s="21"/>
      <c r="K2455" s="21"/>
      <c r="L2455" s="21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>
        <v>20</v>
      </c>
      <c r="Y2455" s="21"/>
      <c r="Z2455" s="21"/>
      <c r="AA2455" s="21"/>
      <c r="AB2455" s="21"/>
      <c r="AC2455" s="21"/>
      <c r="AD2455" s="21"/>
      <c r="AE2455" s="21"/>
      <c r="AF2455" s="21"/>
      <c r="AG2455" s="21"/>
      <c r="AH2455" s="21">
        <v>20</v>
      </c>
      <c r="AI2455" s="21"/>
      <c r="AJ2455" s="21"/>
      <c r="AK2455" s="21"/>
      <c r="AL2455" s="21"/>
      <c r="AM2455" s="21"/>
      <c r="AN2455" s="21">
        <v>20</v>
      </c>
      <c r="AO2455" s="21"/>
      <c r="AP2455" s="21"/>
      <c r="AQ2455" s="21"/>
      <c r="AR2455" s="21"/>
      <c r="AS2455" s="21"/>
      <c r="AT2455" s="12" t="str">
        <f>HYPERLINK("http://www.openstreetmap.org/?mlat=34.1962&amp;mlon=43.869&amp;zoom=12#map=12/34.1962/43.869","Maplink1")</f>
        <v>Maplink1</v>
      </c>
      <c r="AU2455" s="12" t="str">
        <f>HYPERLINK("https://www.google.iq/maps/search/+34.1962,43.869/@34.1962,43.869,14z?hl=en","Maplink2")</f>
        <v>Maplink2</v>
      </c>
      <c r="AV2455" s="12" t="str">
        <f>HYPERLINK("http://www.bing.com/maps/?lvl=14&amp;sty=h&amp;cp=34.1962~43.869&amp;sp=point.34.1962_43.869","Maplink3")</f>
        <v>Maplink3</v>
      </c>
    </row>
    <row r="2456" spans="1:48" ht="15" customHeight="1" x14ac:dyDescent="0.25">
      <c r="A2456" s="19">
        <v>24122</v>
      </c>
      <c r="B2456" s="20" t="s">
        <v>23</v>
      </c>
      <c r="C2456" s="20" t="s">
        <v>4333</v>
      </c>
      <c r="D2456" s="20" t="s">
        <v>4365</v>
      </c>
      <c r="E2456" s="20" t="s">
        <v>4366</v>
      </c>
      <c r="F2456" s="20">
        <v>34.19683964</v>
      </c>
      <c r="G2456" s="20">
        <v>43.887059610000001</v>
      </c>
      <c r="H2456" s="22">
        <v>33</v>
      </c>
      <c r="I2456" s="22">
        <v>198</v>
      </c>
      <c r="J2456" s="21"/>
      <c r="K2456" s="21"/>
      <c r="L2456" s="21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>
        <v>33</v>
      </c>
      <c r="Y2456" s="21"/>
      <c r="Z2456" s="21"/>
      <c r="AA2456" s="21"/>
      <c r="AB2456" s="21"/>
      <c r="AC2456" s="21"/>
      <c r="AD2456" s="21"/>
      <c r="AE2456" s="21"/>
      <c r="AF2456" s="21"/>
      <c r="AG2456" s="21"/>
      <c r="AH2456" s="21">
        <v>33</v>
      </c>
      <c r="AI2456" s="21"/>
      <c r="AJ2456" s="21"/>
      <c r="AK2456" s="21"/>
      <c r="AL2456" s="21"/>
      <c r="AM2456" s="21"/>
      <c r="AN2456" s="21"/>
      <c r="AO2456" s="21">
        <v>17</v>
      </c>
      <c r="AP2456" s="21">
        <v>16</v>
      </c>
      <c r="AQ2456" s="21"/>
      <c r="AR2456" s="21"/>
      <c r="AS2456" s="21"/>
      <c r="AT2456" s="12" t="str">
        <f>HYPERLINK("http://www.openstreetmap.org/?mlat=34.1968&amp;mlon=43.8871&amp;zoom=12#map=12/34.1968/43.8871","Maplink1")</f>
        <v>Maplink1</v>
      </c>
      <c r="AU2456" s="12" t="str">
        <f>HYPERLINK("https://www.google.iq/maps/search/+34.1968,43.8871/@34.1968,43.8871,14z?hl=en","Maplink2")</f>
        <v>Maplink2</v>
      </c>
      <c r="AV2456" s="12" t="str">
        <f>HYPERLINK("http://www.bing.com/maps/?lvl=14&amp;sty=h&amp;cp=34.1968~43.8871&amp;sp=point.34.1968_43.8871","Maplink3")</f>
        <v>Maplink3</v>
      </c>
    </row>
    <row r="2457" spans="1:48" ht="15" customHeight="1" x14ac:dyDescent="0.25">
      <c r="A2457" s="19">
        <v>21724</v>
      </c>
      <c r="B2457" s="20" t="s">
        <v>23</v>
      </c>
      <c r="C2457" s="20" t="s">
        <v>4333</v>
      </c>
      <c r="D2457" s="20" t="s">
        <v>4367</v>
      </c>
      <c r="E2457" s="20" t="s">
        <v>4368</v>
      </c>
      <c r="F2457" s="20">
        <v>34.1938672</v>
      </c>
      <c r="G2457" s="20">
        <v>43.879735340000003</v>
      </c>
      <c r="H2457" s="22">
        <v>85</v>
      </c>
      <c r="I2457" s="22">
        <v>510</v>
      </c>
      <c r="J2457" s="21"/>
      <c r="K2457" s="21"/>
      <c r="L2457" s="21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>
        <v>7</v>
      </c>
      <c r="W2457" s="21"/>
      <c r="X2457" s="21">
        <v>78</v>
      </c>
      <c r="Y2457" s="21"/>
      <c r="Z2457" s="21"/>
      <c r="AA2457" s="21"/>
      <c r="AB2457" s="21"/>
      <c r="AC2457" s="21"/>
      <c r="AD2457" s="21"/>
      <c r="AE2457" s="21"/>
      <c r="AF2457" s="21"/>
      <c r="AG2457" s="21"/>
      <c r="AH2457" s="21">
        <v>49</v>
      </c>
      <c r="AI2457" s="21">
        <v>36</v>
      </c>
      <c r="AJ2457" s="21"/>
      <c r="AK2457" s="21"/>
      <c r="AL2457" s="21"/>
      <c r="AM2457" s="21">
        <v>36</v>
      </c>
      <c r="AN2457" s="21">
        <v>20</v>
      </c>
      <c r="AO2457" s="21">
        <v>22</v>
      </c>
      <c r="AP2457" s="21"/>
      <c r="AQ2457" s="21"/>
      <c r="AR2457" s="21">
        <v>7</v>
      </c>
      <c r="AS2457" s="21"/>
      <c r="AT2457" s="12" t="str">
        <f>HYPERLINK("http://www.openstreetmap.org/?mlat=34.1939&amp;mlon=43.8797&amp;zoom=12#map=12/34.1939/43.8797","Maplink1")</f>
        <v>Maplink1</v>
      </c>
      <c r="AU2457" s="12" t="str">
        <f>HYPERLINK("https://www.google.iq/maps/search/+34.1939,43.8797/@34.1939,43.8797,14z?hl=en","Maplink2")</f>
        <v>Maplink2</v>
      </c>
      <c r="AV2457" s="12" t="str">
        <f>HYPERLINK("http://www.bing.com/maps/?lvl=14&amp;sty=h&amp;cp=34.1939~43.8797&amp;sp=point.34.1939_43.8797","Maplink3")</f>
        <v>Maplink3</v>
      </c>
    </row>
    <row r="2458" spans="1:48" ht="15" customHeight="1" x14ac:dyDescent="0.25">
      <c r="A2458" s="19">
        <v>22473</v>
      </c>
      <c r="B2458" s="20" t="s">
        <v>23</v>
      </c>
      <c r="C2458" s="20" t="s">
        <v>4333</v>
      </c>
      <c r="D2458" s="20" t="s">
        <v>4369</v>
      </c>
      <c r="E2458" s="20" t="s">
        <v>4370</v>
      </c>
      <c r="F2458" s="20">
        <v>34.202381959199997</v>
      </c>
      <c r="G2458" s="20">
        <v>43.916821405299999</v>
      </c>
      <c r="H2458" s="22">
        <v>478</v>
      </c>
      <c r="I2458" s="22">
        <v>2868</v>
      </c>
      <c r="J2458" s="21"/>
      <c r="K2458" s="21"/>
      <c r="L2458" s="21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>
        <v>478</v>
      </c>
      <c r="Y2458" s="21"/>
      <c r="Z2458" s="21"/>
      <c r="AA2458" s="21"/>
      <c r="AB2458" s="21"/>
      <c r="AC2458" s="21"/>
      <c r="AD2458" s="21"/>
      <c r="AE2458" s="21">
        <v>145</v>
      </c>
      <c r="AF2458" s="21"/>
      <c r="AG2458" s="21"/>
      <c r="AH2458" s="21">
        <v>202</v>
      </c>
      <c r="AI2458" s="21">
        <v>81</v>
      </c>
      <c r="AJ2458" s="21">
        <v>50</v>
      </c>
      <c r="AK2458" s="21"/>
      <c r="AL2458" s="21"/>
      <c r="AM2458" s="21">
        <v>161</v>
      </c>
      <c r="AN2458" s="21">
        <v>179</v>
      </c>
      <c r="AO2458" s="21">
        <v>81</v>
      </c>
      <c r="AP2458" s="21">
        <v>57</v>
      </c>
      <c r="AQ2458" s="21"/>
      <c r="AR2458" s="21"/>
      <c r="AS2458" s="21"/>
      <c r="AT2458" s="12" t="str">
        <f>HYPERLINK("http://www.openstreetmap.org/?mlat=34.2024&amp;mlon=43.9168&amp;zoom=12#map=12/34.2024/43.9168","Maplink1")</f>
        <v>Maplink1</v>
      </c>
      <c r="AU2458" s="12" t="str">
        <f>HYPERLINK("https://www.google.iq/maps/search/+34.2024,43.9168/@34.2024,43.9168,14z?hl=en","Maplink2")</f>
        <v>Maplink2</v>
      </c>
      <c r="AV2458" s="12" t="str">
        <f>HYPERLINK("http://www.bing.com/maps/?lvl=14&amp;sty=h&amp;cp=34.2024~43.9168&amp;sp=point.34.2024_43.9168","Maplink3")</f>
        <v>Maplink3</v>
      </c>
    </row>
    <row r="2459" spans="1:48" ht="15" customHeight="1" x14ac:dyDescent="0.25">
      <c r="A2459" s="19">
        <v>22810</v>
      </c>
      <c r="B2459" s="20" t="s">
        <v>23</v>
      </c>
      <c r="C2459" s="20" t="s">
        <v>4333</v>
      </c>
      <c r="D2459" s="20" t="s">
        <v>4371</v>
      </c>
      <c r="E2459" s="20" t="s">
        <v>4372</v>
      </c>
      <c r="F2459" s="20">
        <v>34.185311290000001</v>
      </c>
      <c r="G2459" s="20">
        <v>43.901050349999998</v>
      </c>
      <c r="H2459" s="22">
        <v>55</v>
      </c>
      <c r="I2459" s="22">
        <v>330</v>
      </c>
      <c r="J2459" s="21"/>
      <c r="K2459" s="21"/>
      <c r="L2459" s="21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>
        <v>9</v>
      </c>
      <c r="W2459" s="21"/>
      <c r="X2459" s="21">
        <v>46</v>
      </c>
      <c r="Y2459" s="21"/>
      <c r="Z2459" s="21"/>
      <c r="AA2459" s="21"/>
      <c r="AB2459" s="21"/>
      <c r="AC2459" s="21">
        <v>7</v>
      </c>
      <c r="AD2459" s="21"/>
      <c r="AE2459" s="21"/>
      <c r="AF2459" s="21"/>
      <c r="AG2459" s="21"/>
      <c r="AH2459" s="21">
        <v>48</v>
      </c>
      <c r="AI2459" s="21"/>
      <c r="AJ2459" s="21"/>
      <c r="AK2459" s="21"/>
      <c r="AL2459" s="21"/>
      <c r="AM2459" s="21"/>
      <c r="AN2459" s="21">
        <v>21</v>
      </c>
      <c r="AO2459" s="21">
        <v>29</v>
      </c>
      <c r="AP2459" s="21"/>
      <c r="AQ2459" s="21"/>
      <c r="AR2459" s="21"/>
      <c r="AS2459" s="21">
        <v>5</v>
      </c>
      <c r="AT2459" s="12" t="str">
        <f>HYPERLINK("http://www.openstreetmap.org/?mlat=34.1853&amp;mlon=43.9011&amp;zoom=12#map=12/34.1853/43.9011","Maplink1")</f>
        <v>Maplink1</v>
      </c>
      <c r="AU2459" s="12" t="str">
        <f>HYPERLINK("https://www.google.iq/maps/search/+34.1853,43.9011/@34.1853,43.9011,14z?hl=en","Maplink2")</f>
        <v>Maplink2</v>
      </c>
      <c r="AV2459" s="12" t="str">
        <f>HYPERLINK("http://www.bing.com/maps/?lvl=14&amp;sty=h&amp;cp=34.1853~43.9011&amp;sp=point.34.1853_43.9011","Maplink3")</f>
        <v>Maplink3</v>
      </c>
    </row>
    <row r="2460" spans="1:48" ht="15" customHeight="1" x14ac:dyDescent="0.25">
      <c r="A2460" s="19">
        <v>21725</v>
      </c>
      <c r="B2460" s="20" t="s">
        <v>23</v>
      </c>
      <c r="C2460" s="20" t="s">
        <v>4333</v>
      </c>
      <c r="D2460" s="20" t="s">
        <v>4373</v>
      </c>
      <c r="E2460" s="20" t="s">
        <v>4374</v>
      </c>
      <c r="F2460" s="20">
        <v>34.186821416999997</v>
      </c>
      <c r="G2460" s="20">
        <v>43.892840361200001</v>
      </c>
      <c r="H2460" s="22">
        <v>410</v>
      </c>
      <c r="I2460" s="22">
        <v>2460</v>
      </c>
      <c r="J2460" s="21"/>
      <c r="K2460" s="21"/>
      <c r="L2460" s="21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>
        <v>410</v>
      </c>
      <c r="Y2460" s="21"/>
      <c r="Z2460" s="21"/>
      <c r="AA2460" s="21"/>
      <c r="AB2460" s="21"/>
      <c r="AC2460" s="21"/>
      <c r="AD2460" s="21"/>
      <c r="AE2460" s="21">
        <v>178</v>
      </c>
      <c r="AF2460" s="21"/>
      <c r="AG2460" s="21"/>
      <c r="AH2460" s="21">
        <v>118</v>
      </c>
      <c r="AI2460" s="21">
        <v>37</v>
      </c>
      <c r="AJ2460" s="21">
        <v>77</v>
      </c>
      <c r="AK2460" s="21"/>
      <c r="AL2460" s="21">
        <v>7</v>
      </c>
      <c r="AM2460" s="21">
        <v>174</v>
      </c>
      <c r="AN2460" s="21">
        <v>45</v>
      </c>
      <c r="AO2460" s="21">
        <v>180</v>
      </c>
      <c r="AP2460" s="21"/>
      <c r="AQ2460" s="21">
        <v>4</v>
      </c>
      <c r="AR2460" s="21"/>
      <c r="AS2460" s="21"/>
      <c r="AT2460" s="12" t="str">
        <f>HYPERLINK("http://www.openstreetmap.org/?mlat=34.1868&amp;mlon=43.8928&amp;zoom=12#map=12/34.1868/43.8928","Maplink1")</f>
        <v>Maplink1</v>
      </c>
      <c r="AU2460" s="12" t="str">
        <f>HYPERLINK("https://www.google.iq/maps/search/+34.1868,43.8928/@34.1868,43.8928,14z?hl=en","Maplink2")</f>
        <v>Maplink2</v>
      </c>
      <c r="AV2460" s="12" t="str">
        <f>HYPERLINK("http://www.bing.com/maps/?lvl=14&amp;sty=h&amp;cp=34.1868~43.8928&amp;sp=point.34.1868_43.8928","Maplink3")</f>
        <v>Maplink3</v>
      </c>
    </row>
    <row r="2461" spans="1:48" ht="15" customHeight="1" x14ac:dyDescent="0.25">
      <c r="A2461" s="19">
        <v>21594</v>
      </c>
      <c r="B2461" s="20" t="s">
        <v>23</v>
      </c>
      <c r="C2461" s="20" t="s">
        <v>4333</v>
      </c>
      <c r="D2461" s="20" t="s">
        <v>4375</v>
      </c>
      <c r="E2461" s="20" t="s">
        <v>4376</v>
      </c>
      <c r="F2461" s="20">
        <v>34.186975429999997</v>
      </c>
      <c r="G2461" s="20">
        <v>43.855291110000003</v>
      </c>
      <c r="H2461" s="22">
        <v>109</v>
      </c>
      <c r="I2461" s="22">
        <v>654</v>
      </c>
      <c r="J2461" s="21"/>
      <c r="K2461" s="21"/>
      <c r="L2461" s="21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>
        <v>109</v>
      </c>
      <c r="Y2461" s="21"/>
      <c r="Z2461" s="21"/>
      <c r="AA2461" s="21"/>
      <c r="AB2461" s="21"/>
      <c r="AC2461" s="21"/>
      <c r="AD2461" s="21"/>
      <c r="AE2461" s="21"/>
      <c r="AF2461" s="21"/>
      <c r="AG2461" s="21"/>
      <c r="AH2461" s="21">
        <v>67</v>
      </c>
      <c r="AI2461" s="21"/>
      <c r="AJ2461" s="21">
        <v>42</v>
      </c>
      <c r="AK2461" s="21"/>
      <c r="AL2461" s="21"/>
      <c r="AM2461" s="21"/>
      <c r="AN2461" s="21">
        <v>15</v>
      </c>
      <c r="AO2461" s="21"/>
      <c r="AP2461" s="21">
        <v>94</v>
      </c>
      <c r="AQ2461" s="21"/>
      <c r="AR2461" s="21"/>
      <c r="AS2461" s="21"/>
      <c r="AT2461" s="12" t="str">
        <f>HYPERLINK("http://www.openstreetmap.org/?mlat=34.187&amp;mlon=43.8553&amp;zoom=12#map=12/34.187/43.8553","Maplink1")</f>
        <v>Maplink1</v>
      </c>
      <c r="AU2461" s="12" t="str">
        <f>HYPERLINK("https://www.google.iq/maps/search/+34.187,43.8553/@34.187,43.8553,14z?hl=en","Maplink2")</f>
        <v>Maplink2</v>
      </c>
      <c r="AV2461" s="12" t="str">
        <f>HYPERLINK("http://www.bing.com/maps/?lvl=14&amp;sty=h&amp;cp=34.187~43.8553&amp;sp=point.34.187_43.8553","Maplink3")</f>
        <v>Maplink3</v>
      </c>
    </row>
    <row r="2462" spans="1:48" ht="15" customHeight="1" x14ac:dyDescent="0.25">
      <c r="A2462" s="19">
        <v>20569</v>
      </c>
      <c r="B2462" s="20" t="s">
        <v>23</v>
      </c>
      <c r="C2462" s="20" t="s">
        <v>4333</v>
      </c>
      <c r="D2462" s="20" t="s">
        <v>4377</v>
      </c>
      <c r="E2462" s="20" t="s">
        <v>4378</v>
      </c>
      <c r="F2462" s="20">
        <v>34.197943870000003</v>
      </c>
      <c r="G2462" s="20">
        <v>43.903025210000003</v>
      </c>
      <c r="H2462" s="22">
        <v>317</v>
      </c>
      <c r="I2462" s="22">
        <v>1902</v>
      </c>
      <c r="J2462" s="21"/>
      <c r="K2462" s="21"/>
      <c r="L2462" s="21"/>
      <c r="M2462" s="21"/>
      <c r="N2462" s="21"/>
      <c r="O2462" s="21"/>
      <c r="P2462" s="21"/>
      <c r="Q2462" s="21"/>
      <c r="R2462" s="21">
        <v>10</v>
      </c>
      <c r="S2462" s="21"/>
      <c r="T2462" s="21"/>
      <c r="U2462" s="21"/>
      <c r="V2462" s="21"/>
      <c r="W2462" s="21"/>
      <c r="X2462" s="21">
        <v>307</v>
      </c>
      <c r="Y2462" s="21"/>
      <c r="Z2462" s="21"/>
      <c r="AA2462" s="21"/>
      <c r="AB2462" s="21"/>
      <c r="AC2462" s="21"/>
      <c r="AD2462" s="21"/>
      <c r="AE2462" s="21">
        <v>123</v>
      </c>
      <c r="AF2462" s="21"/>
      <c r="AG2462" s="21">
        <v>21</v>
      </c>
      <c r="AH2462" s="21">
        <v>173</v>
      </c>
      <c r="AI2462" s="21"/>
      <c r="AJ2462" s="21"/>
      <c r="AK2462" s="21"/>
      <c r="AL2462" s="21"/>
      <c r="AM2462" s="21">
        <v>76</v>
      </c>
      <c r="AN2462" s="21">
        <v>37</v>
      </c>
      <c r="AO2462" s="21">
        <v>100</v>
      </c>
      <c r="AP2462" s="21">
        <v>94</v>
      </c>
      <c r="AQ2462" s="21"/>
      <c r="AR2462" s="21">
        <v>10</v>
      </c>
      <c r="AS2462" s="21"/>
      <c r="AT2462" s="12" t="str">
        <f>HYPERLINK("http://www.openstreetmap.org/?mlat=34.1979&amp;mlon=43.903&amp;zoom=12#map=12/34.1979/43.903","Maplink1")</f>
        <v>Maplink1</v>
      </c>
      <c r="AU2462" s="12" t="str">
        <f>HYPERLINK("https://www.google.iq/maps/search/+34.1979,43.903/@34.1979,43.903,14z?hl=en","Maplink2")</f>
        <v>Maplink2</v>
      </c>
      <c r="AV2462" s="12" t="str">
        <f>HYPERLINK("http://www.bing.com/maps/?lvl=14&amp;sty=h&amp;cp=34.1979~43.903&amp;sp=point.34.1979_43.903","Maplink3")</f>
        <v>Maplink3</v>
      </c>
    </row>
    <row r="2463" spans="1:48" ht="15" customHeight="1" x14ac:dyDescent="0.25">
      <c r="A2463" s="19">
        <v>23877</v>
      </c>
      <c r="B2463" s="20" t="s">
        <v>23</v>
      </c>
      <c r="C2463" s="20" t="s">
        <v>4333</v>
      </c>
      <c r="D2463" s="20" t="s">
        <v>4379</v>
      </c>
      <c r="E2463" s="20" t="s">
        <v>4380</v>
      </c>
      <c r="F2463" s="20">
        <v>34.18747982</v>
      </c>
      <c r="G2463" s="20">
        <v>43.873352269999998</v>
      </c>
      <c r="H2463" s="22">
        <v>90</v>
      </c>
      <c r="I2463" s="22">
        <v>540</v>
      </c>
      <c r="J2463" s="21"/>
      <c r="K2463" s="21"/>
      <c r="L2463" s="21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>
        <v>90</v>
      </c>
      <c r="Y2463" s="21"/>
      <c r="Z2463" s="21"/>
      <c r="AA2463" s="21"/>
      <c r="AB2463" s="21"/>
      <c r="AC2463" s="21"/>
      <c r="AD2463" s="21"/>
      <c r="AE2463" s="21"/>
      <c r="AF2463" s="21"/>
      <c r="AG2463" s="21"/>
      <c r="AH2463" s="21">
        <v>90</v>
      </c>
      <c r="AI2463" s="21"/>
      <c r="AJ2463" s="21"/>
      <c r="AK2463" s="21"/>
      <c r="AL2463" s="21">
        <v>3</v>
      </c>
      <c r="AM2463" s="21">
        <v>9</v>
      </c>
      <c r="AN2463" s="21">
        <v>10</v>
      </c>
      <c r="AO2463" s="21">
        <v>45</v>
      </c>
      <c r="AP2463" s="21">
        <v>23</v>
      </c>
      <c r="AQ2463" s="21"/>
      <c r="AR2463" s="21"/>
      <c r="AS2463" s="21"/>
      <c r="AT2463" s="12" t="str">
        <f>HYPERLINK("http://www.openstreetmap.org/?mlat=34.1875&amp;mlon=43.8734&amp;zoom=12#map=12/34.1875/43.8734","Maplink1")</f>
        <v>Maplink1</v>
      </c>
      <c r="AU2463" s="12" t="str">
        <f>HYPERLINK("https://www.google.iq/maps/search/+34.1875,43.8734/@34.1875,43.8734,14z?hl=en","Maplink2")</f>
        <v>Maplink2</v>
      </c>
      <c r="AV2463" s="12" t="str">
        <f>HYPERLINK("http://www.bing.com/maps/?lvl=14&amp;sty=h&amp;cp=34.1875~43.8734&amp;sp=point.34.1875_43.8734","Maplink3")</f>
        <v>Maplink3</v>
      </c>
    </row>
    <row r="2464" spans="1:48" ht="15" customHeight="1" x14ac:dyDescent="0.25">
      <c r="A2464" s="19">
        <v>25517</v>
      </c>
      <c r="B2464" s="20" t="s">
        <v>23</v>
      </c>
      <c r="C2464" s="20" t="s">
        <v>4333</v>
      </c>
      <c r="D2464" s="20" t="s">
        <v>4381</v>
      </c>
      <c r="E2464" s="20" t="s">
        <v>4382</v>
      </c>
      <c r="F2464" s="20">
        <v>34.191352670000001</v>
      </c>
      <c r="G2464" s="20">
        <v>43.873994410000002</v>
      </c>
      <c r="H2464" s="22">
        <v>20</v>
      </c>
      <c r="I2464" s="22">
        <v>120</v>
      </c>
      <c r="J2464" s="21"/>
      <c r="K2464" s="21"/>
      <c r="L2464" s="21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>
        <v>20</v>
      </c>
      <c r="Y2464" s="21"/>
      <c r="Z2464" s="21"/>
      <c r="AA2464" s="21"/>
      <c r="AB2464" s="21"/>
      <c r="AC2464" s="21"/>
      <c r="AD2464" s="21"/>
      <c r="AE2464" s="21"/>
      <c r="AF2464" s="21"/>
      <c r="AG2464" s="21"/>
      <c r="AH2464" s="21">
        <v>20</v>
      </c>
      <c r="AI2464" s="21"/>
      <c r="AJ2464" s="21"/>
      <c r="AK2464" s="21"/>
      <c r="AL2464" s="21"/>
      <c r="AM2464" s="21">
        <v>18</v>
      </c>
      <c r="AN2464" s="21"/>
      <c r="AO2464" s="21">
        <v>2</v>
      </c>
      <c r="AP2464" s="21"/>
      <c r="AQ2464" s="21"/>
      <c r="AR2464" s="21"/>
      <c r="AS2464" s="21"/>
      <c r="AT2464" s="12" t="str">
        <f>HYPERLINK("http://www.openstreetmap.org/?mlat=34.1914&amp;mlon=43.874&amp;zoom=12#map=12/34.1914/43.874","Maplink1")</f>
        <v>Maplink1</v>
      </c>
      <c r="AU2464" s="12" t="str">
        <f>HYPERLINK("https://www.google.iq/maps/search/+34.1914,43.874/@34.1914,43.874,14z?hl=en","Maplink2")</f>
        <v>Maplink2</v>
      </c>
      <c r="AV2464" s="12" t="str">
        <f>HYPERLINK("http://www.bing.com/maps/?lvl=14&amp;sty=h&amp;cp=34.1914~43.874&amp;sp=point.34.1914_43.874","Maplink3")</f>
        <v>Maplink3</v>
      </c>
    </row>
    <row r="2465" spans="1:48" ht="15" customHeight="1" x14ac:dyDescent="0.25">
      <c r="A2465" s="19">
        <v>23693</v>
      </c>
      <c r="B2465" s="20" t="s">
        <v>23</v>
      </c>
      <c r="C2465" s="20" t="s">
        <v>4333</v>
      </c>
      <c r="D2465" s="20" t="s">
        <v>4383</v>
      </c>
      <c r="E2465" s="20" t="s">
        <v>4384</v>
      </c>
      <c r="F2465" s="20">
        <v>34.212604280000001</v>
      </c>
      <c r="G2465" s="20">
        <v>43.899549489999998</v>
      </c>
      <c r="H2465" s="22">
        <v>98</v>
      </c>
      <c r="I2465" s="22">
        <v>588</v>
      </c>
      <c r="J2465" s="21"/>
      <c r="K2465" s="21"/>
      <c r="L2465" s="21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>
        <v>98</v>
      </c>
      <c r="Y2465" s="21"/>
      <c r="Z2465" s="21"/>
      <c r="AA2465" s="21"/>
      <c r="AB2465" s="21"/>
      <c r="AC2465" s="21"/>
      <c r="AD2465" s="21"/>
      <c r="AE2465" s="21"/>
      <c r="AF2465" s="21"/>
      <c r="AG2465" s="21"/>
      <c r="AH2465" s="21">
        <v>98</v>
      </c>
      <c r="AI2465" s="21"/>
      <c r="AJ2465" s="21"/>
      <c r="AK2465" s="21"/>
      <c r="AL2465" s="21"/>
      <c r="AM2465" s="21">
        <v>53</v>
      </c>
      <c r="AN2465" s="21">
        <v>37</v>
      </c>
      <c r="AO2465" s="21">
        <v>8</v>
      </c>
      <c r="AP2465" s="21"/>
      <c r="AQ2465" s="21"/>
      <c r="AR2465" s="21"/>
      <c r="AS2465" s="21"/>
      <c r="AT2465" s="12" t="str">
        <f>HYPERLINK("http://www.openstreetmap.org/?mlat=34.2126&amp;mlon=43.8995&amp;zoom=12#map=12/34.2126/43.8995","Maplink1")</f>
        <v>Maplink1</v>
      </c>
      <c r="AU2465" s="12" t="str">
        <f>HYPERLINK("https://www.google.iq/maps/search/+34.2126,43.8995/@34.2126,43.8995,14z?hl=en","Maplink2")</f>
        <v>Maplink2</v>
      </c>
      <c r="AV2465" s="12" t="str">
        <f>HYPERLINK("http://www.bing.com/maps/?lvl=14&amp;sty=h&amp;cp=34.2126~43.8995&amp;sp=point.34.2126_43.8995","Maplink3")</f>
        <v>Maplink3</v>
      </c>
    </row>
    <row r="2466" spans="1:48" ht="15" customHeight="1" x14ac:dyDescent="0.25">
      <c r="A2466" s="19">
        <v>21590</v>
      </c>
      <c r="B2466" s="20" t="s">
        <v>23</v>
      </c>
      <c r="C2466" s="20" t="s">
        <v>4333</v>
      </c>
      <c r="D2466" s="20" t="s">
        <v>4385</v>
      </c>
      <c r="E2466" s="20" t="s">
        <v>4386</v>
      </c>
      <c r="F2466" s="20">
        <v>34.205918699999998</v>
      </c>
      <c r="G2466" s="20">
        <v>43.911172759999999</v>
      </c>
      <c r="H2466" s="22">
        <v>389</v>
      </c>
      <c r="I2466" s="22">
        <v>2334</v>
      </c>
      <c r="J2466" s="21"/>
      <c r="K2466" s="21"/>
      <c r="L2466" s="21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>
        <v>389</v>
      </c>
      <c r="Y2466" s="21"/>
      <c r="Z2466" s="21"/>
      <c r="AA2466" s="21"/>
      <c r="AB2466" s="21"/>
      <c r="AC2466" s="21">
        <v>10</v>
      </c>
      <c r="AD2466" s="21"/>
      <c r="AE2466" s="21">
        <v>70</v>
      </c>
      <c r="AF2466" s="21"/>
      <c r="AG2466" s="21"/>
      <c r="AH2466" s="21">
        <v>285</v>
      </c>
      <c r="AI2466" s="21"/>
      <c r="AJ2466" s="21">
        <v>24</v>
      </c>
      <c r="AK2466" s="21"/>
      <c r="AL2466" s="21"/>
      <c r="AM2466" s="21"/>
      <c r="AN2466" s="21">
        <v>85</v>
      </c>
      <c r="AO2466" s="21">
        <v>221</v>
      </c>
      <c r="AP2466" s="21">
        <v>83</v>
      </c>
      <c r="AQ2466" s="21"/>
      <c r="AR2466" s="21"/>
      <c r="AS2466" s="21"/>
      <c r="AT2466" s="12" t="str">
        <f>HYPERLINK("http://www.openstreetmap.org/?mlat=34.2059&amp;mlon=43.9112&amp;zoom=12#map=12/34.2059/43.9112","Maplink1")</f>
        <v>Maplink1</v>
      </c>
      <c r="AU2466" s="12" t="str">
        <f>HYPERLINK("https://www.google.iq/maps/search/+34.2059,43.9112/@34.2059,43.9112,14z?hl=en","Maplink2")</f>
        <v>Maplink2</v>
      </c>
      <c r="AV2466" s="12" t="str">
        <f>HYPERLINK("http://www.bing.com/maps/?lvl=14&amp;sty=h&amp;cp=34.2059~43.9112&amp;sp=point.34.2059_43.9112","Maplink3")</f>
        <v>Maplink3</v>
      </c>
    </row>
    <row r="2467" spans="1:48" ht="15" customHeight="1" x14ac:dyDescent="0.25">
      <c r="A2467" s="19">
        <v>29539</v>
      </c>
      <c r="B2467" s="20" t="s">
        <v>23</v>
      </c>
      <c r="C2467" s="20" t="s">
        <v>4333</v>
      </c>
      <c r="D2467" s="20" t="s">
        <v>4387</v>
      </c>
      <c r="E2467" s="20" t="s">
        <v>5683</v>
      </c>
      <c r="F2467" s="20">
        <v>34.3685189495</v>
      </c>
      <c r="G2467" s="20">
        <v>43.751954398999999</v>
      </c>
      <c r="H2467" s="22">
        <v>198</v>
      </c>
      <c r="I2467" s="22">
        <v>1188</v>
      </c>
      <c r="J2467" s="21"/>
      <c r="K2467" s="21"/>
      <c r="L2467" s="21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>
        <v>198</v>
      </c>
      <c r="Y2467" s="21"/>
      <c r="Z2467" s="21"/>
      <c r="AA2467" s="21"/>
      <c r="AB2467" s="21"/>
      <c r="AC2467" s="21"/>
      <c r="AD2467" s="21"/>
      <c r="AE2467" s="21"/>
      <c r="AF2467" s="21"/>
      <c r="AG2467" s="21"/>
      <c r="AH2467" s="21">
        <v>143</v>
      </c>
      <c r="AI2467" s="21"/>
      <c r="AJ2467" s="21">
        <v>55</v>
      </c>
      <c r="AK2467" s="21"/>
      <c r="AL2467" s="21"/>
      <c r="AM2467" s="21"/>
      <c r="AN2467" s="21"/>
      <c r="AO2467" s="21"/>
      <c r="AP2467" s="21">
        <v>198</v>
      </c>
      <c r="AQ2467" s="21"/>
      <c r="AR2467" s="21"/>
      <c r="AS2467" s="21"/>
      <c r="AT2467" s="12" t="str">
        <f>HYPERLINK("http://www.openstreetmap.org/?mlat=34.3685&amp;mlon=43.752&amp;zoom=12#map=12/34.3685/43.752","Maplink1")</f>
        <v>Maplink1</v>
      </c>
      <c r="AU2467" s="12" t="str">
        <f>HYPERLINK("https://www.google.iq/maps/search/+34.3685,43.752/@34.3685,43.752,14z?hl=en","Maplink2")</f>
        <v>Maplink2</v>
      </c>
      <c r="AV2467" s="12" t="str">
        <f>HYPERLINK("http://www.bing.com/maps/?lvl=14&amp;sty=h&amp;cp=34.3685~43.752&amp;sp=point.34.3685_43.752","Maplink3")</f>
        <v>Maplink3</v>
      </c>
    </row>
    <row r="2468" spans="1:48" ht="15" customHeight="1" x14ac:dyDescent="0.25">
      <c r="A2468" s="19">
        <v>23145</v>
      </c>
      <c r="B2468" s="20" t="s">
        <v>23</v>
      </c>
      <c r="C2468" s="20" t="s">
        <v>4388</v>
      </c>
      <c r="D2468" s="20" t="s">
        <v>4390</v>
      </c>
      <c r="E2468" s="20" t="s">
        <v>4391</v>
      </c>
      <c r="F2468" s="20">
        <v>34.720040168600001</v>
      </c>
      <c r="G2468" s="20">
        <v>43.697310760599997</v>
      </c>
      <c r="H2468" s="22">
        <v>80</v>
      </c>
      <c r="I2468" s="22">
        <v>480</v>
      </c>
      <c r="J2468" s="21"/>
      <c r="K2468" s="21"/>
      <c r="L2468" s="21"/>
      <c r="M2468" s="21"/>
      <c r="N2468" s="21"/>
      <c r="O2468" s="21"/>
      <c r="P2468" s="21"/>
      <c r="Q2468" s="21"/>
      <c r="R2468" s="21">
        <v>43</v>
      </c>
      <c r="S2468" s="21"/>
      <c r="T2468" s="21"/>
      <c r="U2468" s="21"/>
      <c r="V2468" s="21"/>
      <c r="W2468" s="21"/>
      <c r="X2468" s="21">
        <v>37</v>
      </c>
      <c r="Y2468" s="21"/>
      <c r="Z2468" s="21"/>
      <c r="AA2468" s="21"/>
      <c r="AB2468" s="21"/>
      <c r="AC2468" s="21">
        <v>15</v>
      </c>
      <c r="AD2468" s="21"/>
      <c r="AE2468" s="21"/>
      <c r="AF2468" s="21"/>
      <c r="AG2468" s="21"/>
      <c r="AH2468" s="21">
        <v>65</v>
      </c>
      <c r="AI2468" s="21"/>
      <c r="AJ2468" s="21"/>
      <c r="AK2468" s="21"/>
      <c r="AL2468" s="21"/>
      <c r="AM2468" s="21"/>
      <c r="AN2468" s="21"/>
      <c r="AO2468" s="21"/>
      <c r="AP2468" s="21">
        <v>50</v>
      </c>
      <c r="AQ2468" s="21">
        <v>30</v>
      </c>
      <c r="AR2468" s="21"/>
      <c r="AS2468" s="21"/>
      <c r="AT2468" s="12" t="str">
        <f>HYPERLINK("http://www.openstreetmap.org/?mlat=34.72&amp;mlon=43.6973&amp;zoom=12#map=12/34.72/43.6973","Maplink1")</f>
        <v>Maplink1</v>
      </c>
      <c r="AU2468" s="12" t="str">
        <f>HYPERLINK("https://www.google.iq/maps/search/+34.72,43.6973/@34.72,43.6973,14z?hl=en","Maplink2")</f>
        <v>Maplink2</v>
      </c>
      <c r="AV2468" s="12" t="str">
        <f>HYPERLINK("http://www.bing.com/maps/?lvl=14&amp;sty=h&amp;cp=34.72~43.6973&amp;sp=point.34.72_43.6973","Maplink3")</f>
        <v>Maplink3</v>
      </c>
    </row>
    <row r="2469" spans="1:48" ht="15" customHeight="1" x14ac:dyDescent="0.25">
      <c r="A2469" s="19">
        <v>20594</v>
      </c>
      <c r="B2469" s="20" t="s">
        <v>23</v>
      </c>
      <c r="C2469" s="20" t="s">
        <v>4388</v>
      </c>
      <c r="D2469" s="20" t="s">
        <v>4392</v>
      </c>
      <c r="E2469" s="20" t="s">
        <v>4393</v>
      </c>
      <c r="F2469" s="20">
        <v>34.522728260000001</v>
      </c>
      <c r="G2469" s="20">
        <v>43.70933445</v>
      </c>
      <c r="H2469" s="22">
        <v>28</v>
      </c>
      <c r="I2469" s="22">
        <v>168</v>
      </c>
      <c r="J2469" s="21"/>
      <c r="K2469" s="21"/>
      <c r="L2469" s="21"/>
      <c r="M2469" s="21"/>
      <c r="N2469" s="21"/>
      <c r="O2469" s="21"/>
      <c r="P2469" s="21"/>
      <c r="Q2469" s="21"/>
      <c r="R2469" s="21">
        <v>5</v>
      </c>
      <c r="S2469" s="21"/>
      <c r="T2469" s="21"/>
      <c r="U2469" s="21"/>
      <c r="V2469" s="21"/>
      <c r="W2469" s="21"/>
      <c r="X2469" s="21">
        <v>23</v>
      </c>
      <c r="Y2469" s="21"/>
      <c r="Z2469" s="21"/>
      <c r="AA2469" s="21"/>
      <c r="AB2469" s="21"/>
      <c r="AC2469" s="21"/>
      <c r="AD2469" s="21"/>
      <c r="AE2469" s="21"/>
      <c r="AF2469" s="21"/>
      <c r="AG2469" s="21"/>
      <c r="AH2469" s="21"/>
      <c r="AI2469" s="21"/>
      <c r="AJ2469" s="21">
        <v>28</v>
      </c>
      <c r="AK2469" s="21"/>
      <c r="AL2469" s="21"/>
      <c r="AM2469" s="21"/>
      <c r="AN2469" s="21"/>
      <c r="AO2469" s="21"/>
      <c r="AP2469" s="21"/>
      <c r="AQ2469" s="21">
        <v>13</v>
      </c>
      <c r="AR2469" s="21">
        <v>10</v>
      </c>
      <c r="AS2469" s="21">
        <v>5</v>
      </c>
      <c r="AT2469" s="12" t="str">
        <f>HYPERLINK("http://www.openstreetmap.org/?mlat=34.5227&amp;mlon=43.7093&amp;zoom=12#map=12/34.5227/43.7093","Maplink1")</f>
        <v>Maplink1</v>
      </c>
      <c r="AU2469" s="12" t="str">
        <f>HYPERLINK("https://www.google.iq/maps/search/+34.5227,43.7093/@34.5227,43.7093,14z?hl=en","Maplink2")</f>
        <v>Maplink2</v>
      </c>
      <c r="AV2469" s="12" t="str">
        <f>HYPERLINK("http://www.bing.com/maps/?lvl=14&amp;sty=h&amp;cp=34.5227~43.7093&amp;sp=point.34.5227_43.7093","Maplink3")</f>
        <v>Maplink3</v>
      </c>
    </row>
    <row r="2470" spans="1:48" ht="15" customHeight="1" x14ac:dyDescent="0.25">
      <c r="A2470" s="19">
        <v>22331</v>
      </c>
      <c r="B2470" s="20" t="s">
        <v>23</v>
      </c>
      <c r="C2470" s="20" t="s">
        <v>4388</v>
      </c>
      <c r="D2470" s="20" t="s">
        <v>5684</v>
      </c>
      <c r="E2470" s="20" t="s">
        <v>5685</v>
      </c>
      <c r="F2470" s="20">
        <v>34.611737460000001</v>
      </c>
      <c r="G2470" s="20">
        <v>43.673758929999998</v>
      </c>
      <c r="H2470" s="22">
        <v>35</v>
      </c>
      <c r="I2470" s="22">
        <v>210</v>
      </c>
      <c r="J2470" s="21"/>
      <c r="K2470" s="21"/>
      <c r="L2470" s="21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>
        <v>35</v>
      </c>
      <c r="Y2470" s="21"/>
      <c r="Z2470" s="21"/>
      <c r="AA2470" s="21"/>
      <c r="AB2470" s="21"/>
      <c r="AC2470" s="21"/>
      <c r="AD2470" s="21"/>
      <c r="AE2470" s="21"/>
      <c r="AF2470" s="21"/>
      <c r="AG2470" s="21"/>
      <c r="AH2470" s="21">
        <v>15</v>
      </c>
      <c r="AI2470" s="21"/>
      <c r="AJ2470" s="21">
        <v>20</v>
      </c>
      <c r="AK2470" s="21"/>
      <c r="AL2470" s="21"/>
      <c r="AM2470" s="21"/>
      <c r="AN2470" s="21"/>
      <c r="AO2470" s="21">
        <v>11</v>
      </c>
      <c r="AP2470" s="21"/>
      <c r="AQ2470" s="21">
        <v>24</v>
      </c>
      <c r="AR2470" s="21"/>
      <c r="AS2470" s="21"/>
      <c r="AT2470" s="12" t="str">
        <f>HYPERLINK("http://www.openstreetmap.org/?mlat=34.6117&amp;mlon=43.6738&amp;zoom=12#map=12/34.6117/43.6738","Maplink1")</f>
        <v>Maplink1</v>
      </c>
      <c r="AU2470" s="12" t="str">
        <f>HYPERLINK("https://www.google.iq/maps/search/+34.6117,43.6738/@34.6117,43.6738,14z?hl=en","Maplink2")</f>
        <v>Maplink2</v>
      </c>
      <c r="AV2470" s="12" t="str">
        <f>HYPERLINK("http://www.bing.com/maps/?lvl=14&amp;sty=h&amp;cp=34.6117~43.6738&amp;sp=point.34.6117_43.6738","Maplink3")</f>
        <v>Maplink3</v>
      </c>
    </row>
    <row r="2471" spans="1:48" ht="15" customHeight="1" x14ac:dyDescent="0.25">
      <c r="A2471" s="19">
        <v>25949</v>
      </c>
      <c r="B2471" s="20" t="s">
        <v>23</v>
      </c>
      <c r="C2471" s="20" t="s">
        <v>4388</v>
      </c>
      <c r="D2471" s="20" t="s">
        <v>4394</v>
      </c>
      <c r="E2471" s="20" t="s">
        <v>4395</v>
      </c>
      <c r="F2471" s="20">
        <v>34.889133643100003</v>
      </c>
      <c r="G2471" s="20">
        <v>43.548081662599998</v>
      </c>
      <c r="H2471" s="22">
        <v>12</v>
      </c>
      <c r="I2471" s="22">
        <v>72</v>
      </c>
      <c r="J2471" s="21"/>
      <c r="K2471" s="21"/>
      <c r="L2471" s="21"/>
      <c r="M2471" s="21"/>
      <c r="N2471" s="21"/>
      <c r="O2471" s="21"/>
      <c r="P2471" s="21"/>
      <c r="Q2471" s="21"/>
      <c r="R2471" s="21">
        <v>12</v>
      </c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21"/>
      <c r="AH2471" s="21">
        <v>12</v>
      </c>
      <c r="AI2471" s="21"/>
      <c r="AJ2471" s="21"/>
      <c r="AK2471" s="21"/>
      <c r="AL2471" s="21"/>
      <c r="AM2471" s="21"/>
      <c r="AN2471" s="21"/>
      <c r="AO2471" s="21"/>
      <c r="AP2471" s="21"/>
      <c r="AQ2471" s="21">
        <v>12</v>
      </c>
      <c r="AR2471" s="21"/>
      <c r="AS2471" s="21"/>
      <c r="AT2471" s="12" t="str">
        <f>HYPERLINK("http://www.openstreetmap.org/?mlat=34.8891&amp;mlon=43.5481&amp;zoom=12#map=12/34.8891/43.5481","Maplink1")</f>
        <v>Maplink1</v>
      </c>
      <c r="AU2471" s="12" t="str">
        <f>HYPERLINK("https://www.google.iq/maps/search/+34.8891,43.5481/@34.8891,43.5481,14z?hl=en","Maplink2")</f>
        <v>Maplink2</v>
      </c>
      <c r="AV2471" s="12" t="str">
        <f>HYPERLINK("http://www.bing.com/maps/?lvl=14&amp;sty=h&amp;cp=34.8891~43.5481&amp;sp=point.34.8891_43.5481","Maplink3")</f>
        <v>Maplink3</v>
      </c>
    </row>
    <row r="2472" spans="1:48" ht="15" customHeight="1" x14ac:dyDescent="0.25">
      <c r="A2472" s="19">
        <v>25569</v>
      </c>
      <c r="B2472" s="20" t="s">
        <v>23</v>
      </c>
      <c r="C2472" s="20" t="s">
        <v>4388</v>
      </c>
      <c r="D2472" s="20" t="s">
        <v>4396</v>
      </c>
      <c r="E2472" s="20" t="s">
        <v>4397</v>
      </c>
      <c r="F2472" s="20">
        <v>34.706647384500002</v>
      </c>
      <c r="G2472" s="20">
        <v>43.684072016899997</v>
      </c>
      <c r="H2472" s="22">
        <v>47</v>
      </c>
      <c r="I2472" s="22">
        <v>282</v>
      </c>
      <c r="J2472" s="21"/>
      <c r="K2472" s="21"/>
      <c r="L2472" s="21"/>
      <c r="M2472" s="21"/>
      <c r="N2472" s="21"/>
      <c r="O2472" s="21"/>
      <c r="P2472" s="21"/>
      <c r="Q2472" s="21"/>
      <c r="R2472" s="21">
        <v>8</v>
      </c>
      <c r="S2472" s="21"/>
      <c r="T2472" s="21"/>
      <c r="U2472" s="21"/>
      <c r="V2472" s="21"/>
      <c r="W2472" s="21"/>
      <c r="X2472" s="21">
        <v>39</v>
      </c>
      <c r="Y2472" s="21"/>
      <c r="Z2472" s="21"/>
      <c r="AA2472" s="21"/>
      <c r="AB2472" s="21"/>
      <c r="AC2472" s="21"/>
      <c r="AD2472" s="21"/>
      <c r="AE2472" s="21">
        <v>10</v>
      </c>
      <c r="AF2472" s="21"/>
      <c r="AG2472" s="21"/>
      <c r="AH2472" s="21">
        <v>27</v>
      </c>
      <c r="AI2472" s="21"/>
      <c r="AJ2472" s="21">
        <v>10</v>
      </c>
      <c r="AK2472" s="21"/>
      <c r="AL2472" s="21"/>
      <c r="AM2472" s="21"/>
      <c r="AN2472" s="21"/>
      <c r="AO2472" s="21"/>
      <c r="AP2472" s="21">
        <v>8</v>
      </c>
      <c r="AQ2472" s="21">
        <v>32</v>
      </c>
      <c r="AR2472" s="21">
        <v>7</v>
      </c>
      <c r="AS2472" s="21"/>
      <c r="AT2472" s="12" t="str">
        <f>HYPERLINK("http://www.openstreetmap.org/?mlat=34.7066&amp;mlon=43.6841&amp;zoom=12#map=12/34.7066/43.6841","Maplink1")</f>
        <v>Maplink1</v>
      </c>
      <c r="AU2472" s="12" t="str">
        <f>HYPERLINK("https://www.google.iq/maps/search/+34.7066,43.6841/@34.7066,43.6841,14z?hl=en","Maplink2")</f>
        <v>Maplink2</v>
      </c>
      <c r="AV2472" s="12" t="str">
        <f>HYPERLINK("http://www.bing.com/maps/?lvl=14&amp;sty=h&amp;cp=34.7066~43.6841&amp;sp=point.34.7066_43.6841","Maplink3")</f>
        <v>Maplink3</v>
      </c>
    </row>
    <row r="2473" spans="1:48" ht="15" customHeight="1" x14ac:dyDescent="0.25">
      <c r="A2473" s="19">
        <v>20642</v>
      </c>
      <c r="B2473" s="20" t="s">
        <v>23</v>
      </c>
      <c r="C2473" s="20" t="s">
        <v>4388</v>
      </c>
      <c r="D2473" s="20" t="s">
        <v>5686</v>
      </c>
      <c r="E2473" s="20" t="s">
        <v>3723</v>
      </c>
      <c r="F2473" s="20">
        <v>34.690297870000002</v>
      </c>
      <c r="G2473" s="20">
        <v>43.624409999999997</v>
      </c>
      <c r="H2473" s="22">
        <v>18</v>
      </c>
      <c r="I2473" s="22">
        <v>108</v>
      </c>
      <c r="J2473" s="21"/>
      <c r="K2473" s="21"/>
      <c r="L2473" s="21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>
        <v>18</v>
      </c>
      <c r="Y2473" s="21"/>
      <c r="Z2473" s="21"/>
      <c r="AA2473" s="21"/>
      <c r="AB2473" s="21"/>
      <c r="AC2473" s="21"/>
      <c r="AD2473" s="21"/>
      <c r="AE2473" s="21"/>
      <c r="AF2473" s="21"/>
      <c r="AG2473" s="21"/>
      <c r="AH2473" s="21">
        <v>15</v>
      </c>
      <c r="AI2473" s="21"/>
      <c r="AJ2473" s="21">
        <v>3</v>
      </c>
      <c r="AK2473" s="21"/>
      <c r="AL2473" s="21"/>
      <c r="AM2473" s="21"/>
      <c r="AN2473" s="21"/>
      <c r="AO2473" s="21"/>
      <c r="AP2473" s="21">
        <v>18</v>
      </c>
      <c r="AQ2473" s="21"/>
      <c r="AR2473" s="21"/>
      <c r="AS2473" s="21"/>
      <c r="AT2473" s="12" t="str">
        <f>HYPERLINK("http://www.openstreetmap.org/?mlat=34.6903&amp;mlon=43.6244&amp;zoom=12#map=12/34.6903/43.6244","Maplink1")</f>
        <v>Maplink1</v>
      </c>
      <c r="AU2473" s="12" t="str">
        <f>HYPERLINK("https://www.google.iq/maps/search/+34.6903,43.6244/@34.6903,43.6244,14z?hl=en","Maplink2")</f>
        <v>Maplink2</v>
      </c>
      <c r="AV2473" s="12" t="str">
        <f>HYPERLINK("http://www.bing.com/maps/?lvl=14&amp;sty=h&amp;cp=34.6903~43.6244&amp;sp=point.34.6903_43.6244","Maplink3")</f>
        <v>Maplink3</v>
      </c>
    </row>
    <row r="2474" spans="1:48" ht="15" customHeight="1" x14ac:dyDescent="0.25">
      <c r="A2474" s="19">
        <v>24212</v>
      </c>
      <c r="B2474" s="20" t="s">
        <v>23</v>
      </c>
      <c r="C2474" s="20" t="s">
        <v>4388</v>
      </c>
      <c r="D2474" s="20" t="s">
        <v>4398</v>
      </c>
      <c r="E2474" s="20" t="s">
        <v>4399</v>
      </c>
      <c r="F2474" s="20">
        <v>34.770133000000001</v>
      </c>
      <c r="G2474" s="20">
        <v>43.642803999999998</v>
      </c>
      <c r="H2474" s="22">
        <v>67</v>
      </c>
      <c r="I2474" s="22">
        <v>402</v>
      </c>
      <c r="J2474" s="21"/>
      <c r="K2474" s="21"/>
      <c r="L2474" s="21"/>
      <c r="M2474" s="21"/>
      <c r="N2474" s="21"/>
      <c r="O2474" s="21"/>
      <c r="P2474" s="21"/>
      <c r="Q2474" s="21"/>
      <c r="R2474" s="21">
        <v>16</v>
      </c>
      <c r="S2474" s="21"/>
      <c r="T2474" s="21"/>
      <c r="U2474" s="21"/>
      <c r="V2474" s="21"/>
      <c r="W2474" s="21"/>
      <c r="X2474" s="21">
        <v>51</v>
      </c>
      <c r="Y2474" s="21"/>
      <c r="Z2474" s="21"/>
      <c r="AA2474" s="21"/>
      <c r="AB2474" s="21"/>
      <c r="AC2474" s="21"/>
      <c r="AD2474" s="21"/>
      <c r="AE2474" s="21"/>
      <c r="AF2474" s="21"/>
      <c r="AG2474" s="21"/>
      <c r="AH2474" s="21">
        <v>67</v>
      </c>
      <c r="AI2474" s="21"/>
      <c r="AJ2474" s="21"/>
      <c r="AK2474" s="21"/>
      <c r="AL2474" s="21"/>
      <c r="AM2474" s="21"/>
      <c r="AN2474" s="21"/>
      <c r="AO2474" s="21">
        <v>42</v>
      </c>
      <c r="AP2474" s="21">
        <v>25</v>
      </c>
      <c r="AQ2474" s="21"/>
      <c r="AR2474" s="21"/>
      <c r="AS2474" s="21"/>
      <c r="AT2474" s="12" t="str">
        <f>HYPERLINK("http://www.openstreetmap.org/?mlat=34.7701&amp;mlon=43.6428&amp;zoom=12#map=12/34.7701/43.6428","Maplink1")</f>
        <v>Maplink1</v>
      </c>
      <c r="AU2474" s="12" t="str">
        <f>HYPERLINK("https://www.google.iq/maps/search/+34.7701,43.6428/@34.7701,43.6428,14z?hl=en","Maplink2")</f>
        <v>Maplink2</v>
      </c>
      <c r="AV2474" s="12" t="str">
        <f>HYPERLINK("http://www.bing.com/maps/?lvl=14&amp;sty=h&amp;cp=34.7701~43.6428&amp;sp=point.34.7701_43.6428","Maplink3")</f>
        <v>Maplink3</v>
      </c>
    </row>
    <row r="2475" spans="1:48" ht="15" customHeight="1" x14ac:dyDescent="0.25">
      <c r="A2475" s="19">
        <v>26034</v>
      </c>
      <c r="B2475" s="20" t="s">
        <v>23</v>
      </c>
      <c r="C2475" s="20" t="s">
        <v>4388</v>
      </c>
      <c r="D2475" s="20" t="s">
        <v>4400</v>
      </c>
      <c r="E2475" s="20" t="s">
        <v>4401</v>
      </c>
      <c r="F2475" s="20">
        <v>34.725764210000001</v>
      </c>
      <c r="G2475" s="20">
        <v>43.63827766</v>
      </c>
      <c r="H2475" s="22">
        <v>28</v>
      </c>
      <c r="I2475" s="22">
        <v>168</v>
      </c>
      <c r="J2475" s="21"/>
      <c r="K2475" s="21"/>
      <c r="L2475" s="21"/>
      <c r="M2475" s="21"/>
      <c r="N2475" s="21"/>
      <c r="O2475" s="21"/>
      <c r="P2475" s="21"/>
      <c r="Q2475" s="21"/>
      <c r="R2475" s="21">
        <v>1</v>
      </c>
      <c r="S2475" s="21"/>
      <c r="T2475" s="21"/>
      <c r="U2475" s="21"/>
      <c r="V2475" s="21"/>
      <c r="W2475" s="21"/>
      <c r="X2475" s="21">
        <v>27</v>
      </c>
      <c r="Y2475" s="21"/>
      <c r="Z2475" s="21"/>
      <c r="AA2475" s="21"/>
      <c r="AB2475" s="21"/>
      <c r="AC2475" s="21"/>
      <c r="AD2475" s="21"/>
      <c r="AE2475" s="21">
        <v>14</v>
      </c>
      <c r="AF2475" s="21"/>
      <c r="AG2475" s="21"/>
      <c r="AH2475" s="21">
        <v>10</v>
      </c>
      <c r="AI2475" s="21"/>
      <c r="AJ2475" s="21">
        <v>4</v>
      </c>
      <c r="AK2475" s="21"/>
      <c r="AL2475" s="21"/>
      <c r="AM2475" s="21"/>
      <c r="AN2475" s="21"/>
      <c r="AO2475" s="21"/>
      <c r="AP2475" s="21">
        <v>28</v>
      </c>
      <c r="AQ2475" s="21"/>
      <c r="AR2475" s="21"/>
      <c r="AS2475" s="21"/>
      <c r="AT2475" s="12" t="str">
        <f>HYPERLINK("http://www.openstreetmap.org/?mlat=34.7258&amp;mlon=43.6383&amp;zoom=12#map=12/34.7258/43.6383","Maplink1")</f>
        <v>Maplink1</v>
      </c>
      <c r="AU2475" s="12" t="str">
        <f>HYPERLINK("https://www.google.iq/maps/search/+34.7258,43.6383/@34.7258,43.6383,14z?hl=en","Maplink2")</f>
        <v>Maplink2</v>
      </c>
      <c r="AV2475" s="12" t="str">
        <f>HYPERLINK("http://www.bing.com/maps/?lvl=14&amp;sty=h&amp;cp=34.7258~43.6383&amp;sp=point.34.7258_43.6383","Maplink3")</f>
        <v>Maplink3</v>
      </c>
    </row>
    <row r="2476" spans="1:48" ht="15" customHeight="1" x14ac:dyDescent="0.25">
      <c r="A2476" s="19">
        <v>24211</v>
      </c>
      <c r="B2476" s="20" t="s">
        <v>23</v>
      </c>
      <c r="C2476" s="20" t="s">
        <v>4388</v>
      </c>
      <c r="D2476" s="20" t="s">
        <v>5687</v>
      </c>
      <c r="E2476" s="20" t="s">
        <v>5688</v>
      </c>
      <c r="F2476" s="20">
        <v>34.6412701199</v>
      </c>
      <c r="G2476" s="20">
        <v>43.900885864899998</v>
      </c>
      <c r="H2476" s="22">
        <v>160</v>
      </c>
      <c r="I2476" s="22">
        <v>960</v>
      </c>
      <c r="J2476" s="21"/>
      <c r="K2476" s="21"/>
      <c r="L2476" s="21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>
        <v>160</v>
      </c>
      <c r="Y2476" s="21"/>
      <c r="Z2476" s="21"/>
      <c r="AA2476" s="21"/>
      <c r="AB2476" s="21"/>
      <c r="AC2476" s="21">
        <v>160</v>
      </c>
      <c r="AD2476" s="21"/>
      <c r="AE2476" s="21"/>
      <c r="AF2476" s="21"/>
      <c r="AG2476" s="21"/>
      <c r="AH2476" s="21"/>
      <c r="AI2476" s="21"/>
      <c r="AJ2476" s="21"/>
      <c r="AK2476" s="21"/>
      <c r="AL2476" s="21"/>
      <c r="AM2476" s="21"/>
      <c r="AN2476" s="21">
        <v>30</v>
      </c>
      <c r="AO2476" s="21">
        <v>130</v>
      </c>
      <c r="AP2476" s="21"/>
      <c r="AQ2476" s="21"/>
      <c r="AR2476" s="21"/>
      <c r="AS2476" s="21"/>
      <c r="AT2476" s="12" t="str">
        <f>HYPERLINK("http://www.openstreetmap.org/?mlat=34.6413&amp;mlon=43.9009&amp;zoom=12#map=12/34.6413/43.9009","Maplink1")</f>
        <v>Maplink1</v>
      </c>
      <c r="AU2476" s="12" t="str">
        <f>HYPERLINK("https://www.google.iq/maps/search/+34.6413,43.9009/@34.6413,43.9009,14z?hl=en","Maplink2")</f>
        <v>Maplink2</v>
      </c>
      <c r="AV2476" s="12" t="str">
        <f>HYPERLINK("http://www.bing.com/maps/?lvl=14&amp;sty=h&amp;cp=34.6413~43.9009&amp;sp=point.34.6413_43.9009","Maplink3")</f>
        <v>Maplink3</v>
      </c>
    </row>
    <row r="2477" spans="1:48" ht="15" customHeight="1" x14ac:dyDescent="0.25">
      <c r="A2477" s="19">
        <v>20631</v>
      </c>
      <c r="B2477" s="20" t="s">
        <v>23</v>
      </c>
      <c r="C2477" s="20" t="s">
        <v>4388</v>
      </c>
      <c r="D2477" s="20" t="s">
        <v>5689</v>
      </c>
      <c r="E2477" s="20" t="s">
        <v>4412</v>
      </c>
      <c r="F2477" s="20">
        <v>34.694068590000001</v>
      </c>
      <c r="G2477" s="20">
        <v>43.617256380000001</v>
      </c>
      <c r="H2477" s="22">
        <v>4</v>
      </c>
      <c r="I2477" s="22">
        <v>24</v>
      </c>
      <c r="J2477" s="21"/>
      <c r="K2477" s="21"/>
      <c r="L2477" s="21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>
        <v>4</v>
      </c>
      <c r="Y2477" s="21"/>
      <c r="Z2477" s="21"/>
      <c r="AA2477" s="21"/>
      <c r="AB2477" s="21"/>
      <c r="AC2477" s="21"/>
      <c r="AD2477" s="21"/>
      <c r="AE2477" s="21"/>
      <c r="AF2477" s="21"/>
      <c r="AG2477" s="21"/>
      <c r="AH2477" s="21">
        <v>4</v>
      </c>
      <c r="AI2477" s="21"/>
      <c r="AJ2477" s="21"/>
      <c r="AK2477" s="21"/>
      <c r="AL2477" s="21"/>
      <c r="AM2477" s="21"/>
      <c r="AN2477" s="21"/>
      <c r="AO2477" s="21"/>
      <c r="AP2477" s="21"/>
      <c r="AQ2477" s="21"/>
      <c r="AR2477" s="21">
        <v>4</v>
      </c>
      <c r="AS2477" s="21"/>
      <c r="AT2477" s="12" t="str">
        <f>HYPERLINK("http://www.openstreetmap.org/?mlat=34.6941&amp;mlon=43.6173&amp;zoom=12#map=12/34.6941/43.6173","Maplink1")</f>
        <v>Maplink1</v>
      </c>
      <c r="AU2477" s="12" t="str">
        <f>HYPERLINK("https://www.google.iq/maps/search/+34.6941,43.6173/@34.6941,43.6173,14z?hl=en","Maplink2")</f>
        <v>Maplink2</v>
      </c>
      <c r="AV2477" s="12" t="str">
        <f>HYPERLINK("http://www.bing.com/maps/?lvl=14&amp;sty=h&amp;cp=34.6941~43.6173&amp;sp=point.34.6941_43.6173","Maplink3")</f>
        <v>Maplink3</v>
      </c>
    </row>
    <row r="2478" spans="1:48" ht="15" customHeight="1" x14ac:dyDescent="0.25">
      <c r="A2478" s="19">
        <v>27231</v>
      </c>
      <c r="B2478" s="20" t="s">
        <v>23</v>
      </c>
      <c r="C2478" s="20" t="s">
        <v>4388</v>
      </c>
      <c r="D2478" s="20" t="s">
        <v>4402</v>
      </c>
      <c r="E2478" s="20" t="s">
        <v>4403</v>
      </c>
      <c r="F2478" s="20">
        <v>34.668206650000002</v>
      </c>
      <c r="G2478" s="20">
        <v>43.725524999999998</v>
      </c>
      <c r="H2478" s="22">
        <v>70</v>
      </c>
      <c r="I2478" s="22">
        <v>420</v>
      </c>
      <c r="J2478" s="21"/>
      <c r="K2478" s="21"/>
      <c r="L2478" s="21"/>
      <c r="M2478" s="21"/>
      <c r="N2478" s="21"/>
      <c r="O2478" s="21"/>
      <c r="P2478" s="21"/>
      <c r="Q2478" s="21"/>
      <c r="R2478" s="21">
        <v>36</v>
      </c>
      <c r="S2478" s="21"/>
      <c r="T2478" s="21"/>
      <c r="U2478" s="21"/>
      <c r="V2478" s="21"/>
      <c r="W2478" s="21"/>
      <c r="X2478" s="21">
        <v>34</v>
      </c>
      <c r="Y2478" s="21"/>
      <c r="Z2478" s="21"/>
      <c r="AA2478" s="21"/>
      <c r="AB2478" s="21"/>
      <c r="AC2478" s="21"/>
      <c r="AD2478" s="21"/>
      <c r="AE2478" s="21"/>
      <c r="AF2478" s="21"/>
      <c r="AG2478" s="21"/>
      <c r="AH2478" s="21">
        <v>38</v>
      </c>
      <c r="AI2478" s="21"/>
      <c r="AJ2478" s="21">
        <v>32</v>
      </c>
      <c r="AK2478" s="21"/>
      <c r="AL2478" s="21"/>
      <c r="AM2478" s="21"/>
      <c r="AN2478" s="21"/>
      <c r="AO2478" s="21"/>
      <c r="AP2478" s="21"/>
      <c r="AQ2478" s="21">
        <v>58</v>
      </c>
      <c r="AR2478" s="21">
        <v>12</v>
      </c>
      <c r="AS2478" s="21"/>
      <c r="AT2478" s="12" t="str">
        <f>HYPERLINK("http://www.openstreetmap.org/?mlat=34.6682&amp;mlon=43.7255&amp;zoom=12#map=12/34.6682/43.7255","Maplink1")</f>
        <v>Maplink1</v>
      </c>
      <c r="AU2478" s="12" t="str">
        <f>HYPERLINK("https://www.google.iq/maps/search/+34.6682,43.7255/@34.6682,43.7255,14z?hl=en","Maplink2")</f>
        <v>Maplink2</v>
      </c>
      <c r="AV2478" s="12" t="str">
        <f>HYPERLINK("http://www.bing.com/maps/?lvl=14&amp;sty=h&amp;cp=34.6682~43.7255&amp;sp=point.34.6682_43.7255","Maplink3")</f>
        <v>Maplink3</v>
      </c>
    </row>
    <row r="2479" spans="1:48" ht="15" customHeight="1" x14ac:dyDescent="0.25">
      <c r="A2479" s="19">
        <v>21357</v>
      </c>
      <c r="B2479" s="20" t="s">
        <v>23</v>
      </c>
      <c r="C2479" s="20" t="s">
        <v>4388</v>
      </c>
      <c r="D2479" s="20" t="s">
        <v>4404</v>
      </c>
      <c r="E2479" s="20" t="s">
        <v>4405</v>
      </c>
      <c r="F2479" s="20">
        <v>34.457985078900002</v>
      </c>
      <c r="G2479" s="20">
        <v>43.7267232779</v>
      </c>
      <c r="H2479" s="22">
        <v>120</v>
      </c>
      <c r="I2479" s="22">
        <v>720</v>
      </c>
      <c r="J2479" s="21"/>
      <c r="K2479" s="21"/>
      <c r="L2479" s="21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>
        <v>120</v>
      </c>
      <c r="Y2479" s="21"/>
      <c r="Z2479" s="21"/>
      <c r="AA2479" s="21"/>
      <c r="AB2479" s="21"/>
      <c r="AC2479" s="21">
        <v>78</v>
      </c>
      <c r="AD2479" s="21"/>
      <c r="AE2479" s="21"/>
      <c r="AF2479" s="21"/>
      <c r="AG2479" s="21"/>
      <c r="AH2479" s="21">
        <v>42</v>
      </c>
      <c r="AI2479" s="21"/>
      <c r="AJ2479" s="21"/>
      <c r="AK2479" s="21"/>
      <c r="AL2479" s="21"/>
      <c r="AM2479" s="21"/>
      <c r="AN2479" s="21"/>
      <c r="AO2479" s="21"/>
      <c r="AP2479" s="21"/>
      <c r="AQ2479" s="21">
        <v>120</v>
      </c>
      <c r="AR2479" s="21"/>
      <c r="AS2479" s="21"/>
      <c r="AT2479" s="12" t="str">
        <f>HYPERLINK("http://www.openstreetmap.org/?mlat=34.458&amp;mlon=43.7267&amp;zoom=12#map=12/34.458/43.7267","Maplink1")</f>
        <v>Maplink1</v>
      </c>
      <c r="AU2479" s="12" t="str">
        <f>HYPERLINK("https://www.google.iq/maps/search/+34.458,43.7267/@34.458,43.7267,14z?hl=en","Maplink2")</f>
        <v>Maplink2</v>
      </c>
      <c r="AV2479" s="12" t="str">
        <f>HYPERLINK("http://www.bing.com/maps/?lvl=14&amp;sty=h&amp;cp=34.458~43.7267&amp;sp=point.34.458_43.7267","Maplink3")</f>
        <v>Maplink3</v>
      </c>
    </row>
    <row r="2480" spans="1:48" ht="15" customHeight="1" x14ac:dyDescent="0.25">
      <c r="A2480" s="19">
        <v>33448</v>
      </c>
      <c r="B2480" s="20" t="s">
        <v>23</v>
      </c>
      <c r="C2480" s="20" t="s">
        <v>4388</v>
      </c>
      <c r="D2480" s="20" t="s">
        <v>5979</v>
      </c>
      <c r="E2480" s="20" t="s">
        <v>5980</v>
      </c>
      <c r="F2480" s="20">
        <v>34.82091767</v>
      </c>
      <c r="G2480" s="20">
        <v>43.578059060000001</v>
      </c>
      <c r="H2480" s="22">
        <v>425</v>
      </c>
      <c r="I2480" s="22">
        <v>2550</v>
      </c>
      <c r="J2480" s="21"/>
      <c r="K2480" s="21"/>
      <c r="L2480" s="21"/>
      <c r="M2480" s="21"/>
      <c r="N2480" s="21"/>
      <c r="O2480" s="21"/>
      <c r="P2480" s="21"/>
      <c r="Q2480" s="21"/>
      <c r="R2480" s="21">
        <v>385</v>
      </c>
      <c r="S2480" s="21"/>
      <c r="T2480" s="21"/>
      <c r="U2480" s="21"/>
      <c r="V2480" s="21"/>
      <c r="W2480" s="21"/>
      <c r="X2480" s="21">
        <v>40</v>
      </c>
      <c r="Y2480" s="21"/>
      <c r="Z2480" s="21"/>
      <c r="AA2480" s="21"/>
      <c r="AB2480" s="21">
        <v>425</v>
      </c>
      <c r="AC2480" s="21"/>
      <c r="AD2480" s="21"/>
      <c r="AE2480" s="21"/>
      <c r="AF2480" s="21"/>
      <c r="AG2480" s="21"/>
      <c r="AH2480" s="21"/>
      <c r="AI2480" s="21"/>
      <c r="AJ2480" s="21"/>
      <c r="AK2480" s="21"/>
      <c r="AL2480" s="21"/>
      <c r="AM2480" s="21"/>
      <c r="AN2480" s="21"/>
      <c r="AO2480" s="21"/>
      <c r="AP2480" s="21"/>
      <c r="AQ2480" s="21"/>
      <c r="AR2480" s="21">
        <v>175</v>
      </c>
      <c r="AS2480" s="21">
        <v>250</v>
      </c>
      <c r="AT2480" s="12" t="str">
        <f>HYPERLINK("http://www.openstreetmap.org/?mlat=34.8209&amp;mlon=43.5781&amp;zoom=12#map=12/34.8209/43.5781","Maplink1")</f>
        <v>Maplink1</v>
      </c>
      <c r="AU2480" s="12" t="str">
        <f>HYPERLINK("https://www.google.iq/maps/search/+34.8209,43.5781/@34.8209,43.5781,14z?hl=en","Maplink2")</f>
        <v>Maplink2</v>
      </c>
      <c r="AV2480" s="12" t="str">
        <f>HYPERLINK("http://www.bing.com/maps/?lvl=14&amp;sty=h&amp;cp=34.8209~43.5781&amp;sp=point.34.8209_43.5781","Maplink3")</f>
        <v>Maplink3</v>
      </c>
    </row>
    <row r="2481" spans="1:48" ht="15" customHeight="1" x14ac:dyDescent="0.25">
      <c r="A2481" s="19">
        <v>29589</v>
      </c>
      <c r="B2481" s="20" t="s">
        <v>23</v>
      </c>
      <c r="C2481" s="20" t="s">
        <v>4388</v>
      </c>
      <c r="D2481" s="20" t="s">
        <v>4406</v>
      </c>
      <c r="E2481" s="20" t="s">
        <v>4407</v>
      </c>
      <c r="F2481" s="20">
        <v>34.635867504399997</v>
      </c>
      <c r="G2481" s="20">
        <v>43.703866498499998</v>
      </c>
      <c r="H2481" s="22">
        <v>40</v>
      </c>
      <c r="I2481" s="22">
        <v>240</v>
      </c>
      <c r="J2481" s="21"/>
      <c r="K2481" s="21"/>
      <c r="L2481" s="21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>
        <v>40</v>
      </c>
      <c r="Y2481" s="21"/>
      <c r="Z2481" s="21"/>
      <c r="AA2481" s="21"/>
      <c r="AB2481" s="21"/>
      <c r="AC2481" s="21">
        <v>20</v>
      </c>
      <c r="AD2481" s="21"/>
      <c r="AE2481" s="21">
        <v>10</v>
      </c>
      <c r="AF2481" s="21"/>
      <c r="AG2481" s="21"/>
      <c r="AH2481" s="21"/>
      <c r="AI2481" s="21"/>
      <c r="AJ2481" s="21">
        <v>10</v>
      </c>
      <c r="AK2481" s="21"/>
      <c r="AL2481" s="21"/>
      <c r="AM2481" s="21"/>
      <c r="AN2481" s="21">
        <v>13</v>
      </c>
      <c r="AO2481" s="21">
        <v>15</v>
      </c>
      <c r="AP2481" s="21"/>
      <c r="AQ2481" s="21"/>
      <c r="AR2481" s="21">
        <v>12</v>
      </c>
      <c r="AS2481" s="21"/>
      <c r="AT2481" s="12" t="str">
        <f>HYPERLINK("http://www.openstreetmap.org/?mlat=34.6359&amp;mlon=43.7039&amp;zoom=12#map=12/34.6359/43.7039","Maplink1")</f>
        <v>Maplink1</v>
      </c>
      <c r="AU2481" s="12" t="str">
        <f>HYPERLINK("https://www.google.iq/maps/search/+34.6359,43.7039/@34.6359,43.7039,14z?hl=en","Maplink2")</f>
        <v>Maplink2</v>
      </c>
      <c r="AV2481" s="12" t="str">
        <f>HYPERLINK("http://www.bing.com/maps/?lvl=14&amp;sty=h&amp;cp=34.6359~43.7039&amp;sp=point.34.6359_43.7039","Maplink3")</f>
        <v>Maplink3</v>
      </c>
    </row>
    <row r="2482" spans="1:48" ht="15" customHeight="1" x14ac:dyDescent="0.25">
      <c r="A2482" s="19">
        <v>23525</v>
      </c>
      <c r="B2482" s="20" t="s">
        <v>23</v>
      </c>
      <c r="C2482" s="20" t="s">
        <v>4388</v>
      </c>
      <c r="D2482" s="20" t="s">
        <v>5854</v>
      </c>
      <c r="E2482" s="20" t="s">
        <v>5855</v>
      </c>
      <c r="F2482" s="20">
        <v>34.69476908</v>
      </c>
      <c r="G2482" s="20">
        <v>43.634281430000001</v>
      </c>
      <c r="H2482" s="22">
        <v>4</v>
      </c>
      <c r="I2482" s="22">
        <v>24</v>
      </c>
      <c r="J2482" s="21"/>
      <c r="K2482" s="21"/>
      <c r="L2482" s="21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>
        <v>4</v>
      </c>
      <c r="Y2482" s="21"/>
      <c r="Z2482" s="21"/>
      <c r="AA2482" s="21"/>
      <c r="AB2482" s="21"/>
      <c r="AC2482" s="21">
        <v>4</v>
      </c>
      <c r="AD2482" s="21"/>
      <c r="AE2482" s="21"/>
      <c r="AF2482" s="21"/>
      <c r="AG2482" s="21"/>
      <c r="AH2482" s="21"/>
      <c r="AI2482" s="21"/>
      <c r="AJ2482" s="21"/>
      <c r="AK2482" s="21"/>
      <c r="AL2482" s="21"/>
      <c r="AM2482" s="21"/>
      <c r="AN2482" s="21">
        <v>4</v>
      </c>
      <c r="AO2482" s="21"/>
      <c r="AP2482" s="21"/>
      <c r="AQ2482" s="21"/>
      <c r="AR2482" s="21"/>
      <c r="AS2482" s="21"/>
      <c r="AT2482" s="12" t="str">
        <f>HYPERLINK("http://www.openstreetmap.org/?mlat=34.6948&amp;mlon=43.6343&amp;zoom=12#map=12/34.6948/43.6343","Maplink1")</f>
        <v>Maplink1</v>
      </c>
      <c r="AU2482" s="12" t="str">
        <f>HYPERLINK("https://www.google.iq/maps/search/+34.6948,43.6343/@34.6948,43.6343,14z?hl=en","Maplink2")</f>
        <v>Maplink2</v>
      </c>
      <c r="AV2482" s="12" t="str">
        <f>HYPERLINK("http://www.bing.com/maps/?lvl=14&amp;sty=h&amp;cp=34.6948~43.6343&amp;sp=point.34.6948_43.6343","Maplink3")</f>
        <v>Maplink3</v>
      </c>
    </row>
    <row r="2483" spans="1:48" ht="15" customHeight="1" x14ac:dyDescent="0.25">
      <c r="A2483" s="19">
        <v>28419</v>
      </c>
      <c r="B2483" s="20" t="s">
        <v>23</v>
      </c>
      <c r="C2483" s="20" t="s">
        <v>4388</v>
      </c>
      <c r="D2483" s="20" t="s">
        <v>4408</v>
      </c>
      <c r="E2483" s="20" t="s">
        <v>4409</v>
      </c>
      <c r="F2483" s="20">
        <v>34.714219565500002</v>
      </c>
      <c r="G2483" s="20">
        <v>43.612539041799998</v>
      </c>
      <c r="H2483" s="22">
        <v>150</v>
      </c>
      <c r="I2483" s="22">
        <v>900</v>
      </c>
      <c r="J2483" s="21"/>
      <c r="K2483" s="21"/>
      <c r="L2483" s="21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>
        <v>150</v>
      </c>
      <c r="Y2483" s="21"/>
      <c r="Z2483" s="21"/>
      <c r="AA2483" s="21"/>
      <c r="AB2483" s="21"/>
      <c r="AC2483" s="21">
        <v>150</v>
      </c>
      <c r="AD2483" s="21"/>
      <c r="AE2483" s="21"/>
      <c r="AF2483" s="21"/>
      <c r="AG2483" s="21"/>
      <c r="AH2483" s="21"/>
      <c r="AI2483" s="21"/>
      <c r="AJ2483" s="21"/>
      <c r="AK2483" s="21"/>
      <c r="AL2483" s="21"/>
      <c r="AM2483" s="21"/>
      <c r="AN2483" s="21"/>
      <c r="AO2483" s="21"/>
      <c r="AP2483" s="21"/>
      <c r="AQ2483" s="21">
        <v>123</v>
      </c>
      <c r="AR2483" s="21"/>
      <c r="AS2483" s="21">
        <v>27</v>
      </c>
      <c r="AT2483" s="12" t="str">
        <f>HYPERLINK("http://www.openstreetmap.org/?mlat=34.7142&amp;mlon=43.6125&amp;zoom=12#map=12/34.7142/43.6125","Maplink1")</f>
        <v>Maplink1</v>
      </c>
      <c r="AU2483" s="12" t="str">
        <f>HYPERLINK("https://www.google.iq/maps/search/+34.7142,43.6125/@34.7142,43.6125,14z?hl=en","Maplink2")</f>
        <v>Maplink2</v>
      </c>
      <c r="AV2483" s="12" t="str">
        <f>HYPERLINK("http://www.bing.com/maps/?lvl=14&amp;sty=h&amp;cp=34.7142~43.6125&amp;sp=point.34.7142_43.6125","Maplink3")</f>
        <v>Maplink3</v>
      </c>
    </row>
    <row r="2484" spans="1:48" ht="15" customHeight="1" x14ac:dyDescent="0.25">
      <c r="A2484" s="19">
        <v>23918</v>
      </c>
      <c r="B2484" s="20" t="s">
        <v>23</v>
      </c>
      <c r="C2484" s="20" t="s">
        <v>4388</v>
      </c>
      <c r="D2484" s="20" t="s">
        <v>4410</v>
      </c>
      <c r="E2484" s="20" t="s">
        <v>4411</v>
      </c>
      <c r="F2484" s="20">
        <v>34.627451280000002</v>
      </c>
      <c r="G2484" s="20">
        <v>43.669864750000002</v>
      </c>
      <c r="H2484" s="22">
        <v>137</v>
      </c>
      <c r="I2484" s="22">
        <v>822</v>
      </c>
      <c r="J2484" s="21"/>
      <c r="K2484" s="21"/>
      <c r="L2484" s="21"/>
      <c r="M2484" s="21"/>
      <c r="N2484" s="21"/>
      <c r="O2484" s="21"/>
      <c r="P2484" s="21"/>
      <c r="Q2484" s="21"/>
      <c r="R2484" s="21">
        <v>2</v>
      </c>
      <c r="S2484" s="21"/>
      <c r="T2484" s="21"/>
      <c r="U2484" s="21"/>
      <c r="V2484" s="21">
        <v>2</v>
      </c>
      <c r="W2484" s="21"/>
      <c r="X2484" s="21">
        <v>133</v>
      </c>
      <c r="Y2484" s="21"/>
      <c r="Z2484" s="21"/>
      <c r="AA2484" s="21"/>
      <c r="AB2484" s="21"/>
      <c r="AC2484" s="21"/>
      <c r="AD2484" s="21"/>
      <c r="AE2484" s="21"/>
      <c r="AF2484" s="21"/>
      <c r="AG2484" s="21"/>
      <c r="AH2484" s="21">
        <v>137</v>
      </c>
      <c r="AI2484" s="21"/>
      <c r="AJ2484" s="21"/>
      <c r="AK2484" s="21"/>
      <c r="AL2484" s="21"/>
      <c r="AM2484" s="21"/>
      <c r="AN2484" s="21"/>
      <c r="AO2484" s="21">
        <v>36</v>
      </c>
      <c r="AP2484" s="21">
        <v>101</v>
      </c>
      <c r="AQ2484" s="21"/>
      <c r="AR2484" s="21"/>
      <c r="AS2484" s="21"/>
      <c r="AT2484" s="12" t="str">
        <f>HYPERLINK("http://www.openstreetmap.org/?mlat=34.6275&amp;mlon=43.6699&amp;zoom=12#map=12/34.6275/43.6699","Maplink1")</f>
        <v>Maplink1</v>
      </c>
      <c r="AU2484" s="12" t="str">
        <f>HYPERLINK("https://www.google.iq/maps/search/+34.6275,43.6699/@34.6275,43.6699,14z?hl=en","Maplink2")</f>
        <v>Maplink2</v>
      </c>
      <c r="AV2484" s="12" t="str">
        <f>HYPERLINK("http://www.bing.com/maps/?lvl=14&amp;sty=h&amp;cp=34.6275~43.6699&amp;sp=point.34.6275_43.6699","Maplink3")</f>
        <v>Maplink3</v>
      </c>
    </row>
    <row r="2485" spans="1:48" ht="15" customHeight="1" x14ac:dyDescent="0.25">
      <c r="A2485" s="19">
        <v>33440</v>
      </c>
      <c r="B2485" s="20" t="s">
        <v>23</v>
      </c>
      <c r="C2485" s="20" t="s">
        <v>4388</v>
      </c>
      <c r="D2485" s="20" t="s">
        <v>5958</v>
      </c>
      <c r="E2485" s="20" t="s">
        <v>5959</v>
      </c>
      <c r="F2485" s="20">
        <v>34.649075195899997</v>
      </c>
      <c r="G2485" s="20">
        <v>43.654316440000002</v>
      </c>
      <c r="H2485" s="22">
        <v>822</v>
      </c>
      <c r="I2485" s="22">
        <v>4932</v>
      </c>
      <c r="J2485" s="21"/>
      <c r="K2485" s="21"/>
      <c r="L2485" s="21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>
        <v>34</v>
      </c>
      <c r="W2485" s="21"/>
      <c r="X2485" s="21">
        <v>788</v>
      </c>
      <c r="Y2485" s="21"/>
      <c r="Z2485" s="21"/>
      <c r="AA2485" s="21"/>
      <c r="AB2485" s="21"/>
      <c r="AC2485" s="21"/>
      <c r="AD2485" s="21"/>
      <c r="AE2485" s="21">
        <v>822</v>
      </c>
      <c r="AF2485" s="21"/>
      <c r="AG2485" s="21"/>
      <c r="AH2485" s="21"/>
      <c r="AI2485" s="21"/>
      <c r="AJ2485" s="21"/>
      <c r="AK2485" s="21"/>
      <c r="AL2485" s="21"/>
      <c r="AM2485" s="21"/>
      <c r="AN2485" s="21"/>
      <c r="AO2485" s="21"/>
      <c r="AP2485" s="21"/>
      <c r="AQ2485" s="21">
        <v>585</v>
      </c>
      <c r="AR2485" s="21">
        <v>227</v>
      </c>
      <c r="AS2485" s="21">
        <v>10</v>
      </c>
      <c r="AT2485" s="12" t="str">
        <f>HYPERLINK("http://www.openstreetmap.org/?mlat=34.6491&amp;mlon=43.6543&amp;zoom=12#map=12/34.6491/43.6543","Maplink1")</f>
        <v>Maplink1</v>
      </c>
      <c r="AU2485" s="12" t="str">
        <f>HYPERLINK("https://www.google.iq/maps/search/+34.6491,43.6543/@34.6491,43.6543,14z?hl=en","Maplink2")</f>
        <v>Maplink2</v>
      </c>
      <c r="AV2485" s="12" t="str">
        <f>HYPERLINK("http://www.bing.com/maps/?lvl=14&amp;sty=h&amp;cp=34.6491~43.6543&amp;sp=point.34.6491_43.6543","Maplink3")</f>
        <v>Maplink3</v>
      </c>
    </row>
    <row r="2486" spans="1:48" ht="15" customHeight="1" x14ac:dyDescent="0.25">
      <c r="A2486" s="19">
        <v>32060</v>
      </c>
      <c r="B2486" s="20" t="s">
        <v>23</v>
      </c>
      <c r="C2486" s="20" t="s">
        <v>4388</v>
      </c>
      <c r="D2486" s="20" t="s">
        <v>4413</v>
      </c>
      <c r="E2486" s="20" t="s">
        <v>4414</v>
      </c>
      <c r="F2486" s="20">
        <v>34.695048</v>
      </c>
      <c r="G2486" s="20">
        <v>43.622611999999997</v>
      </c>
      <c r="H2486" s="22">
        <v>510</v>
      </c>
      <c r="I2486" s="22">
        <v>3060</v>
      </c>
      <c r="J2486" s="21">
        <v>7</v>
      </c>
      <c r="K2486" s="21"/>
      <c r="L2486" s="21"/>
      <c r="M2486" s="21"/>
      <c r="N2486" s="21"/>
      <c r="O2486" s="21"/>
      <c r="P2486" s="21"/>
      <c r="Q2486" s="21"/>
      <c r="R2486" s="21">
        <v>60</v>
      </c>
      <c r="S2486" s="21"/>
      <c r="T2486" s="21"/>
      <c r="U2486" s="21"/>
      <c r="V2486" s="21"/>
      <c r="W2486" s="21"/>
      <c r="X2486" s="21">
        <v>443</v>
      </c>
      <c r="Y2486" s="21"/>
      <c r="Z2486" s="21"/>
      <c r="AA2486" s="21"/>
      <c r="AB2486" s="21">
        <v>510</v>
      </c>
      <c r="AC2486" s="21"/>
      <c r="AD2486" s="21"/>
      <c r="AE2486" s="21"/>
      <c r="AF2486" s="21"/>
      <c r="AG2486" s="21"/>
      <c r="AH2486" s="21"/>
      <c r="AI2486" s="21"/>
      <c r="AJ2486" s="21"/>
      <c r="AK2486" s="21"/>
      <c r="AL2486" s="21"/>
      <c r="AM2486" s="21"/>
      <c r="AN2486" s="21"/>
      <c r="AO2486" s="21"/>
      <c r="AP2486" s="21"/>
      <c r="AQ2486" s="21">
        <v>20</v>
      </c>
      <c r="AR2486" s="21">
        <v>97</v>
      </c>
      <c r="AS2486" s="21">
        <v>393</v>
      </c>
      <c r="AT2486" s="12" t="str">
        <f>HYPERLINK("http://www.openstreetmap.org/?mlat=34.695&amp;mlon=43.6226&amp;zoom=12#map=12/34.695/43.6226","Maplink1")</f>
        <v>Maplink1</v>
      </c>
      <c r="AU2486" s="12" t="str">
        <f>HYPERLINK("https://www.google.iq/maps/search/+34.695,43.6226/@34.695,43.6226,14z?hl=en","Maplink2")</f>
        <v>Maplink2</v>
      </c>
      <c r="AV2486" s="12" t="str">
        <f>HYPERLINK("http://www.bing.com/maps/?lvl=14&amp;sty=h&amp;cp=34.695~43.6226&amp;sp=point.34.695_43.6226","Maplink3")</f>
        <v>Maplink3</v>
      </c>
    </row>
    <row r="2487" spans="1:48" ht="15" customHeight="1" x14ac:dyDescent="0.25">
      <c r="A2487" s="19">
        <v>20630</v>
      </c>
      <c r="B2487" s="20" t="s">
        <v>23</v>
      </c>
      <c r="C2487" s="20" t="s">
        <v>4388</v>
      </c>
      <c r="D2487" s="20" t="s">
        <v>4415</v>
      </c>
      <c r="E2487" s="20" t="s">
        <v>4416</v>
      </c>
      <c r="F2487" s="20">
        <v>34.693582999999997</v>
      </c>
      <c r="G2487" s="20">
        <v>43.625877000000003</v>
      </c>
      <c r="H2487" s="22">
        <v>42</v>
      </c>
      <c r="I2487" s="22">
        <v>252</v>
      </c>
      <c r="J2487" s="21"/>
      <c r="K2487" s="21"/>
      <c r="L2487" s="21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>
        <v>42</v>
      </c>
      <c r="Y2487" s="21"/>
      <c r="Z2487" s="21"/>
      <c r="AA2487" s="21"/>
      <c r="AB2487" s="21"/>
      <c r="AC2487" s="21"/>
      <c r="AD2487" s="21"/>
      <c r="AE2487" s="21">
        <v>4</v>
      </c>
      <c r="AF2487" s="21"/>
      <c r="AG2487" s="21"/>
      <c r="AH2487" s="21">
        <v>20</v>
      </c>
      <c r="AI2487" s="21"/>
      <c r="AJ2487" s="21">
        <v>18</v>
      </c>
      <c r="AK2487" s="21"/>
      <c r="AL2487" s="21"/>
      <c r="AM2487" s="21"/>
      <c r="AN2487" s="21"/>
      <c r="AO2487" s="21"/>
      <c r="AP2487" s="21"/>
      <c r="AQ2487" s="21">
        <v>42</v>
      </c>
      <c r="AR2487" s="21"/>
      <c r="AS2487" s="21"/>
      <c r="AT2487" s="12" t="str">
        <f>HYPERLINK("http://www.openstreetmap.org/?mlat=34.6936&amp;mlon=43.6259&amp;zoom=12#map=12/34.6936/43.6259","Maplink1")</f>
        <v>Maplink1</v>
      </c>
      <c r="AU2487" s="12" t="str">
        <f>HYPERLINK("https://www.google.iq/maps/search/+34.6936,43.6259/@34.6936,43.6259,14z?hl=en","Maplink2")</f>
        <v>Maplink2</v>
      </c>
      <c r="AV2487" s="12" t="str">
        <f>HYPERLINK("http://www.bing.com/maps/?lvl=14&amp;sty=h&amp;cp=34.6936~43.6259&amp;sp=point.34.6936_43.6259","Maplink3")</f>
        <v>Maplink3</v>
      </c>
    </row>
    <row r="2488" spans="1:48" ht="15" customHeight="1" x14ac:dyDescent="0.25">
      <c r="A2488" s="19">
        <v>25984</v>
      </c>
      <c r="B2488" s="20" t="s">
        <v>23</v>
      </c>
      <c r="C2488" s="20" t="s">
        <v>4388</v>
      </c>
      <c r="D2488" s="20" t="s">
        <v>4417</v>
      </c>
      <c r="E2488" s="20" t="s">
        <v>4418</v>
      </c>
      <c r="F2488" s="20">
        <v>34.787411599999999</v>
      </c>
      <c r="G2488" s="20">
        <v>43.626029209999999</v>
      </c>
      <c r="H2488" s="22">
        <v>2</v>
      </c>
      <c r="I2488" s="22">
        <v>12</v>
      </c>
      <c r="J2488" s="21"/>
      <c r="K2488" s="21"/>
      <c r="L2488" s="21"/>
      <c r="M2488" s="21"/>
      <c r="N2488" s="21"/>
      <c r="O2488" s="21"/>
      <c r="P2488" s="21"/>
      <c r="Q2488" s="21"/>
      <c r="R2488" s="21">
        <v>2</v>
      </c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>
        <v>2</v>
      </c>
      <c r="AD2488" s="21"/>
      <c r="AE2488" s="21"/>
      <c r="AF2488" s="21"/>
      <c r="AG2488" s="21"/>
      <c r="AH2488" s="21"/>
      <c r="AI2488" s="21"/>
      <c r="AJ2488" s="21"/>
      <c r="AK2488" s="21"/>
      <c r="AL2488" s="21"/>
      <c r="AM2488" s="21"/>
      <c r="AN2488" s="21"/>
      <c r="AO2488" s="21"/>
      <c r="AP2488" s="21"/>
      <c r="AQ2488" s="21"/>
      <c r="AR2488" s="21">
        <v>2</v>
      </c>
      <c r="AS2488" s="21"/>
      <c r="AT2488" s="12" t="str">
        <f>HYPERLINK("http://www.openstreetmap.org/?mlat=34.7874&amp;mlon=43.626&amp;zoom=12#map=12/34.7874/43.626","Maplink1")</f>
        <v>Maplink1</v>
      </c>
      <c r="AU2488" s="12" t="str">
        <f>HYPERLINK("https://www.google.iq/maps/search/+34.7874,43.626/@34.7874,43.626,14z?hl=en","Maplink2")</f>
        <v>Maplink2</v>
      </c>
      <c r="AV2488" s="12" t="str">
        <f>HYPERLINK("http://www.bing.com/maps/?lvl=14&amp;sty=h&amp;cp=34.7874~43.626&amp;sp=point.34.7874_43.626","Maplink3")</f>
        <v>Maplink3</v>
      </c>
    </row>
    <row r="2489" spans="1:48" ht="15" customHeight="1" x14ac:dyDescent="0.25">
      <c r="A2489" s="19">
        <v>24248</v>
      </c>
      <c r="B2489" s="20" t="s">
        <v>23</v>
      </c>
      <c r="C2489" s="20" t="s">
        <v>4388</v>
      </c>
      <c r="D2489" s="20" t="s">
        <v>4419</v>
      </c>
      <c r="E2489" s="20" t="s">
        <v>4420</v>
      </c>
      <c r="F2489" s="20">
        <v>34.679689000000003</v>
      </c>
      <c r="G2489" s="20">
        <v>43.716175</v>
      </c>
      <c r="H2489" s="22">
        <v>142</v>
      </c>
      <c r="I2489" s="22">
        <v>852</v>
      </c>
      <c r="J2489" s="21"/>
      <c r="K2489" s="21"/>
      <c r="L2489" s="21"/>
      <c r="M2489" s="21"/>
      <c r="N2489" s="21"/>
      <c r="O2489" s="21"/>
      <c r="P2489" s="21"/>
      <c r="Q2489" s="21"/>
      <c r="R2489" s="21">
        <v>86</v>
      </c>
      <c r="S2489" s="21"/>
      <c r="T2489" s="21"/>
      <c r="U2489" s="21"/>
      <c r="V2489" s="21"/>
      <c r="W2489" s="21"/>
      <c r="X2489" s="21">
        <v>56</v>
      </c>
      <c r="Y2489" s="21"/>
      <c r="Z2489" s="21"/>
      <c r="AA2489" s="21"/>
      <c r="AB2489" s="21"/>
      <c r="AC2489" s="21"/>
      <c r="AD2489" s="21"/>
      <c r="AE2489" s="21"/>
      <c r="AF2489" s="21"/>
      <c r="AG2489" s="21"/>
      <c r="AH2489" s="21">
        <v>132</v>
      </c>
      <c r="AI2489" s="21"/>
      <c r="AJ2489" s="21">
        <v>10</v>
      </c>
      <c r="AK2489" s="21"/>
      <c r="AL2489" s="21"/>
      <c r="AM2489" s="21"/>
      <c r="AN2489" s="21"/>
      <c r="AO2489" s="21"/>
      <c r="AP2489" s="21"/>
      <c r="AQ2489" s="21">
        <v>56</v>
      </c>
      <c r="AR2489" s="21">
        <v>86</v>
      </c>
      <c r="AS2489" s="21"/>
      <c r="AT2489" s="12" t="str">
        <f>HYPERLINK("http://www.openstreetmap.org/?mlat=34.6797&amp;mlon=43.7162&amp;zoom=12#map=12/34.6797/43.7162","Maplink1")</f>
        <v>Maplink1</v>
      </c>
      <c r="AU2489" s="12" t="str">
        <f>HYPERLINK("https://www.google.iq/maps/search/+34.6797,43.7162/@34.6797,43.7162,14z?hl=en","Maplink2")</f>
        <v>Maplink2</v>
      </c>
      <c r="AV2489" s="12" t="str">
        <f>HYPERLINK("http://www.bing.com/maps/?lvl=14&amp;sty=h&amp;cp=34.6797~43.7162&amp;sp=point.34.6797_43.7162","Maplink3")</f>
        <v>Maplink3</v>
      </c>
    </row>
    <row r="2490" spans="1:48" ht="15" customHeight="1" x14ac:dyDescent="0.25">
      <c r="A2490" s="19">
        <v>33373</v>
      </c>
      <c r="B2490" s="20" t="s">
        <v>23</v>
      </c>
      <c r="C2490" s="20" t="s">
        <v>4388</v>
      </c>
      <c r="D2490" s="20" t="s">
        <v>5856</v>
      </c>
      <c r="E2490" s="20" t="s">
        <v>5857</v>
      </c>
      <c r="F2490" s="20">
        <v>34.580537</v>
      </c>
      <c r="G2490" s="20">
        <v>43.671055000000003</v>
      </c>
      <c r="H2490" s="22">
        <v>748</v>
      </c>
      <c r="I2490" s="22">
        <v>4488</v>
      </c>
      <c r="J2490" s="21"/>
      <c r="K2490" s="21"/>
      <c r="L2490" s="21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>
        <v>748</v>
      </c>
      <c r="Y2490" s="21"/>
      <c r="Z2490" s="21"/>
      <c r="AA2490" s="21"/>
      <c r="AB2490" s="21"/>
      <c r="AC2490" s="21"/>
      <c r="AD2490" s="21"/>
      <c r="AE2490" s="21"/>
      <c r="AF2490" s="21"/>
      <c r="AG2490" s="21"/>
      <c r="AH2490" s="21"/>
      <c r="AI2490" s="21"/>
      <c r="AJ2490" s="21">
        <v>748</v>
      </c>
      <c r="AK2490" s="21"/>
      <c r="AL2490" s="21"/>
      <c r="AM2490" s="21"/>
      <c r="AN2490" s="21"/>
      <c r="AO2490" s="21"/>
      <c r="AP2490" s="21"/>
      <c r="AQ2490" s="21">
        <v>367</v>
      </c>
      <c r="AR2490" s="21">
        <v>381</v>
      </c>
      <c r="AS2490" s="21"/>
      <c r="AT2490" s="12" t="str">
        <f>HYPERLINK("http://www.openstreetmap.org/?mlat=34.5805&amp;mlon=43.6711&amp;zoom=12#map=12/34.5805/43.6711","Maplink1")</f>
        <v>Maplink1</v>
      </c>
      <c r="AU2490" s="12" t="str">
        <f>HYPERLINK("https://www.google.iq/maps/search/+34.5805,43.6711/@34.5805,43.6711,14z?hl=en","Maplink2")</f>
        <v>Maplink2</v>
      </c>
      <c r="AV2490" s="12" t="str">
        <f>HYPERLINK("http://www.bing.com/maps/?lvl=14&amp;sty=h&amp;cp=34.5805~43.6711&amp;sp=point.34.5805_43.6711","Maplink3")</f>
        <v>Maplink3</v>
      </c>
    </row>
    <row r="2491" spans="1:48" ht="15" customHeight="1" x14ac:dyDescent="0.25">
      <c r="A2491" s="19">
        <v>20618</v>
      </c>
      <c r="B2491" s="20" t="s">
        <v>23</v>
      </c>
      <c r="C2491" s="20" t="s">
        <v>4388</v>
      </c>
      <c r="D2491" s="20" t="s">
        <v>5690</v>
      </c>
      <c r="E2491" s="20" t="s">
        <v>4421</v>
      </c>
      <c r="F2491" s="20">
        <v>34.700996000000004</v>
      </c>
      <c r="G2491" s="20">
        <v>43.616549999999997</v>
      </c>
      <c r="H2491" s="22">
        <v>65</v>
      </c>
      <c r="I2491" s="22">
        <v>390</v>
      </c>
      <c r="J2491" s="21"/>
      <c r="K2491" s="21"/>
      <c r="L2491" s="21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>
        <v>65</v>
      </c>
      <c r="Y2491" s="21"/>
      <c r="Z2491" s="21"/>
      <c r="AA2491" s="21"/>
      <c r="AB2491" s="21"/>
      <c r="AC2491" s="21"/>
      <c r="AD2491" s="21"/>
      <c r="AE2491" s="21"/>
      <c r="AF2491" s="21"/>
      <c r="AG2491" s="21"/>
      <c r="AH2491" s="21">
        <v>65</v>
      </c>
      <c r="AI2491" s="21"/>
      <c r="AJ2491" s="21"/>
      <c r="AK2491" s="21"/>
      <c r="AL2491" s="21"/>
      <c r="AM2491" s="21"/>
      <c r="AN2491" s="21"/>
      <c r="AO2491" s="21"/>
      <c r="AP2491" s="21"/>
      <c r="AQ2491" s="21">
        <v>25</v>
      </c>
      <c r="AR2491" s="21">
        <v>40</v>
      </c>
      <c r="AS2491" s="21"/>
      <c r="AT2491" s="12" t="str">
        <f>HYPERLINK("http://www.openstreetmap.org/?mlat=34.701&amp;mlon=43.6165&amp;zoom=12#map=12/34.701/43.6165","Maplink1")</f>
        <v>Maplink1</v>
      </c>
      <c r="AU2491" s="12" t="str">
        <f>HYPERLINK("https://www.google.iq/maps/search/+34.701,43.6165/@34.701,43.6165,14z?hl=en","Maplink2")</f>
        <v>Maplink2</v>
      </c>
      <c r="AV2491" s="12" t="str">
        <f>HYPERLINK("http://www.bing.com/maps/?lvl=14&amp;sty=h&amp;cp=34.701~43.6165&amp;sp=point.34.701_43.6165","Maplink3")</f>
        <v>Maplink3</v>
      </c>
    </row>
    <row r="2492" spans="1:48" ht="15" customHeight="1" x14ac:dyDescent="0.25">
      <c r="A2492" s="19">
        <v>20624</v>
      </c>
      <c r="B2492" s="20" t="s">
        <v>23</v>
      </c>
      <c r="C2492" s="20" t="s">
        <v>4388</v>
      </c>
      <c r="D2492" s="20" t="s">
        <v>5691</v>
      </c>
      <c r="E2492" s="20" t="s">
        <v>5692</v>
      </c>
      <c r="F2492" s="20">
        <v>34.582677920000002</v>
      </c>
      <c r="G2492" s="20">
        <v>43.68829058</v>
      </c>
      <c r="H2492" s="22">
        <v>5</v>
      </c>
      <c r="I2492" s="22">
        <v>30</v>
      </c>
      <c r="J2492" s="21"/>
      <c r="K2492" s="21"/>
      <c r="L2492" s="21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>
        <v>5</v>
      </c>
      <c r="Y2492" s="21"/>
      <c r="Z2492" s="21"/>
      <c r="AA2492" s="21"/>
      <c r="AB2492" s="21"/>
      <c r="AC2492" s="21"/>
      <c r="AD2492" s="21"/>
      <c r="AE2492" s="21"/>
      <c r="AF2492" s="21"/>
      <c r="AG2492" s="21"/>
      <c r="AH2492" s="21">
        <v>5</v>
      </c>
      <c r="AI2492" s="21"/>
      <c r="AJ2492" s="21"/>
      <c r="AK2492" s="21"/>
      <c r="AL2492" s="21"/>
      <c r="AM2492" s="21"/>
      <c r="AN2492" s="21"/>
      <c r="AO2492" s="21"/>
      <c r="AP2492" s="21"/>
      <c r="AQ2492" s="21"/>
      <c r="AR2492" s="21">
        <v>5</v>
      </c>
      <c r="AS2492" s="21"/>
      <c r="AT2492" s="12" t="str">
        <f>HYPERLINK("http://www.openstreetmap.org/?mlat=34.5827&amp;mlon=43.6883&amp;zoom=12#map=12/34.5827/43.6883","Maplink1")</f>
        <v>Maplink1</v>
      </c>
      <c r="AU2492" s="12" t="str">
        <f>HYPERLINK("https://www.google.iq/maps/search/+34.5827,43.6883/@34.5827,43.6883,14z?hl=en","Maplink2")</f>
        <v>Maplink2</v>
      </c>
      <c r="AV2492" s="12" t="str">
        <f>HYPERLINK("http://www.bing.com/maps/?lvl=14&amp;sty=h&amp;cp=34.5827~43.6883&amp;sp=point.34.5827_43.6883","Maplink3")</f>
        <v>Maplink3</v>
      </c>
    </row>
    <row r="2493" spans="1:48" ht="15" customHeight="1" x14ac:dyDescent="0.25">
      <c r="A2493" s="19">
        <v>23301</v>
      </c>
      <c r="B2493" s="20" t="s">
        <v>23</v>
      </c>
      <c r="C2493" s="20" t="s">
        <v>4388</v>
      </c>
      <c r="D2493" s="20" t="s">
        <v>5693</v>
      </c>
      <c r="E2493" s="20" t="s">
        <v>5694</v>
      </c>
      <c r="F2493" s="20">
        <v>34.573701999999997</v>
      </c>
      <c r="G2493" s="20">
        <v>43.6828547</v>
      </c>
      <c r="H2493" s="22">
        <v>10</v>
      </c>
      <c r="I2493" s="22">
        <v>60</v>
      </c>
      <c r="J2493" s="21"/>
      <c r="K2493" s="21"/>
      <c r="L2493" s="21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>
        <v>10</v>
      </c>
      <c r="Y2493" s="21"/>
      <c r="Z2493" s="21"/>
      <c r="AA2493" s="21"/>
      <c r="AB2493" s="21"/>
      <c r="AC2493" s="21"/>
      <c r="AD2493" s="21"/>
      <c r="AE2493" s="21"/>
      <c r="AF2493" s="21"/>
      <c r="AG2493" s="21"/>
      <c r="AH2493" s="21">
        <v>10</v>
      </c>
      <c r="AI2493" s="21"/>
      <c r="AJ2493" s="21"/>
      <c r="AK2493" s="21"/>
      <c r="AL2493" s="21"/>
      <c r="AM2493" s="21"/>
      <c r="AN2493" s="21"/>
      <c r="AO2493" s="21"/>
      <c r="AP2493" s="21"/>
      <c r="AQ2493" s="21">
        <v>10</v>
      </c>
      <c r="AR2493" s="21"/>
      <c r="AS2493" s="21"/>
      <c r="AT2493" s="12" t="str">
        <f>HYPERLINK("http://www.openstreetmap.org/?mlat=34.5737&amp;mlon=43.6829&amp;zoom=12#map=12/34.5737/43.6829","Maplink1")</f>
        <v>Maplink1</v>
      </c>
      <c r="AU2493" s="12" t="str">
        <f>HYPERLINK("https://www.google.iq/maps/search/+34.5737,43.6829/@34.5737,43.6829,14z?hl=en","Maplink2")</f>
        <v>Maplink2</v>
      </c>
      <c r="AV2493" s="12" t="str">
        <f>HYPERLINK("http://www.bing.com/maps/?lvl=14&amp;sty=h&amp;cp=34.5737~43.6829&amp;sp=point.34.5737_43.6829","Maplink3")</f>
        <v>Maplink3</v>
      </c>
    </row>
    <row r="2494" spans="1:48" ht="15" customHeight="1" x14ac:dyDescent="0.25">
      <c r="A2494" s="19">
        <v>23244</v>
      </c>
      <c r="B2494" s="20" t="s">
        <v>23</v>
      </c>
      <c r="C2494" s="20" t="s">
        <v>4388</v>
      </c>
      <c r="D2494" s="20" t="s">
        <v>3930</v>
      </c>
      <c r="E2494" s="20" t="s">
        <v>2260</v>
      </c>
      <c r="F2494" s="20">
        <v>34.6864536</v>
      </c>
      <c r="G2494" s="20">
        <v>43.716350300000002</v>
      </c>
      <c r="H2494" s="22">
        <v>520</v>
      </c>
      <c r="I2494" s="22">
        <v>3120</v>
      </c>
      <c r="J2494" s="21"/>
      <c r="K2494" s="21"/>
      <c r="L2494" s="21"/>
      <c r="M2494" s="21"/>
      <c r="N2494" s="21"/>
      <c r="O2494" s="21"/>
      <c r="P2494" s="21"/>
      <c r="Q2494" s="21"/>
      <c r="R2494" s="21">
        <v>376</v>
      </c>
      <c r="S2494" s="21"/>
      <c r="T2494" s="21"/>
      <c r="U2494" s="21"/>
      <c r="V2494" s="21"/>
      <c r="W2494" s="21"/>
      <c r="X2494" s="21">
        <v>144</v>
      </c>
      <c r="Y2494" s="21"/>
      <c r="Z2494" s="21"/>
      <c r="AA2494" s="21"/>
      <c r="AB2494" s="21"/>
      <c r="AC2494" s="21">
        <v>110</v>
      </c>
      <c r="AD2494" s="21"/>
      <c r="AE2494" s="21">
        <v>45</v>
      </c>
      <c r="AF2494" s="21"/>
      <c r="AG2494" s="21"/>
      <c r="AH2494" s="21">
        <v>325</v>
      </c>
      <c r="AI2494" s="21"/>
      <c r="AJ2494" s="21">
        <v>40</v>
      </c>
      <c r="AK2494" s="21"/>
      <c r="AL2494" s="21"/>
      <c r="AM2494" s="21"/>
      <c r="AN2494" s="21"/>
      <c r="AO2494" s="21"/>
      <c r="AP2494" s="21">
        <v>135</v>
      </c>
      <c r="AQ2494" s="21">
        <v>376</v>
      </c>
      <c r="AR2494" s="21">
        <v>9</v>
      </c>
      <c r="AS2494" s="21"/>
      <c r="AT2494" s="12" t="str">
        <f>HYPERLINK("http://www.openstreetmap.org/?mlat=34.6865&amp;mlon=43.7164&amp;zoom=12#map=12/34.6865/43.7164","Maplink1")</f>
        <v>Maplink1</v>
      </c>
      <c r="AU2494" s="12" t="str">
        <f>HYPERLINK("https://www.google.iq/maps/search/+34.6865,43.7164/@34.6865,43.7164,14z?hl=en","Maplink2")</f>
        <v>Maplink2</v>
      </c>
      <c r="AV2494" s="12" t="str">
        <f>HYPERLINK("http://www.bing.com/maps/?lvl=14&amp;sty=h&amp;cp=34.6865~43.7164&amp;sp=point.34.6865_43.7164","Maplink3")</f>
        <v>Maplink3</v>
      </c>
    </row>
    <row r="2495" spans="1:48" ht="15" customHeight="1" x14ac:dyDescent="0.25">
      <c r="A2495" s="19">
        <v>23206</v>
      </c>
      <c r="B2495" s="20" t="s">
        <v>23</v>
      </c>
      <c r="C2495" s="20" t="s">
        <v>4388</v>
      </c>
      <c r="D2495" s="20" t="s">
        <v>4423</v>
      </c>
      <c r="E2495" s="20" t="s">
        <v>5695</v>
      </c>
      <c r="F2495" s="20">
        <v>34.602993669999996</v>
      </c>
      <c r="G2495" s="20">
        <v>43.677188630000003</v>
      </c>
      <c r="H2495" s="22">
        <v>130</v>
      </c>
      <c r="I2495" s="22">
        <v>780</v>
      </c>
      <c r="J2495" s="21"/>
      <c r="K2495" s="21"/>
      <c r="L2495" s="21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>
        <v>1</v>
      </c>
      <c r="W2495" s="21"/>
      <c r="X2495" s="21">
        <v>129</v>
      </c>
      <c r="Y2495" s="21"/>
      <c r="Z2495" s="21"/>
      <c r="AA2495" s="21"/>
      <c r="AB2495" s="21"/>
      <c r="AC2495" s="21"/>
      <c r="AD2495" s="21"/>
      <c r="AE2495" s="21"/>
      <c r="AF2495" s="21"/>
      <c r="AG2495" s="21"/>
      <c r="AH2495" s="21">
        <v>130</v>
      </c>
      <c r="AI2495" s="21"/>
      <c r="AJ2495" s="21"/>
      <c r="AK2495" s="21"/>
      <c r="AL2495" s="21"/>
      <c r="AM2495" s="21"/>
      <c r="AN2495" s="21"/>
      <c r="AO2495" s="21">
        <v>115</v>
      </c>
      <c r="AP2495" s="21"/>
      <c r="AQ2495" s="21">
        <v>14</v>
      </c>
      <c r="AR2495" s="21">
        <v>1</v>
      </c>
      <c r="AS2495" s="21"/>
      <c r="AT2495" s="12" t="str">
        <f>HYPERLINK("http://www.openstreetmap.org/?mlat=34.603&amp;mlon=43.6772&amp;zoom=12#map=12/34.603/43.6772","Maplink1")</f>
        <v>Maplink1</v>
      </c>
      <c r="AU2495" s="12" t="str">
        <f>HYPERLINK("https://www.google.iq/maps/search/+34.603,43.6772/@34.603,43.6772,14z?hl=en","Maplink2")</f>
        <v>Maplink2</v>
      </c>
      <c r="AV2495" s="12" t="str">
        <f>HYPERLINK("http://www.bing.com/maps/?lvl=14&amp;sty=h&amp;cp=34.603~43.6772&amp;sp=point.34.603_43.6772","Maplink3")</f>
        <v>Maplink3</v>
      </c>
    </row>
    <row r="2496" spans="1:48" ht="15" customHeight="1" x14ac:dyDescent="0.25">
      <c r="A2496" s="19">
        <v>24247</v>
      </c>
      <c r="B2496" s="20" t="s">
        <v>23</v>
      </c>
      <c r="C2496" s="20" t="s">
        <v>4388</v>
      </c>
      <c r="D2496" s="20" t="s">
        <v>4424</v>
      </c>
      <c r="E2496" s="20" t="s">
        <v>4425</v>
      </c>
      <c r="F2496" s="20">
        <v>34.691659899999998</v>
      </c>
      <c r="G2496" s="20">
        <v>43.710122949999999</v>
      </c>
      <c r="H2496" s="22">
        <v>221</v>
      </c>
      <c r="I2496" s="22">
        <v>1326</v>
      </c>
      <c r="J2496" s="21"/>
      <c r="K2496" s="21"/>
      <c r="L2496" s="21"/>
      <c r="M2496" s="21"/>
      <c r="N2496" s="21"/>
      <c r="O2496" s="21"/>
      <c r="P2496" s="21"/>
      <c r="Q2496" s="21"/>
      <c r="R2496" s="21">
        <v>159</v>
      </c>
      <c r="S2496" s="21"/>
      <c r="T2496" s="21"/>
      <c r="U2496" s="21"/>
      <c r="V2496" s="21"/>
      <c r="W2496" s="21"/>
      <c r="X2496" s="21">
        <v>62</v>
      </c>
      <c r="Y2496" s="21"/>
      <c r="Z2496" s="21"/>
      <c r="AA2496" s="21"/>
      <c r="AB2496" s="21"/>
      <c r="AC2496" s="21"/>
      <c r="AD2496" s="21"/>
      <c r="AE2496" s="21"/>
      <c r="AF2496" s="21"/>
      <c r="AG2496" s="21"/>
      <c r="AH2496" s="21">
        <v>129</v>
      </c>
      <c r="AI2496" s="21"/>
      <c r="AJ2496" s="21">
        <v>92</v>
      </c>
      <c r="AK2496" s="21"/>
      <c r="AL2496" s="21"/>
      <c r="AM2496" s="21"/>
      <c r="AN2496" s="21"/>
      <c r="AO2496" s="21"/>
      <c r="AP2496" s="21"/>
      <c r="AQ2496" s="21"/>
      <c r="AR2496" s="21">
        <v>190</v>
      </c>
      <c r="AS2496" s="21">
        <v>31</v>
      </c>
      <c r="AT2496" s="12" t="str">
        <f>HYPERLINK("http://www.openstreetmap.org/?mlat=34.6917&amp;mlon=43.7101&amp;zoom=12#map=12/34.6917/43.7101","Maplink1")</f>
        <v>Maplink1</v>
      </c>
      <c r="AU2496" s="12" t="str">
        <f>HYPERLINK("https://www.google.iq/maps/search/+34.6917,43.7101/@34.6917,43.7101,14z?hl=en","Maplink2")</f>
        <v>Maplink2</v>
      </c>
      <c r="AV2496" s="12" t="str">
        <f>HYPERLINK("http://www.bing.com/maps/?lvl=14&amp;sty=h&amp;cp=34.6917~43.7101&amp;sp=point.34.6917_43.7101","Maplink3")</f>
        <v>Maplink3</v>
      </c>
    </row>
    <row r="2497" spans="1:48" ht="15" customHeight="1" x14ac:dyDescent="0.25">
      <c r="A2497" s="19">
        <v>20638</v>
      </c>
      <c r="B2497" s="20" t="s">
        <v>23</v>
      </c>
      <c r="C2497" s="20" t="s">
        <v>4388</v>
      </c>
      <c r="D2497" s="20" t="s">
        <v>473</v>
      </c>
      <c r="E2497" s="20" t="s">
        <v>474</v>
      </c>
      <c r="F2497" s="20">
        <v>34.633057360000002</v>
      </c>
      <c r="G2497" s="20">
        <v>43.667286799999999</v>
      </c>
      <c r="H2497" s="22">
        <v>179</v>
      </c>
      <c r="I2497" s="22">
        <v>1074</v>
      </c>
      <c r="J2497" s="21"/>
      <c r="K2497" s="21"/>
      <c r="L2497" s="21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>
        <v>179</v>
      </c>
      <c r="Y2497" s="21"/>
      <c r="Z2497" s="21"/>
      <c r="AA2497" s="21"/>
      <c r="AB2497" s="21"/>
      <c r="AC2497" s="21"/>
      <c r="AD2497" s="21"/>
      <c r="AE2497" s="21"/>
      <c r="AF2497" s="21"/>
      <c r="AG2497" s="21"/>
      <c r="AH2497" s="21">
        <v>173</v>
      </c>
      <c r="AI2497" s="21">
        <v>6</v>
      </c>
      <c r="AJ2497" s="21"/>
      <c r="AK2497" s="21"/>
      <c r="AL2497" s="21"/>
      <c r="AM2497" s="21"/>
      <c r="AN2497" s="21"/>
      <c r="AO2497" s="21"/>
      <c r="AP2497" s="21"/>
      <c r="AQ2497" s="21">
        <v>179</v>
      </c>
      <c r="AR2497" s="21"/>
      <c r="AS2497" s="21"/>
      <c r="AT2497" s="12" t="str">
        <f>HYPERLINK("http://www.openstreetmap.org/?mlat=34.6331&amp;mlon=43.6673&amp;zoom=12#map=12/34.6331/43.6673","Maplink1")</f>
        <v>Maplink1</v>
      </c>
      <c r="AU2497" s="12" t="str">
        <f>HYPERLINK("https://www.google.iq/maps/search/+34.6331,43.6673/@34.6331,43.6673,14z?hl=en","Maplink2")</f>
        <v>Maplink2</v>
      </c>
      <c r="AV2497" s="12" t="str">
        <f>HYPERLINK("http://www.bing.com/maps/?lvl=14&amp;sty=h&amp;cp=34.6331~43.6673&amp;sp=point.34.6331_43.6673","Maplink3")</f>
        <v>Maplink3</v>
      </c>
    </row>
    <row r="2498" spans="1:48" ht="15" customHeight="1" x14ac:dyDescent="0.25">
      <c r="A2498" s="19">
        <v>20608</v>
      </c>
      <c r="B2498" s="20" t="s">
        <v>23</v>
      </c>
      <c r="C2498" s="20" t="s">
        <v>4388</v>
      </c>
      <c r="D2498" s="20" t="s">
        <v>4426</v>
      </c>
      <c r="E2498" s="20" t="s">
        <v>4427</v>
      </c>
      <c r="F2498" s="20">
        <v>34.6975962</v>
      </c>
      <c r="G2498" s="20">
        <v>43.718533999999998</v>
      </c>
      <c r="H2498" s="22">
        <v>20</v>
      </c>
      <c r="I2498" s="22">
        <v>120</v>
      </c>
      <c r="J2498" s="21"/>
      <c r="K2498" s="21"/>
      <c r="L2498" s="21"/>
      <c r="M2498" s="21"/>
      <c r="N2498" s="21"/>
      <c r="O2498" s="21"/>
      <c r="P2498" s="21"/>
      <c r="Q2498" s="21"/>
      <c r="R2498" s="21">
        <v>15</v>
      </c>
      <c r="S2498" s="21"/>
      <c r="T2498" s="21"/>
      <c r="U2498" s="21"/>
      <c r="V2498" s="21"/>
      <c r="W2498" s="21"/>
      <c r="X2498" s="21">
        <v>5</v>
      </c>
      <c r="Y2498" s="21"/>
      <c r="Z2498" s="21"/>
      <c r="AA2498" s="21"/>
      <c r="AB2498" s="21"/>
      <c r="AC2498" s="21"/>
      <c r="AD2498" s="21"/>
      <c r="AE2498" s="21">
        <v>6</v>
      </c>
      <c r="AF2498" s="21"/>
      <c r="AG2498" s="21"/>
      <c r="AH2498" s="21">
        <v>4</v>
      </c>
      <c r="AI2498" s="21"/>
      <c r="AJ2498" s="21">
        <v>10</v>
      </c>
      <c r="AK2498" s="21"/>
      <c r="AL2498" s="21"/>
      <c r="AM2498" s="21"/>
      <c r="AN2498" s="21"/>
      <c r="AO2498" s="21"/>
      <c r="AP2498" s="21">
        <v>15</v>
      </c>
      <c r="AQ2498" s="21">
        <v>5</v>
      </c>
      <c r="AR2498" s="21"/>
      <c r="AS2498" s="21"/>
      <c r="AT2498" s="12" t="str">
        <f>HYPERLINK("http://www.openstreetmap.org/?mlat=34.6976&amp;mlon=43.7185&amp;zoom=12#map=12/34.6976/43.7185","Maplink1")</f>
        <v>Maplink1</v>
      </c>
      <c r="AU2498" s="12" t="str">
        <f>HYPERLINK("https://www.google.iq/maps/search/+34.6976,43.7185/@34.6976,43.7185,14z?hl=en","Maplink2")</f>
        <v>Maplink2</v>
      </c>
      <c r="AV2498" s="12" t="str">
        <f>HYPERLINK("http://www.bing.com/maps/?lvl=14&amp;sty=h&amp;cp=34.6976~43.7185&amp;sp=point.34.6976_43.7185","Maplink3")</f>
        <v>Maplink3</v>
      </c>
    </row>
    <row r="2499" spans="1:48" ht="15" customHeight="1" x14ac:dyDescent="0.25">
      <c r="A2499" s="19">
        <v>22812</v>
      </c>
      <c r="B2499" s="20" t="s">
        <v>23</v>
      </c>
      <c r="C2499" s="20" t="s">
        <v>4388</v>
      </c>
      <c r="D2499" s="20" t="s">
        <v>5696</v>
      </c>
      <c r="E2499" s="20" t="s">
        <v>5697</v>
      </c>
      <c r="F2499" s="20">
        <v>34.600511169999997</v>
      </c>
      <c r="G2499" s="20">
        <v>43.675698274699997</v>
      </c>
      <c r="H2499" s="22">
        <v>30</v>
      </c>
      <c r="I2499" s="22">
        <v>180</v>
      </c>
      <c r="J2499" s="21"/>
      <c r="K2499" s="21"/>
      <c r="L2499" s="21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>
        <v>30</v>
      </c>
      <c r="Y2499" s="21"/>
      <c r="Z2499" s="21"/>
      <c r="AA2499" s="21"/>
      <c r="AB2499" s="21"/>
      <c r="AC2499" s="21"/>
      <c r="AD2499" s="21"/>
      <c r="AE2499" s="21"/>
      <c r="AF2499" s="21"/>
      <c r="AG2499" s="21"/>
      <c r="AH2499" s="21">
        <v>30</v>
      </c>
      <c r="AI2499" s="21"/>
      <c r="AJ2499" s="21"/>
      <c r="AK2499" s="21"/>
      <c r="AL2499" s="21"/>
      <c r="AM2499" s="21">
        <v>10</v>
      </c>
      <c r="AN2499" s="21">
        <v>10</v>
      </c>
      <c r="AO2499" s="21">
        <v>5</v>
      </c>
      <c r="AP2499" s="21"/>
      <c r="AQ2499" s="21">
        <v>5</v>
      </c>
      <c r="AR2499" s="21"/>
      <c r="AS2499" s="21"/>
      <c r="AT2499" s="12" t="str">
        <f>HYPERLINK("http://www.openstreetmap.org/?mlat=34.6005&amp;mlon=43.6757&amp;zoom=12#map=12/34.6005/43.6757","Maplink1")</f>
        <v>Maplink1</v>
      </c>
      <c r="AU2499" s="12" t="str">
        <f>HYPERLINK("https://www.google.iq/maps/search/+34.6005,43.6757/@34.6005,43.6757,14z?hl=en","Maplink2")</f>
        <v>Maplink2</v>
      </c>
      <c r="AV2499" s="12" t="str">
        <f>HYPERLINK("http://www.bing.com/maps/?lvl=14&amp;sty=h&amp;cp=34.6005~43.6757&amp;sp=point.34.6005_43.6757","Maplink3")</f>
        <v>Maplink3</v>
      </c>
    </row>
    <row r="2500" spans="1:48" ht="15" customHeight="1" x14ac:dyDescent="0.25">
      <c r="A2500" s="19">
        <v>21592</v>
      </c>
      <c r="B2500" s="20" t="s">
        <v>23</v>
      </c>
      <c r="C2500" s="20" t="s">
        <v>4388</v>
      </c>
      <c r="D2500" s="20" t="s">
        <v>4429</v>
      </c>
      <c r="E2500" s="20" t="s">
        <v>5698</v>
      </c>
      <c r="F2500" s="20">
        <v>34.712789360000002</v>
      </c>
      <c r="G2500" s="20">
        <v>43.71913112</v>
      </c>
      <c r="H2500" s="22">
        <v>218</v>
      </c>
      <c r="I2500" s="22">
        <v>1308</v>
      </c>
      <c r="J2500" s="21"/>
      <c r="K2500" s="21"/>
      <c r="L2500" s="21"/>
      <c r="M2500" s="21"/>
      <c r="N2500" s="21"/>
      <c r="O2500" s="21"/>
      <c r="P2500" s="21"/>
      <c r="Q2500" s="21"/>
      <c r="R2500" s="21">
        <v>168</v>
      </c>
      <c r="S2500" s="21"/>
      <c r="T2500" s="21"/>
      <c r="U2500" s="21"/>
      <c r="V2500" s="21"/>
      <c r="W2500" s="21"/>
      <c r="X2500" s="21">
        <v>50</v>
      </c>
      <c r="Y2500" s="21"/>
      <c r="Z2500" s="21"/>
      <c r="AA2500" s="21"/>
      <c r="AB2500" s="21"/>
      <c r="AC2500" s="21"/>
      <c r="AD2500" s="21"/>
      <c r="AE2500" s="21">
        <v>47</v>
      </c>
      <c r="AF2500" s="21"/>
      <c r="AG2500" s="21"/>
      <c r="AH2500" s="21">
        <v>83</v>
      </c>
      <c r="AI2500" s="21"/>
      <c r="AJ2500" s="21">
        <v>88</v>
      </c>
      <c r="AK2500" s="21"/>
      <c r="AL2500" s="21"/>
      <c r="AM2500" s="21"/>
      <c r="AN2500" s="21"/>
      <c r="AO2500" s="21"/>
      <c r="AP2500" s="21"/>
      <c r="AQ2500" s="21"/>
      <c r="AR2500" s="21">
        <v>218</v>
      </c>
      <c r="AS2500" s="21"/>
      <c r="AT2500" s="12" t="str">
        <f>HYPERLINK("http://www.openstreetmap.org/?mlat=34.7128&amp;mlon=43.7191&amp;zoom=12#map=12/34.7128/43.7191","Maplink1")</f>
        <v>Maplink1</v>
      </c>
      <c r="AU2500" s="12" t="str">
        <f>HYPERLINK("https://www.google.iq/maps/search/+34.7128,43.7191/@34.7128,43.7191,14z?hl=en","Maplink2")</f>
        <v>Maplink2</v>
      </c>
      <c r="AV2500" s="12" t="str">
        <f>HYPERLINK("http://www.bing.com/maps/?lvl=14&amp;sty=h&amp;cp=34.7128~43.7191&amp;sp=point.34.7128_43.7191","Maplink3")</f>
        <v>Maplink3</v>
      </c>
    </row>
    <row r="2501" spans="1:48" ht="15" customHeight="1" x14ac:dyDescent="0.25">
      <c r="A2501" s="19">
        <v>20622</v>
      </c>
      <c r="B2501" s="20" t="s">
        <v>23</v>
      </c>
      <c r="C2501" s="20" t="s">
        <v>4388</v>
      </c>
      <c r="D2501" s="20" t="s">
        <v>5699</v>
      </c>
      <c r="E2501" s="20" t="s">
        <v>1409</v>
      </c>
      <c r="F2501" s="20">
        <v>34.70311367</v>
      </c>
      <c r="G2501" s="20">
        <v>43.612091700000001</v>
      </c>
      <c r="H2501" s="22">
        <v>74</v>
      </c>
      <c r="I2501" s="22">
        <v>444</v>
      </c>
      <c r="J2501" s="21"/>
      <c r="K2501" s="21"/>
      <c r="L2501" s="21"/>
      <c r="M2501" s="21"/>
      <c r="N2501" s="21"/>
      <c r="O2501" s="21"/>
      <c r="P2501" s="21"/>
      <c r="Q2501" s="21"/>
      <c r="R2501" s="21">
        <v>1</v>
      </c>
      <c r="S2501" s="21"/>
      <c r="T2501" s="21"/>
      <c r="U2501" s="21"/>
      <c r="V2501" s="21"/>
      <c r="W2501" s="21"/>
      <c r="X2501" s="21">
        <v>73</v>
      </c>
      <c r="Y2501" s="21"/>
      <c r="Z2501" s="21"/>
      <c r="AA2501" s="21"/>
      <c r="AB2501" s="21"/>
      <c r="AC2501" s="21"/>
      <c r="AD2501" s="21"/>
      <c r="AE2501" s="21">
        <v>14</v>
      </c>
      <c r="AF2501" s="21"/>
      <c r="AG2501" s="21"/>
      <c r="AH2501" s="21">
        <v>60</v>
      </c>
      <c r="AI2501" s="21"/>
      <c r="AJ2501" s="21"/>
      <c r="AK2501" s="21"/>
      <c r="AL2501" s="21"/>
      <c r="AM2501" s="21"/>
      <c r="AN2501" s="21"/>
      <c r="AO2501" s="21"/>
      <c r="AP2501" s="21"/>
      <c r="AQ2501" s="21">
        <v>69</v>
      </c>
      <c r="AR2501" s="21">
        <v>4</v>
      </c>
      <c r="AS2501" s="21">
        <v>1</v>
      </c>
      <c r="AT2501" s="12" t="str">
        <f>HYPERLINK("http://www.openstreetmap.org/?mlat=34.7031&amp;mlon=43.6121&amp;zoom=12#map=12/34.7031/43.6121","Maplink1")</f>
        <v>Maplink1</v>
      </c>
      <c r="AU2501" s="12" t="str">
        <f>HYPERLINK("https://www.google.iq/maps/search/+34.7031,43.6121/@34.7031,43.6121,14z?hl=en","Maplink2")</f>
        <v>Maplink2</v>
      </c>
      <c r="AV2501" s="12" t="str">
        <f>HYPERLINK("http://www.bing.com/maps/?lvl=14&amp;sty=h&amp;cp=34.7031~43.6121&amp;sp=point.34.7031_43.6121","Maplink3")</f>
        <v>Maplink3</v>
      </c>
    </row>
    <row r="2502" spans="1:48" ht="15" customHeight="1" x14ac:dyDescent="0.25">
      <c r="A2502" s="19">
        <v>22468</v>
      </c>
      <c r="B2502" s="20" t="s">
        <v>23</v>
      </c>
      <c r="C2502" s="20" t="s">
        <v>4388</v>
      </c>
      <c r="D2502" s="20" t="s">
        <v>5700</v>
      </c>
      <c r="E2502" s="20" t="s">
        <v>5701</v>
      </c>
      <c r="F2502" s="20">
        <v>34.587520099999999</v>
      </c>
      <c r="G2502" s="20">
        <v>43.673181399999997</v>
      </c>
      <c r="H2502" s="22">
        <v>248</v>
      </c>
      <c r="I2502" s="22">
        <v>1488</v>
      </c>
      <c r="J2502" s="21"/>
      <c r="K2502" s="21"/>
      <c r="L2502" s="21"/>
      <c r="M2502" s="21"/>
      <c r="N2502" s="21"/>
      <c r="O2502" s="21"/>
      <c r="P2502" s="21"/>
      <c r="Q2502" s="21"/>
      <c r="R2502" s="21">
        <v>7</v>
      </c>
      <c r="S2502" s="21"/>
      <c r="T2502" s="21"/>
      <c r="U2502" s="21"/>
      <c r="V2502" s="21">
        <v>8</v>
      </c>
      <c r="W2502" s="21"/>
      <c r="X2502" s="21">
        <v>233</v>
      </c>
      <c r="Y2502" s="21"/>
      <c r="Z2502" s="21"/>
      <c r="AA2502" s="21"/>
      <c r="AB2502" s="21"/>
      <c r="AC2502" s="21"/>
      <c r="AD2502" s="21"/>
      <c r="AE2502" s="21"/>
      <c r="AF2502" s="21"/>
      <c r="AG2502" s="21"/>
      <c r="AH2502" s="21">
        <v>231</v>
      </c>
      <c r="AI2502" s="21">
        <v>17</v>
      </c>
      <c r="AJ2502" s="21"/>
      <c r="AK2502" s="21"/>
      <c r="AL2502" s="21"/>
      <c r="AM2502" s="21"/>
      <c r="AN2502" s="21"/>
      <c r="AO2502" s="21"/>
      <c r="AP2502" s="21"/>
      <c r="AQ2502" s="21">
        <v>145</v>
      </c>
      <c r="AR2502" s="21">
        <v>99</v>
      </c>
      <c r="AS2502" s="21">
        <v>4</v>
      </c>
      <c r="AT2502" s="12" t="str">
        <f>HYPERLINK("http://www.openstreetmap.org/?mlat=34.5875&amp;mlon=43.6732&amp;zoom=12#map=12/34.5875/43.6732","Maplink1")</f>
        <v>Maplink1</v>
      </c>
      <c r="AU2502" s="12" t="str">
        <f>HYPERLINK("https://www.google.iq/maps/search/+34.5875,43.6732/@34.5875,43.6732,14z?hl=en","Maplink2")</f>
        <v>Maplink2</v>
      </c>
      <c r="AV2502" s="12" t="str">
        <f>HYPERLINK("http://www.bing.com/maps/?lvl=14&amp;sty=h&amp;cp=34.5875~43.6732&amp;sp=point.34.5875_43.6732","Maplink3")</f>
        <v>Maplink3</v>
      </c>
    </row>
    <row r="2503" spans="1:48" ht="15" customHeight="1" x14ac:dyDescent="0.25">
      <c r="A2503" s="19">
        <v>28412</v>
      </c>
      <c r="B2503" s="20" t="s">
        <v>23</v>
      </c>
      <c r="C2503" s="20" t="s">
        <v>4388</v>
      </c>
      <c r="D2503" s="20" t="s">
        <v>4430</v>
      </c>
      <c r="E2503" s="20" t="s">
        <v>4431</v>
      </c>
      <c r="F2503" s="20">
        <v>34.601486000000001</v>
      </c>
      <c r="G2503" s="20">
        <v>43.671975000000003</v>
      </c>
      <c r="H2503" s="22">
        <v>18</v>
      </c>
      <c r="I2503" s="22">
        <v>108</v>
      </c>
      <c r="J2503" s="21"/>
      <c r="K2503" s="21"/>
      <c r="L2503" s="21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>
        <v>6</v>
      </c>
      <c r="W2503" s="21"/>
      <c r="X2503" s="21">
        <v>12</v>
      </c>
      <c r="Y2503" s="21"/>
      <c r="Z2503" s="21"/>
      <c r="AA2503" s="21"/>
      <c r="AB2503" s="21"/>
      <c r="AC2503" s="21"/>
      <c r="AD2503" s="21"/>
      <c r="AE2503" s="21"/>
      <c r="AF2503" s="21"/>
      <c r="AG2503" s="21"/>
      <c r="AH2503" s="21">
        <v>18</v>
      </c>
      <c r="AI2503" s="21"/>
      <c r="AJ2503" s="21"/>
      <c r="AK2503" s="21"/>
      <c r="AL2503" s="21"/>
      <c r="AM2503" s="21"/>
      <c r="AN2503" s="21"/>
      <c r="AO2503" s="21"/>
      <c r="AP2503" s="21">
        <v>10</v>
      </c>
      <c r="AQ2503" s="21">
        <v>8</v>
      </c>
      <c r="AR2503" s="21"/>
      <c r="AS2503" s="21"/>
      <c r="AT2503" s="12" t="str">
        <f>HYPERLINK("http://www.openstreetmap.org/?mlat=34.6015&amp;mlon=43.672&amp;zoom=12#map=12/34.6015/43.672","Maplink1")</f>
        <v>Maplink1</v>
      </c>
      <c r="AU2503" s="12" t="str">
        <f>HYPERLINK("https://www.google.iq/maps/search/+34.6015,43.672/@34.6015,43.672,14z?hl=en","Maplink2")</f>
        <v>Maplink2</v>
      </c>
      <c r="AV2503" s="12" t="str">
        <f>HYPERLINK("http://www.bing.com/maps/?lvl=14&amp;sty=h&amp;cp=34.6015~43.672&amp;sp=point.34.6015_43.672","Maplink3")</f>
        <v>Maplink3</v>
      </c>
    </row>
    <row r="2504" spans="1:48" ht="15" customHeight="1" x14ac:dyDescent="0.25">
      <c r="A2504" s="19">
        <v>28478</v>
      </c>
      <c r="B2504" s="20" t="s">
        <v>23</v>
      </c>
      <c r="C2504" s="20" t="s">
        <v>4388</v>
      </c>
      <c r="D2504" s="20" t="s">
        <v>4432</v>
      </c>
      <c r="E2504" s="20" t="s">
        <v>3178</v>
      </c>
      <c r="F2504" s="20">
        <v>34.596666710000001</v>
      </c>
      <c r="G2504" s="20">
        <v>43.673562429999997</v>
      </c>
      <c r="H2504" s="22">
        <v>18</v>
      </c>
      <c r="I2504" s="22">
        <v>108</v>
      </c>
      <c r="J2504" s="21"/>
      <c r="K2504" s="21"/>
      <c r="L2504" s="21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>
        <v>18</v>
      </c>
      <c r="Y2504" s="21"/>
      <c r="Z2504" s="21"/>
      <c r="AA2504" s="21"/>
      <c r="AB2504" s="21"/>
      <c r="AC2504" s="21"/>
      <c r="AD2504" s="21"/>
      <c r="AE2504" s="21"/>
      <c r="AF2504" s="21"/>
      <c r="AG2504" s="21"/>
      <c r="AH2504" s="21">
        <v>18</v>
      </c>
      <c r="AI2504" s="21"/>
      <c r="AJ2504" s="21"/>
      <c r="AK2504" s="21"/>
      <c r="AL2504" s="21"/>
      <c r="AM2504" s="21"/>
      <c r="AN2504" s="21"/>
      <c r="AO2504" s="21"/>
      <c r="AP2504" s="21"/>
      <c r="AQ2504" s="21"/>
      <c r="AR2504" s="21">
        <v>18</v>
      </c>
      <c r="AS2504" s="21"/>
      <c r="AT2504" s="12" t="str">
        <f>HYPERLINK("http://www.openstreetmap.org/?mlat=34.5967&amp;mlon=43.6736&amp;zoom=12#map=12/34.5967/43.6736","Maplink1")</f>
        <v>Maplink1</v>
      </c>
      <c r="AU2504" s="12" t="str">
        <f>HYPERLINK("https://www.google.iq/maps/search/+34.5967,43.6736/@34.5967,43.6736,14z?hl=en","Maplink2")</f>
        <v>Maplink2</v>
      </c>
      <c r="AV2504" s="12" t="str">
        <f>HYPERLINK("http://www.bing.com/maps/?lvl=14&amp;sty=h&amp;cp=34.5967~43.6736&amp;sp=point.34.5967_43.6736","Maplink3")</f>
        <v>Maplink3</v>
      </c>
    </row>
    <row r="2505" spans="1:48" ht="15" customHeight="1" x14ac:dyDescent="0.25">
      <c r="A2505" s="19">
        <v>20663</v>
      </c>
      <c r="B2505" s="20" t="s">
        <v>23</v>
      </c>
      <c r="C2505" s="20" t="s">
        <v>4388</v>
      </c>
      <c r="D2505" s="20" t="s">
        <v>5702</v>
      </c>
      <c r="E2505" s="20" t="s">
        <v>4440</v>
      </c>
      <c r="F2505" s="20">
        <v>34.581973419999997</v>
      </c>
      <c r="G2505" s="20">
        <v>43.678329920000003</v>
      </c>
      <c r="H2505" s="22">
        <v>30</v>
      </c>
      <c r="I2505" s="22">
        <v>180</v>
      </c>
      <c r="J2505" s="21"/>
      <c r="K2505" s="21"/>
      <c r="L2505" s="21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>
        <v>30</v>
      </c>
      <c r="Y2505" s="21"/>
      <c r="Z2505" s="21"/>
      <c r="AA2505" s="21"/>
      <c r="AB2505" s="21"/>
      <c r="AC2505" s="21"/>
      <c r="AD2505" s="21"/>
      <c r="AE2505" s="21"/>
      <c r="AF2505" s="21"/>
      <c r="AG2505" s="21"/>
      <c r="AH2505" s="21">
        <v>6</v>
      </c>
      <c r="AI2505" s="21">
        <v>19</v>
      </c>
      <c r="AJ2505" s="21">
        <v>5</v>
      </c>
      <c r="AK2505" s="21"/>
      <c r="AL2505" s="21"/>
      <c r="AM2505" s="21"/>
      <c r="AN2505" s="21"/>
      <c r="AO2505" s="21">
        <v>17</v>
      </c>
      <c r="AP2505" s="21"/>
      <c r="AQ2505" s="21"/>
      <c r="AR2505" s="21">
        <v>13</v>
      </c>
      <c r="AS2505" s="21"/>
      <c r="AT2505" s="12" t="str">
        <f>HYPERLINK("http://www.openstreetmap.org/?mlat=34.582&amp;mlon=43.6783&amp;zoom=12#map=12/34.582/43.6783","Maplink1")</f>
        <v>Maplink1</v>
      </c>
      <c r="AU2505" s="12" t="str">
        <f>HYPERLINK("https://www.google.iq/maps/search/+34.582,43.6783/@34.582,43.6783,14z?hl=en","Maplink2")</f>
        <v>Maplink2</v>
      </c>
      <c r="AV2505" s="12" t="str">
        <f>HYPERLINK("http://www.bing.com/maps/?lvl=14&amp;sty=h&amp;cp=34.582~43.6783&amp;sp=point.34.582_43.6783","Maplink3")</f>
        <v>Maplink3</v>
      </c>
    </row>
    <row r="2506" spans="1:48" ht="15" customHeight="1" x14ac:dyDescent="0.25">
      <c r="A2506" s="19">
        <v>28413</v>
      </c>
      <c r="B2506" s="20" t="s">
        <v>23</v>
      </c>
      <c r="C2506" s="20" t="s">
        <v>4388</v>
      </c>
      <c r="D2506" s="20" t="s">
        <v>4433</v>
      </c>
      <c r="E2506" s="20" t="s">
        <v>1458</v>
      </c>
      <c r="F2506" s="20">
        <v>34.604170000000003</v>
      </c>
      <c r="G2506" s="20">
        <v>43.66845</v>
      </c>
      <c r="H2506" s="22">
        <v>30</v>
      </c>
      <c r="I2506" s="22">
        <v>180</v>
      </c>
      <c r="J2506" s="21"/>
      <c r="K2506" s="21"/>
      <c r="L2506" s="21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>
        <v>30</v>
      </c>
      <c r="Y2506" s="21"/>
      <c r="Z2506" s="21"/>
      <c r="AA2506" s="21"/>
      <c r="AB2506" s="21"/>
      <c r="AC2506" s="21"/>
      <c r="AD2506" s="21"/>
      <c r="AE2506" s="21"/>
      <c r="AF2506" s="21"/>
      <c r="AG2506" s="21"/>
      <c r="AH2506" s="21">
        <v>30</v>
      </c>
      <c r="AI2506" s="21"/>
      <c r="AJ2506" s="21"/>
      <c r="AK2506" s="21"/>
      <c r="AL2506" s="21"/>
      <c r="AM2506" s="21"/>
      <c r="AN2506" s="21"/>
      <c r="AO2506" s="21"/>
      <c r="AP2506" s="21">
        <v>30</v>
      </c>
      <c r="AQ2506" s="21"/>
      <c r="AR2506" s="21"/>
      <c r="AS2506" s="21"/>
      <c r="AT2506" s="12" t="str">
        <f>HYPERLINK("http://www.openstreetmap.org/?mlat=34.6042&amp;mlon=43.6685&amp;zoom=12#map=12/34.6042/43.6685","Maplink1")</f>
        <v>Maplink1</v>
      </c>
      <c r="AU2506" s="12" t="str">
        <f>HYPERLINK("https://www.google.iq/maps/search/+34.6042,43.6685/@34.6042,43.6685,14z?hl=en","Maplink2")</f>
        <v>Maplink2</v>
      </c>
      <c r="AV2506" s="12" t="str">
        <f>HYPERLINK("http://www.bing.com/maps/?lvl=14&amp;sty=h&amp;cp=34.6042~43.6685&amp;sp=point.34.6042_43.6685","Maplink3")</f>
        <v>Maplink3</v>
      </c>
    </row>
    <row r="2507" spans="1:48" ht="15" customHeight="1" x14ac:dyDescent="0.25">
      <c r="A2507" s="19">
        <v>25961</v>
      </c>
      <c r="B2507" s="20" t="s">
        <v>23</v>
      </c>
      <c r="C2507" s="20" t="s">
        <v>4388</v>
      </c>
      <c r="D2507" s="20" t="s">
        <v>5703</v>
      </c>
      <c r="E2507" s="20" t="s">
        <v>4422</v>
      </c>
      <c r="F2507" s="20">
        <v>34.593416900000001</v>
      </c>
      <c r="G2507" s="20">
        <v>43.677529309999997</v>
      </c>
      <c r="H2507" s="22">
        <v>20</v>
      </c>
      <c r="I2507" s="22">
        <v>120</v>
      </c>
      <c r="J2507" s="21"/>
      <c r="K2507" s="21"/>
      <c r="L2507" s="21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>
        <v>20</v>
      </c>
      <c r="Y2507" s="21"/>
      <c r="Z2507" s="21"/>
      <c r="AA2507" s="21"/>
      <c r="AB2507" s="21"/>
      <c r="AC2507" s="21"/>
      <c r="AD2507" s="21"/>
      <c r="AE2507" s="21"/>
      <c r="AF2507" s="21"/>
      <c r="AG2507" s="21"/>
      <c r="AH2507" s="21">
        <v>20</v>
      </c>
      <c r="AI2507" s="21"/>
      <c r="AJ2507" s="21"/>
      <c r="AK2507" s="21"/>
      <c r="AL2507" s="21"/>
      <c r="AM2507" s="21"/>
      <c r="AN2507" s="21"/>
      <c r="AO2507" s="21"/>
      <c r="AP2507" s="21"/>
      <c r="AQ2507" s="21"/>
      <c r="AR2507" s="21">
        <v>20</v>
      </c>
      <c r="AS2507" s="21"/>
      <c r="AT2507" s="12" t="str">
        <f>HYPERLINK("http://www.openstreetmap.org/?mlat=34.5934&amp;mlon=43.6775&amp;zoom=12#map=12/34.5934/43.6775","Maplink1")</f>
        <v>Maplink1</v>
      </c>
      <c r="AU2507" s="12" t="str">
        <f>HYPERLINK("https://www.google.iq/maps/search/+34.5934,43.6775/@34.5934,43.6775,14z?hl=en","Maplink2")</f>
        <v>Maplink2</v>
      </c>
      <c r="AV2507" s="12" t="str">
        <f>HYPERLINK("http://www.bing.com/maps/?lvl=14&amp;sty=h&amp;cp=34.5934~43.6775&amp;sp=point.34.5934_43.6775","Maplink3")</f>
        <v>Maplink3</v>
      </c>
    </row>
    <row r="2508" spans="1:48" ht="15" customHeight="1" x14ac:dyDescent="0.25">
      <c r="A2508" s="19">
        <v>22058</v>
      </c>
      <c r="B2508" s="20" t="s">
        <v>23</v>
      </c>
      <c r="C2508" s="20" t="s">
        <v>4388</v>
      </c>
      <c r="D2508" s="20" t="s">
        <v>5704</v>
      </c>
      <c r="E2508" s="20" t="s">
        <v>5705</v>
      </c>
      <c r="F2508" s="20">
        <v>34.600582269999997</v>
      </c>
      <c r="G2508" s="20">
        <v>43.653466680000001</v>
      </c>
      <c r="H2508" s="22">
        <v>158</v>
      </c>
      <c r="I2508" s="22">
        <v>948</v>
      </c>
      <c r="J2508" s="21"/>
      <c r="K2508" s="21"/>
      <c r="L2508" s="21"/>
      <c r="M2508" s="21"/>
      <c r="N2508" s="21"/>
      <c r="O2508" s="21"/>
      <c r="P2508" s="21"/>
      <c r="Q2508" s="21"/>
      <c r="R2508" s="21">
        <v>50</v>
      </c>
      <c r="S2508" s="21"/>
      <c r="T2508" s="21"/>
      <c r="U2508" s="21"/>
      <c r="V2508" s="21">
        <v>2</v>
      </c>
      <c r="W2508" s="21"/>
      <c r="X2508" s="21">
        <v>106</v>
      </c>
      <c r="Y2508" s="21"/>
      <c r="Z2508" s="21"/>
      <c r="AA2508" s="21"/>
      <c r="AB2508" s="21"/>
      <c r="AC2508" s="21"/>
      <c r="AD2508" s="21"/>
      <c r="AE2508" s="21">
        <v>65</v>
      </c>
      <c r="AF2508" s="21"/>
      <c r="AG2508" s="21"/>
      <c r="AH2508" s="21">
        <v>28</v>
      </c>
      <c r="AI2508" s="21"/>
      <c r="AJ2508" s="21">
        <v>65</v>
      </c>
      <c r="AK2508" s="21"/>
      <c r="AL2508" s="21"/>
      <c r="AM2508" s="21"/>
      <c r="AN2508" s="21"/>
      <c r="AO2508" s="21"/>
      <c r="AP2508" s="21"/>
      <c r="AQ2508" s="21">
        <v>13</v>
      </c>
      <c r="AR2508" s="21">
        <v>145</v>
      </c>
      <c r="AS2508" s="21"/>
      <c r="AT2508" s="12" t="str">
        <f>HYPERLINK("http://www.openstreetmap.org/?mlat=34.6006&amp;mlon=43.6535&amp;zoom=12#map=12/34.6006/43.6535","Maplink1")</f>
        <v>Maplink1</v>
      </c>
      <c r="AU2508" s="12" t="str">
        <f>HYPERLINK("https://www.google.iq/maps/search/+34.6006,43.6535/@34.6006,43.6535,14z?hl=en","Maplink2")</f>
        <v>Maplink2</v>
      </c>
      <c r="AV2508" s="12" t="str">
        <f>HYPERLINK("http://www.bing.com/maps/?lvl=14&amp;sty=h&amp;cp=34.6006~43.6535&amp;sp=point.34.6006_43.6535","Maplink3")</f>
        <v>Maplink3</v>
      </c>
    </row>
    <row r="2509" spans="1:48" ht="15" customHeight="1" x14ac:dyDescent="0.25">
      <c r="A2509" s="19">
        <v>27369</v>
      </c>
      <c r="B2509" s="20" t="s">
        <v>23</v>
      </c>
      <c r="C2509" s="20" t="s">
        <v>4388</v>
      </c>
      <c r="D2509" s="20" t="s">
        <v>4434</v>
      </c>
      <c r="E2509" s="20" t="s">
        <v>4435</v>
      </c>
      <c r="F2509" s="20">
        <v>34.589801450000003</v>
      </c>
      <c r="G2509" s="20">
        <v>43.664852119999999</v>
      </c>
      <c r="H2509" s="22">
        <v>280</v>
      </c>
      <c r="I2509" s="22">
        <v>1680</v>
      </c>
      <c r="J2509" s="21"/>
      <c r="K2509" s="21"/>
      <c r="L2509" s="21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>
        <v>280</v>
      </c>
      <c r="Y2509" s="21"/>
      <c r="Z2509" s="21"/>
      <c r="AA2509" s="21"/>
      <c r="AB2509" s="21"/>
      <c r="AC2509" s="21"/>
      <c r="AD2509" s="21"/>
      <c r="AE2509" s="21">
        <v>189</v>
      </c>
      <c r="AF2509" s="21"/>
      <c r="AG2509" s="21"/>
      <c r="AH2509" s="21">
        <v>61</v>
      </c>
      <c r="AI2509" s="21"/>
      <c r="AJ2509" s="21">
        <v>30</v>
      </c>
      <c r="AK2509" s="21"/>
      <c r="AL2509" s="21"/>
      <c r="AM2509" s="21"/>
      <c r="AN2509" s="21"/>
      <c r="AO2509" s="21"/>
      <c r="AP2509" s="21"/>
      <c r="AQ2509" s="21">
        <v>120</v>
      </c>
      <c r="AR2509" s="21">
        <v>160</v>
      </c>
      <c r="AS2509" s="21"/>
      <c r="AT2509" s="12" t="str">
        <f>HYPERLINK("http://www.openstreetmap.org/?mlat=34.5898&amp;mlon=43.6649&amp;zoom=12#map=12/34.5898/43.6649","Maplink1")</f>
        <v>Maplink1</v>
      </c>
      <c r="AU2509" s="12" t="str">
        <f>HYPERLINK("https://www.google.iq/maps/search/+34.5898,43.6649/@34.5898,43.6649,14z?hl=en","Maplink2")</f>
        <v>Maplink2</v>
      </c>
      <c r="AV2509" s="12" t="str">
        <f>HYPERLINK("http://www.bing.com/maps/?lvl=14&amp;sty=h&amp;cp=34.5898~43.6649&amp;sp=point.34.5898_43.6649","Maplink3")</f>
        <v>Maplink3</v>
      </c>
    </row>
    <row r="2510" spans="1:48" ht="15" customHeight="1" x14ac:dyDescent="0.25">
      <c r="A2510" s="19">
        <v>25960</v>
      </c>
      <c r="B2510" s="20" t="s">
        <v>23</v>
      </c>
      <c r="C2510" s="20" t="s">
        <v>4388</v>
      </c>
      <c r="D2510" s="20" t="s">
        <v>5706</v>
      </c>
      <c r="E2510" s="20" t="s">
        <v>4428</v>
      </c>
      <c r="F2510" s="20">
        <v>34.595911000000001</v>
      </c>
      <c r="G2510" s="20">
        <v>43.673602029999998</v>
      </c>
      <c r="H2510" s="22">
        <v>50</v>
      </c>
      <c r="I2510" s="22">
        <v>300</v>
      </c>
      <c r="J2510" s="21"/>
      <c r="K2510" s="21"/>
      <c r="L2510" s="21"/>
      <c r="M2510" s="21"/>
      <c r="N2510" s="21"/>
      <c r="O2510" s="21"/>
      <c r="P2510" s="21"/>
      <c r="Q2510" s="21"/>
      <c r="R2510" s="21"/>
      <c r="S2510" s="21"/>
      <c r="T2510" s="21"/>
      <c r="U2510" s="21"/>
      <c r="V2510" s="21"/>
      <c r="W2510" s="21"/>
      <c r="X2510" s="21">
        <v>50</v>
      </c>
      <c r="Y2510" s="21"/>
      <c r="Z2510" s="21"/>
      <c r="AA2510" s="21"/>
      <c r="AB2510" s="21"/>
      <c r="AC2510" s="21"/>
      <c r="AD2510" s="21"/>
      <c r="AE2510" s="21"/>
      <c r="AF2510" s="21"/>
      <c r="AG2510" s="21"/>
      <c r="AH2510" s="21">
        <v>41</v>
      </c>
      <c r="AI2510" s="21"/>
      <c r="AJ2510" s="21">
        <v>9</v>
      </c>
      <c r="AK2510" s="21"/>
      <c r="AL2510" s="21"/>
      <c r="AM2510" s="21"/>
      <c r="AN2510" s="21"/>
      <c r="AO2510" s="21"/>
      <c r="AP2510" s="21"/>
      <c r="AQ2510" s="21">
        <v>13</v>
      </c>
      <c r="AR2510" s="21">
        <v>37</v>
      </c>
      <c r="AS2510" s="21"/>
      <c r="AT2510" s="12" t="str">
        <f>HYPERLINK("http://www.openstreetmap.org/?mlat=34.5959&amp;mlon=43.6736&amp;zoom=12#map=12/34.5959/43.6736","Maplink1")</f>
        <v>Maplink1</v>
      </c>
      <c r="AU2510" s="12" t="str">
        <f>HYPERLINK("https://www.google.iq/maps/search/+34.5959,43.6736/@34.5959,43.6736,14z?hl=en","Maplink2")</f>
        <v>Maplink2</v>
      </c>
      <c r="AV2510" s="12" t="str">
        <f>HYPERLINK("http://www.bing.com/maps/?lvl=14&amp;sty=h&amp;cp=34.5959~43.6736&amp;sp=point.34.5959_43.6736","Maplink3")</f>
        <v>Maplink3</v>
      </c>
    </row>
    <row r="2511" spans="1:48" ht="15" customHeight="1" x14ac:dyDescent="0.25">
      <c r="A2511" s="19">
        <v>27368</v>
      </c>
      <c r="B2511" s="20" t="s">
        <v>23</v>
      </c>
      <c r="C2511" s="20" t="s">
        <v>4388</v>
      </c>
      <c r="D2511" s="20" t="s">
        <v>4436</v>
      </c>
      <c r="E2511" s="20" t="s">
        <v>4437</v>
      </c>
      <c r="F2511" s="20">
        <v>34.607758549000003</v>
      </c>
      <c r="G2511" s="20">
        <v>43.668777849000001</v>
      </c>
      <c r="H2511" s="22">
        <v>45</v>
      </c>
      <c r="I2511" s="22">
        <v>270</v>
      </c>
      <c r="J2511" s="21"/>
      <c r="K2511" s="21"/>
      <c r="L2511" s="21"/>
      <c r="M2511" s="21"/>
      <c r="N2511" s="21"/>
      <c r="O2511" s="21"/>
      <c r="P2511" s="21"/>
      <c r="Q2511" s="21"/>
      <c r="R2511" s="21"/>
      <c r="S2511" s="21"/>
      <c r="T2511" s="21"/>
      <c r="U2511" s="21"/>
      <c r="V2511" s="21"/>
      <c r="W2511" s="21"/>
      <c r="X2511" s="21">
        <v>45</v>
      </c>
      <c r="Y2511" s="21"/>
      <c r="Z2511" s="21"/>
      <c r="AA2511" s="21"/>
      <c r="AB2511" s="21"/>
      <c r="AC2511" s="21"/>
      <c r="AD2511" s="21"/>
      <c r="AE2511" s="21">
        <v>30</v>
      </c>
      <c r="AF2511" s="21"/>
      <c r="AG2511" s="21"/>
      <c r="AH2511" s="21">
        <v>15</v>
      </c>
      <c r="AI2511" s="21"/>
      <c r="AJ2511" s="21"/>
      <c r="AK2511" s="21"/>
      <c r="AL2511" s="21"/>
      <c r="AM2511" s="21"/>
      <c r="AN2511" s="21"/>
      <c r="AO2511" s="21"/>
      <c r="AP2511" s="21"/>
      <c r="AQ2511" s="21"/>
      <c r="AR2511" s="21">
        <v>45</v>
      </c>
      <c r="AS2511" s="21"/>
      <c r="AT2511" s="12" t="str">
        <f>HYPERLINK("http://www.openstreetmap.org/?mlat=34.6078&amp;mlon=43.6688&amp;zoom=12#map=12/34.6078/43.6688","Maplink1")</f>
        <v>Maplink1</v>
      </c>
      <c r="AU2511" s="12" t="str">
        <f>HYPERLINK("https://www.google.iq/maps/search/+34.6078,43.6688/@34.6078,43.6688,14z?hl=en","Maplink2")</f>
        <v>Maplink2</v>
      </c>
      <c r="AV2511" s="12" t="str">
        <f>HYPERLINK("http://www.bing.com/maps/?lvl=14&amp;sty=h&amp;cp=34.6078~43.6688&amp;sp=point.34.6078_43.6688","Maplink3")</f>
        <v>Maplink3</v>
      </c>
    </row>
    <row r="2512" spans="1:48" ht="15" customHeight="1" x14ac:dyDescent="0.25">
      <c r="A2512" s="19">
        <v>22965</v>
      </c>
      <c r="B2512" s="20" t="s">
        <v>23</v>
      </c>
      <c r="C2512" s="20" t="s">
        <v>4388</v>
      </c>
      <c r="D2512" s="20" t="s">
        <v>4438</v>
      </c>
      <c r="E2512" s="20" t="s">
        <v>4439</v>
      </c>
      <c r="F2512" s="20">
        <v>34.604444149999999</v>
      </c>
      <c r="G2512" s="20">
        <v>43.685085970000003</v>
      </c>
      <c r="H2512" s="22">
        <v>380</v>
      </c>
      <c r="I2512" s="22">
        <v>2280</v>
      </c>
      <c r="J2512" s="21"/>
      <c r="K2512" s="21"/>
      <c r="L2512" s="21"/>
      <c r="M2512" s="21"/>
      <c r="N2512" s="21"/>
      <c r="O2512" s="21"/>
      <c r="P2512" s="21"/>
      <c r="Q2512" s="21"/>
      <c r="R2512" s="21"/>
      <c r="S2512" s="21"/>
      <c r="T2512" s="21"/>
      <c r="U2512" s="21"/>
      <c r="V2512" s="21"/>
      <c r="W2512" s="21"/>
      <c r="X2512" s="21">
        <v>380</v>
      </c>
      <c r="Y2512" s="21"/>
      <c r="Z2512" s="21"/>
      <c r="AA2512" s="21"/>
      <c r="AB2512" s="21"/>
      <c r="AC2512" s="21"/>
      <c r="AD2512" s="21"/>
      <c r="AE2512" s="21"/>
      <c r="AF2512" s="21"/>
      <c r="AG2512" s="21"/>
      <c r="AH2512" s="21">
        <v>271</v>
      </c>
      <c r="AI2512" s="21"/>
      <c r="AJ2512" s="21">
        <v>109</v>
      </c>
      <c r="AK2512" s="21"/>
      <c r="AL2512" s="21"/>
      <c r="AM2512" s="21"/>
      <c r="AN2512" s="21"/>
      <c r="AO2512" s="21"/>
      <c r="AP2512" s="21">
        <v>230</v>
      </c>
      <c r="AQ2512" s="21">
        <v>150</v>
      </c>
      <c r="AR2512" s="21"/>
      <c r="AS2512" s="21"/>
      <c r="AT2512" s="12" t="str">
        <f>HYPERLINK("http://www.openstreetmap.org/?mlat=34.6044&amp;mlon=43.6851&amp;zoom=12#map=12/34.6044/43.6851","Maplink1")</f>
        <v>Maplink1</v>
      </c>
      <c r="AU2512" s="12" t="str">
        <f>HYPERLINK("https://www.google.iq/maps/search/+34.6044,43.6851/@34.6044,43.6851,14z?hl=en","Maplink2")</f>
        <v>Maplink2</v>
      </c>
      <c r="AV2512" s="12" t="str">
        <f>HYPERLINK("http://www.bing.com/maps/?lvl=14&amp;sty=h&amp;cp=34.6044~43.6851&amp;sp=point.34.6044_43.6851","Maplink3")</f>
        <v>Maplink3</v>
      </c>
    </row>
    <row r="2513" spans="1:48" ht="15" customHeight="1" x14ac:dyDescent="0.25">
      <c r="A2513" s="19">
        <v>27367</v>
      </c>
      <c r="B2513" s="20" t="s">
        <v>23</v>
      </c>
      <c r="C2513" s="20" t="s">
        <v>4388</v>
      </c>
      <c r="D2513" s="20" t="s">
        <v>4441</v>
      </c>
      <c r="E2513" s="20" t="s">
        <v>2585</v>
      </c>
      <c r="F2513" s="20">
        <v>34.584929500000001</v>
      </c>
      <c r="G2513" s="20">
        <v>43.682541399999998</v>
      </c>
      <c r="H2513" s="22">
        <v>47</v>
      </c>
      <c r="I2513" s="22">
        <v>282</v>
      </c>
      <c r="J2513" s="21"/>
      <c r="K2513" s="21"/>
      <c r="L2513" s="21"/>
      <c r="M2513" s="21"/>
      <c r="N2513" s="21"/>
      <c r="O2513" s="21"/>
      <c r="P2513" s="21"/>
      <c r="Q2513" s="21"/>
      <c r="R2513" s="21"/>
      <c r="S2513" s="21"/>
      <c r="T2513" s="21"/>
      <c r="U2513" s="21"/>
      <c r="V2513" s="21"/>
      <c r="W2513" s="21"/>
      <c r="X2513" s="21">
        <v>47</v>
      </c>
      <c r="Y2513" s="21"/>
      <c r="Z2513" s="21"/>
      <c r="AA2513" s="21"/>
      <c r="AB2513" s="21"/>
      <c r="AC2513" s="21"/>
      <c r="AD2513" s="21"/>
      <c r="AE2513" s="21"/>
      <c r="AF2513" s="21"/>
      <c r="AG2513" s="21"/>
      <c r="AH2513" s="21">
        <v>47</v>
      </c>
      <c r="AI2513" s="21"/>
      <c r="AJ2513" s="21"/>
      <c r="AK2513" s="21"/>
      <c r="AL2513" s="21"/>
      <c r="AM2513" s="21"/>
      <c r="AN2513" s="21"/>
      <c r="AO2513" s="21"/>
      <c r="AP2513" s="21"/>
      <c r="AQ2513" s="21"/>
      <c r="AR2513" s="21">
        <v>47</v>
      </c>
      <c r="AS2513" s="21"/>
      <c r="AT2513" s="12" t="str">
        <f>HYPERLINK("http://www.openstreetmap.org/?mlat=34.5849&amp;mlon=43.6825&amp;zoom=12#map=12/34.5849/43.6825","Maplink1")</f>
        <v>Maplink1</v>
      </c>
      <c r="AU2513" s="12" t="str">
        <f>HYPERLINK("https://www.google.iq/maps/search/+34.5849,43.6825/@34.5849,43.6825,14z?hl=en","Maplink2")</f>
        <v>Maplink2</v>
      </c>
      <c r="AV2513" s="12" t="str">
        <f>HYPERLINK("http://www.bing.com/maps/?lvl=14&amp;sty=h&amp;cp=34.5849~43.6825&amp;sp=point.34.5849_43.6825","Maplink3")</f>
        <v>Maplink3</v>
      </c>
    </row>
    <row r="2514" spans="1:48" ht="15" customHeight="1" x14ac:dyDescent="0.25">
      <c r="A2514" s="19">
        <v>25962</v>
      </c>
      <c r="B2514" s="20" t="s">
        <v>23</v>
      </c>
      <c r="C2514" s="20" t="s">
        <v>4388</v>
      </c>
      <c r="D2514" s="20" t="s">
        <v>5707</v>
      </c>
      <c r="E2514" s="20" t="s">
        <v>4442</v>
      </c>
      <c r="F2514" s="20">
        <v>34.612176759999997</v>
      </c>
      <c r="G2514" s="20">
        <v>43.680861129999997</v>
      </c>
      <c r="H2514" s="22">
        <v>37</v>
      </c>
      <c r="I2514" s="22">
        <v>222</v>
      </c>
      <c r="J2514" s="21"/>
      <c r="K2514" s="21"/>
      <c r="L2514" s="21"/>
      <c r="M2514" s="21"/>
      <c r="N2514" s="21"/>
      <c r="O2514" s="21"/>
      <c r="P2514" s="21"/>
      <c r="Q2514" s="21"/>
      <c r="R2514" s="21"/>
      <c r="S2514" s="21"/>
      <c r="T2514" s="21"/>
      <c r="U2514" s="21"/>
      <c r="V2514" s="21"/>
      <c r="W2514" s="21"/>
      <c r="X2514" s="21">
        <v>37</v>
      </c>
      <c r="Y2514" s="21"/>
      <c r="Z2514" s="21"/>
      <c r="AA2514" s="21"/>
      <c r="AB2514" s="21"/>
      <c r="AC2514" s="21"/>
      <c r="AD2514" s="21"/>
      <c r="AE2514" s="21"/>
      <c r="AF2514" s="21"/>
      <c r="AG2514" s="21"/>
      <c r="AH2514" s="21">
        <v>25</v>
      </c>
      <c r="AI2514" s="21"/>
      <c r="AJ2514" s="21">
        <v>12</v>
      </c>
      <c r="AK2514" s="21"/>
      <c r="AL2514" s="21"/>
      <c r="AM2514" s="21"/>
      <c r="AN2514" s="21"/>
      <c r="AO2514" s="21">
        <v>37</v>
      </c>
      <c r="AP2514" s="21"/>
      <c r="AQ2514" s="21"/>
      <c r="AR2514" s="21"/>
      <c r="AS2514" s="21"/>
      <c r="AT2514" s="12" t="str">
        <f>HYPERLINK("http://www.openstreetmap.org/?mlat=34.6122&amp;mlon=43.6809&amp;zoom=12#map=12/34.6122/43.6809","Maplink1")</f>
        <v>Maplink1</v>
      </c>
      <c r="AU2514" s="12" t="str">
        <f>HYPERLINK("https://www.google.iq/maps/search/+34.6122,43.6809/@34.6122,43.6809,14z?hl=en","Maplink2")</f>
        <v>Maplink2</v>
      </c>
      <c r="AV2514" s="12" t="str">
        <f>HYPERLINK("http://www.bing.com/maps/?lvl=14&amp;sty=h&amp;cp=34.6122~43.6809&amp;sp=point.34.6122_43.6809","Maplink3")</f>
        <v>Maplink3</v>
      </c>
    </row>
    <row r="2515" spans="1:48" ht="15" customHeight="1" x14ac:dyDescent="0.25">
      <c r="A2515" s="19">
        <v>22966</v>
      </c>
      <c r="B2515" s="20" t="s">
        <v>23</v>
      </c>
      <c r="C2515" s="20" t="s">
        <v>4388</v>
      </c>
      <c r="D2515" s="20" t="s">
        <v>5708</v>
      </c>
      <c r="E2515" s="20" t="s">
        <v>4443</v>
      </c>
      <c r="F2515" s="20">
        <v>34.588332110000003</v>
      </c>
      <c r="G2515" s="20">
        <v>43.681835020000001</v>
      </c>
      <c r="H2515" s="22">
        <v>130</v>
      </c>
      <c r="I2515" s="22">
        <v>780</v>
      </c>
      <c r="J2515" s="21"/>
      <c r="K2515" s="21"/>
      <c r="L2515" s="21"/>
      <c r="M2515" s="21"/>
      <c r="N2515" s="21"/>
      <c r="O2515" s="21"/>
      <c r="P2515" s="21"/>
      <c r="Q2515" s="21"/>
      <c r="R2515" s="21">
        <v>2</v>
      </c>
      <c r="S2515" s="21"/>
      <c r="T2515" s="21"/>
      <c r="U2515" s="21"/>
      <c r="V2515" s="21">
        <v>3</v>
      </c>
      <c r="W2515" s="21"/>
      <c r="X2515" s="21">
        <v>125</v>
      </c>
      <c r="Y2515" s="21"/>
      <c r="Z2515" s="21"/>
      <c r="AA2515" s="21"/>
      <c r="AB2515" s="21"/>
      <c r="AC2515" s="21"/>
      <c r="AD2515" s="21"/>
      <c r="AE2515" s="21"/>
      <c r="AF2515" s="21"/>
      <c r="AG2515" s="21"/>
      <c r="AH2515" s="21">
        <v>31</v>
      </c>
      <c r="AI2515" s="21">
        <v>89</v>
      </c>
      <c r="AJ2515" s="21">
        <v>10</v>
      </c>
      <c r="AK2515" s="21"/>
      <c r="AL2515" s="21"/>
      <c r="AM2515" s="21"/>
      <c r="AN2515" s="21"/>
      <c r="AO2515" s="21"/>
      <c r="AP2515" s="21"/>
      <c r="AQ2515" s="21">
        <v>130</v>
      </c>
      <c r="AR2515" s="21"/>
      <c r="AS2515" s="21"/>
      <c r="AT2515" s="12" t="str">
        <f>HYPERLINK("http://www.openstreetmap.org/?mlat=34.5883&amp;mlon=43.6818&amp;zoom=12#map=12/34.5883/43.6818","Maplink1")</f>
        <v>Maplink1</v>
      </c>
      <c r="AU2515" s="12" t="str">
        <f>HYPERLINK("https://www.google.iq/maps/search/+34.5883,43.6818/@34.5883,43.6818,14z?hl=en","Maplink2")</f>
        <v>Maplink2</v>
      </c>
      <c r="AV2515" s="12" t="str">
        <f>HYPERLINK("http://www.bing.com/maps/?lvl=14&amp;sty=h&amp;cp=34.5883~43.6818&amp;sp=point.34.5883_43.6818","Maplink3")</f>
        <v>Maplink3</v>
      </c>
    </row>
    <row r="2516" spans="1:48" ht="15" customHeight="1" x14ac:dyDescent="0.25">
      <c r="A2516" s="19">
        <v>28449</v>
      </c>
      <c r="B2516" s="20" t="s">
        <v>23</v>
      </c>
      <c r="C2516" s="20" t="s">
        <v>4388</v>
      </c>
      <c r="D2516" s="20" t="s">
        <v>4444</v>
      </c>
      <c r="E2516" s="20" t="s">
        <v>4445</v>
      </c>
      <c r="F2516" s="20">
        <v>34.699296169999997</v>
      </c>
      <c r="G2516" s="20">
        <v>43.709547559999997</v>
      </c>
      <c r="H2516" s="22">
        <v>250</v>
      </c>
      <c r="I2516" s="22">
        <v>1500</v>
      </c>
      <c r="J2516" s="21"/>
      <c r="K2516" s="21"/>
      <c r="L2516" s="21"/>
      <c r="M2516" s="21"/>
      <c r="N2516" s="21"/>
      <c r="O2516" s="21"/>
      <c r="P2516" s="21"/>
      <c r="Q2516" s="21"/>
      <c r="R2516" s="21">
        <v>250</v>
      </c>
      <c r="S2516" s="21"/>
      <c r="T2516" s="21"/>
      <c r="U2516" s="21"/>
      <c r="V2516" s="21"/>
      <c r="W2516" s="21"/>
      <c r="X2516" s="21"/>
      <c r="Y2516" s="21"/>
      <c r="Z2516" s="21"/>
      <c r="AA2516" s="21"/>
      <c r="AB2516" s="21"/>
      <c r="AC2516" s="21"/>
      <c r="AD2516" s="21"/>
      <c r="AE2516" s="21">
        <v>16</v>
      </c>
      <c r="AF2516" s="21"/>
      <c r="AG2516" s="21"/>
      <c r="AH2516" s="21">
        <v>124</v>
      </c>
      <c r="AI2516" s="21"/>
      <c r="AJ2516" s="21">
        <v>110</v>
      </c>
      <c r="AK2516" s="21"/>
      <c r="AL2516" s="21"/>
      <c r="AM2516" s="21"/>
      <c r="AN2516" s="21"/>
      <c r="AO2516" s="21"/>
      <c r="AP2516" s="21"/>
      <c r="AQ2516" s="21"/>
      <c r="AR2516" s="21">
        <v>226</v>
      </c>
      <c r="AS2516" s="21">
        <v>24</v>
      </c>
      <c r="AT2516" s="12" t="str">
        <f>HYPERLINK("http://www.openstreetmap.org/?mlat=34.6993&amp;mlon=43.7095&amp;zoom=12#map=12/34.6993/43.7095","Maplink1")</f>
        <v>Maplink1</v>
      </c>
      <c r="AU2516" s="12" t="str">
        <f>HYPERLINK("https://www.google.iq/maps/search/+34.6993,43.7095/@34.6993,43.7095,14z?hl=en","Maplink2")</f>
        <v>Maplink2</v>
      </c>
      <c r="AV2516" s="12" t="str">
        <f>HYPERLINK("http://www.bing.com/maps/?lvl=14&amp;sty=h&amp;cp=34.6993~43.7095&amp;sp=point.34.6993_43.7095","Maplink3")</f>
        <v>Maplink3</v>
      </c>
    </row>
    <row r="2517" spans="1:48" ht="15" customHeight="1" x14ac:dyDescent="0.25">
      <c r="A2517" s="19">
        <v>22470</v>
      </c>
      <c r="B2517" s="20" t="s">
        <v>23</v>
      </c>
      <c r="C2517" s="20" t="s">
        <v>4388</v>
      </c>
      <c r="D2517" s="20" t="s">
        <v>4446</v>
      </c>
      <c r="E2517" s="20" t="s">
        <v>4447</v>
      </c>
      <c r="F2517" s="20">
        <v>34.688249999999996</v>
      </c>
      <c r="G2517" s="20">
        <v>43.712161100000003</v>
      </c>
      <c r="H2517" s="22">
        <v>20</v>
      </c>
      <c r="I2517" s="22">
        <v>120</v>
      </c>
      <c r="J2517" s="21"/>
      <c r="K2517" s="21"/>
      <c r="L2517" s="21"/>
      <c r="M2517" s="21"/>
      <c r="N2517" s="21"/>
      <c r="O2517" s="21"/>
      <c r="P2517" s="21"/>
      <c r="Q2517" s="21"/>
      <c r="R2517" s="21">
        <v>20</v>
      </c>
      <c r="S2517" s="21"/>
      <c r="T2517" s="21"/>
      <c r="U2517" s="21"/>
      <c r="V2517" s="21"/>
      <c r="W2517" s="21"/>
      <c r="X2517" s="21"/>
      <c r="Y2517" s="21"/>
      <c r="Z2517" s="21"/>
      <c r="AA2517" s="21"/>
      <c r="AB2517" s="21"/>
      <c r="AC2517" s="21"/>
      <c r="AD2517" s="21"/>
      <c r="AE2517" s="21">
        <v>15</v>
      </c>
      <c r="AF2517" s="21"/>
      <c r="AG2517" s="21"/>
      <c r="AH2517" s="21">
        <v>5</v>
      </c>
      <c r="AI2517" s="21"/>
      <c r="AJ2517" s="21"/>
      <c r="AK2517" s="21"/>
      <c r="AL2517" s="21"/>
      <c r="AM2517" s="21"/>
      <c r="AN2517" s="21"/>
      <c r="AO2517" s="21"/>
      <c r="AP2517" s="21"/>
      <c r="AQ2517" s="21"/>
      <c r="AR2517" s="21">
        <v>20</v>
      </c>
      <c r="AS2517" s="21"/>
      <c r="AT2517" s="12" t="str">
        <f>HYPERLINK("http://www.openstreetmap.org/?mlat=34.6882&amp;mlon=43.7122&amp;zoom=12#map=12/34.6882/43.7122","Maplink1")</f>
        <v>Maplink1</v>
      </c>
      <c r="AU2517" s="12" t="str">
        <f>HYPERLINK("https://www.google.iq/maps/search/+34.6882,43.7122/@34.6882,43.7122,14z?hl=en","Maplink2")</f>
        <v>Maplink2</v>
      </c>
      <c r="AV2517" s="12" t="str">
        <f>HYPERLINK("http://www.bing.com/maps/?lvl=14&amp;sty=h&amp;cp=34.6882~43.7122&amp;sp=point.34.6882_43.7122","Maplink3")</f>
        <v>Maplink3</v>
      </c>
    </row>
    <row r="2518" spans="1:48" ht="15" customHeight="1" x14ac:dyDescent="0.25">
      <c r="A2518" s="19">
        <v>25922</v>
      </c>
      <c r="B2518" s="20" t="s">
        <v>23</v>
      </c>
      <c r="C2518" s="20" t="s">
        <v>4388</v>
      </c>
      <c r="D2518" s="20" t="s">
        <v>5709</v>
      </c>
      <c r="E2518" s="20" t="s">
        <v>4450</v>
      </c>
      <c r="F2518" s="20">
        <v>34.6276997517</v>
      </c>
      <c r="G2518" s="20">
        <v>43.669932652100002</v>
      </c>
      <c r="H2518" s="22">
        <v>180</v>
      </c>
      <c r="I2518" s="22">
        <v>1080</v>
      </c>
      <c r="J2518" s="21"/>
      <c r="K2518" s="21"/>
      <c r="L2518" s="21"/>
      <c r="M2518" s="21"/>
      <c r="N2518" s="21"/>
      <c r="O2518" s="21"/>
      <c r="P2518" s="21"/>
      <c r="Q2518" s="21"/>
      <c r="R2518" s="21">
        <v>3</v>
      </c>
      <c r="S2518" s="21"/>
      <c r="T2518" s="21"/>
      <c r="U2518" s="21"/>
      <c r="V2518" s="21">
        <v>2</v>
      </c>
      <c r="W2518" s="21"/>
      <c r="X2518" s="21">
        <v>175</v>
      </c>
      <c r="Y2518" s="21"/>
      <c r="Z2518" s="21"/>
      <c r="AA2518" s="21"/>
      <c r="AB2518" s="21"/>
      <c r="AC2518" s="21"/>
      <c r="AD2518" s="21"/>
      <c r="AE2518" s="21"/>
      <c r="AF2518" s="21"/>
      <c r="AG2518" s="21"/>
      <c r="AH2518" s="21">
        <v>100</v>
      </c>
      <c r="AI2518" s="21">
        <v>11</v>
      </c>
      <c r="AJ2518" s="21">
        <v>69</v>
      </c>
      <c r="AK2518" s="21"/>
      <c r="AL2518" s="21"/>
      <c r="AM2518" s="21"/>
      <c r="AN2518" s="21"/>
      <c r="AO2518" s="21"/>
      <c r="AP2518" s="21">
        <v>120</v>
      </c>
      <c r="AQ2518" s="21">
        <v>60</v>
      </c>
      <c r="AR2518" s="21"/>
      <c r="AS2518" s="21"/>
      <c r="AT2518" s="12" t="str">
        <f>HYPERLINK("http://www.openstreetmap.org/?mlat=34.6277&amp;mlon=43.6699&amp;zoom=12#map=12/34.6277/43.6699","Maplink1")</f>
        <v>Maplink1</v>
      </c>
      <c r="AU2518" s="12" t="str">
        <f>HYPERLINK("https://www.google.iq/maps/search/+34.6277,43.6699/@34.6277,43.6699,14z?hl=en","Maplink2")</f>
        <v>Maplink2</v>
      </c>
      <c r="AV2518" s="12" t="str">
        <f>HYPERLINK("http://www.bing.com/maps/?lvl=14&amp;sty=h&amp;cp=34.6277~43.6699&amp;sp=point.34.6277_43.6699","Maplink3")</f>
        <v>Maplink3</v>
      </c>
    </row>
    <row r="2519" spans="1:48" ht="15" customHeight="1" x14ac:dyDescent="0.25">
      <c r="A2519" s="19">
        <v>23702</v>
      </c>
      <c r="B2519" s="20" t="s">
        <v>23</v>
      </c>
      <c r="C2519" s="20" t="s">
        <v>4388</v>
      </c>
      <c r="D2519" s="20" t="s">
        <v>5710</v>
      </c>
      <c r="E2519" s="20" t="s">
        <v>4389</v>
      </c>
      <c r="F2519" s="20">
        <v>34.658339089999998</v>
      </c>
      <c r="G2519" s="20">
        <v>43.65228759</v>
      </c>
      <c r="H2519" s="22">
        <v>250</v>
      </c>
      <c r="I2519" s="22">
        <v>1500</v>
      </c>
      <c r="J2519" s="21"/>
      <c r="K2519" s="21"/>
      <c r="L2519" s="21"/>
      <c r="M2519" s="21"/>
      <c r="N2519" s="21"/>
      <c r="O2519" s="21"/>
      <c r="P2519" s="21"/>
      <c r="Q2519" s="21"/>
      <c r="R2519" s="21">
        <v>6</v>
      </c>
      <c r="S2519" s="21"/>
      <c r="T2519" s="21"/>
      <c r="U2519" s="21"/>
      <c r="V2519" s="21">
        <v>8</v>
      </c>
      <c r="W2519" s="21"/>
      <c r="X2519" s="21">
        <v>236</v>
      </c>
      <c r="Y2519" s="21"/>
      <c r="Z2519" s="21"/>
      <c r="AA2519" s="21"/>
      <c r="AB2519" s="21"/>
      <c r="AC2519" s="21"/>
      <c r="AD2519" s="21"/>
      <c r="AE2519" s="21">
        <v>5</v>
      </c>
      <c r="AF2519" s="21"/>
      <c r="AG2519" s="21"/>
      <c r="AH2519" s="21">
        <v>240</v>
      </c>
      <c r="AI2519" s="21"/>
      <c r="AJ2519" s="21">
        <v>5</v>
      </c>
      <c r="AK2519" s="21"/>
      <c r="AL2519" s="21"/>
      <c r="AM2519" s="21"/>
      <c r="AN2519" s="21"/>
      <c r="AO2519" s="21"/>
      <c r="AP2519" s="21">
        <v>119</v>
      </c>
      <c r="AQ2519" s="21"/>
      <c r="AR2519" s="21">
        <v>131</v>
      </c>
      <c r="AS2519" s="21"/>
      <c r="AT2519" s="12" t="str">
        <f>HYPERLINK("http://www.openstreetmap.org/?mlat=34.6583&amp;mlon=43.6523&amp;zoom=12#map=12/34.6583/43.6523","Maplink1")</f>
        <v>Maplink1</v>
      </c>
      <c r="AU2519" s="12" t="str">
        <f>HYPERLINK("https://www.google.iq/maps/search/+34.6583,43.6523/@34.6583,43.6523,14z?hl=en","Maplink2")</f>
        <v>Maplink2</v>
      </c>
      <c r="AV2519" s="12" t="str">
        <f>HYPERLINK("http://www.bing.com/maps/?lvl=14&amp;sty=h&amp;cp=34.6583~43.6523&amp;sp=point.34.6583_43.6523","Maplink3")</f>
        <v>Maplink3</v>
      </c>
    </row>
    <row r="2520" spans="1:48" ht="15" customHeight="1" x14ac:dyDescent="0.25">
      <c r="A2520" s="19">
        <v>25923</v>
      </c>
      <c r="B2520" s="20" t="s">
        <v>23</v>
      </c>
      <c r="C2520" s="20" t="s">
        <v>4388</v>
      </c>
      <c r="D2520" s="20" t="s">
        <v>5711</v>
      </c>
      <c r="E2520" s="20" t="s">
        <v>4451</v>
      </c>
      <c r="F2520" s="20">
        <v>34.649075199999999</v>
      </c>
      <c r="G2520" s="20">
        <v>43.654316440000002</v>
      </c>
      <c r="H2520" s="22">
        <v>201</v>
      </c>
      <c r="I2520" s="22">
        <v>1206</v>
      </c>
      <c r="J2520" s="21"/>
      <c r="K2520" s="21"/>
      <c r="L2520" s="21"/>
      <c r="M2520" s="21"/>
      <c r="N2520" s="21"/>
      <c r="O2520" s="21"/>
      <c r="P2520" s="21"/>
      <c r="Q2520" s="21"/>
      <c r="R2520" s="21"/>
      <c r="S2520" s="21"/>
      <c r="T2520" s="21"/>
      <c r="U2520" s="21"/>
      <c r="V2520" s="21"/>
      <c r="W2520" s="21"/>
      <c r="X2520" s="21">
        <v>201</v>
      </c>
      <c r="Y2520" s="21"/>
      <c r="Z2520" s="21"/>
      <c r="AA2520" s="21"/>
      <c r="AB2520" s="21"/>
      <c r="AC2520" s="21"/>
      <c r="AD2520" s="21"/>
      <c r="AE2520" s="21"/>
      <c r="AF2520" s="21"/>
      <c r="AG2520" s="21"/>
      <c r="AH2520" s="21">
        <v>187</v>
      </c>
      <c r="AI2520" s="21"/>
      <c r="AJ2520" s="21">
        <v>14</v>
      </c>
      <c r="AK2520" s="21"/>
      <c r="AL2520" s="21"/>
      <c r="AM2520" s="21"/>
      <c r="AN2520" s="21"/>
      <c r="AO2520" s="21"/>
      <c r="AP2520" s="21"/>
      <c r="AQ2520" s="21">
        <v>140</v>
      </c>
      <c r="AR2520" s="21">
        <v>61</v>
      </c>
      <c r="AS2520" s="21"/>
      <c r="AT2520" s="12" t="str">
        <f>HYPERLINK("http://www.openstreetmap.org/?mlat=34.6491&amp;mlon=43.6543&amp;zoom=12#map=12/34.6491/43.6543","Maplink1")</f>
        <v>Maplink1</v>
      </c>
      <c r="AU2520" s="12" t="str">
        <f>HYPERLINK("https://www.google.iq/maps/search/+34.6491,43.6543/@34.6491,43.6543,14z?hl=en","Maplink2")</f>
        <v>Maplink2</v>
      </c>
      <c r="AV2520" s="12" t="str">
        <f>HYPERLINK("http://www.bing.com/maps/?lvl=14&amp;sty=h&amp;cp=34.6491~43.6543&amp;sp=point.34.6491_43.6543","Maplink3")</f>
        <v>Maplink3</v>
      </c>
    </row>
    <row r="2521" spans="1:48" ht="15" customHeight="1" x14ac:dyDescent="0.25">
      <c r="A2521" s="19">
        <v>22059</v>
      </c>
      <c r="B2521" s="20" t="s">
        <v>23</v>
      </c>
      <c r="C2521" s="20" t="s">
        <v>4388</v>
      </c>
      <c r="D2521" s="20" t="s">
        <v>4448</v>
      </c>
      <c r="E2521" s="20" t="s">
        <v>4449</v>
      </c>
      <c r="F2521" s="20">
        <v>34.792707620000002</v>
      </c>
      <c r="G2521" s="20">
        <v>43.611043539999997</v>
      </c>
      <c r="H2521" s="22">
        <v>125</v>
      </c>
      <c r="I2521" s="22">
        <v>750</v>
      </c>
      <c r="J2521" s="21"/>
      <c r="K2521" s="21"/>
      <c r="L2521" s="21"/>
      <c r="M2521" s="21"/>
      <c r="N2521" s="21"/>
      <c r="O2521" s="21"/>
      <c r="P2521" s="21"/>
      <c r="Q2521" s="21"/>
      <c r="R2521" s="21">
        <v>105</v>
      </c>
      <c r="S2521" s="21"/>
      <c r="T2521" s="21"/>
      <c r="U2521" s="21"/>
      <c r="V2521" s="21"/>
      <c r="W2521" s="21"/>
      <c r="X2521" s="21">
        <v>20</v>
      </c>
      <c r="Y2521" s="21"/>
      <c r="Z2521" s="21"/>
      <c r="AA2521" s="21"/>
      <c r="AB2521" s="21"/>
      <c r="AC2521" s="21">
        <v>15</v>
      </c>
      <c r="AD2521" s="21"/>
      <c r="AE2521" s="21"/>
      <c r="AF2521" s="21"/>
      <c r="AG2521" s="21"/>
      <c r="AH2521" s="21">
        <v>81</v>
      </c>
      <c r="AI2521" s="21"/>
      <c r="AJ2521" s="21">
        <v>29</v>
      </c>
      <c r="AK2521" s="21"/>
      <c r="AL2521" s="21"/>
      <c r="AM2521" s="21"/>
      <c r="AN2521" s="21"/>
      <c r="AO2521" s="21"/>
      <c r="AP2521" s="21"/>
      <c r="AQ2521" s="21"/>
      <c r="AR2521" s="21">
        <v>125</v>
      </c>
      <c r="AS2521" s="21"/>
      <c r="AT2521" s="12" t="str">
        <f>HYPERLINK("http://www.openstreetmap.org/?mlat=34.7927&amp;mlon=43.611&amp;zoom=12#map=12/34.7927/43.611","Maplink1")</f>
        <v>Maplink1</v>
      </c>
      <c r="AU2521" s="12" t="str">
        <f>HYPERLINK("https://www.google.iq/maps/search/+34.7927,43.611/@34.7927,43.611,14z?hl=en","Maplink2")</f>
        <v>Maplink2</v>
      </c>
      <c r="AV2521" s="12" t="str">
        <f>HYPERLINK("http://www.bing.com/maps/?lvl=14&amp;sty=h&amp;cp=34.7927~43.611&amp;sp=point.34.7927_43.611","Maplink3")</f>
        <v>Maplink3</v>
      </c>
    </row>
    <row r="2522" spans="1:48" ht="15" customHeight="1" x14ac:dyDescent="0.25">
      <c r="A2522" s="19">
        <v>20612</v>
      </c>
      <c r="B2522" s="20" t="s">
        <v>23</v>
      </c>
      <c r="C2522" s="20" t="s">
        <v>4388</v>
      </c>
      <c r="D2522" s="20" t="s">
        <v>4452</v>
      </c>
      <c r="E2522" s="20" t="s">
        <v>4453</v>
      </c>
      <c r="F2522" s="20">
        <v>34.748233710000001</v>
      </c>
      <c r="G2522" s="20">
        <v>43.6683424</v>
      </c>
      <c r="H2522" s="22">
        <v>58</v>
      </c>
      <c r="I2522" s="22">
        <v>348</v>
      </c>
      <c r="J2522" s="21"/>
      <c r="K2522" s="21"/>
      <c r="L2522" s="21"/>
      <c r="M2522" s="21"/>
      <c r="N2522" s="21"/>
      <c r="O2522" s="21"/>
      <c r="P2522" s="21"/>
      <c r="Q2522" s="21"/>
      <c r="R2522" s="21">
        <v>46</v>
      </c>
      <c r="S2522" s="21"/>
      <c r="T2522" s="21"/>
      <c r="U2522" s="21"/>
      <c r="V2522" s="21">
        <v>1</v>
      </c>
      <c r="W2522" s="21"/>
      <c r="X2522" s="21">
        <v>11</v>
      </c>
      <c r="Y2522" s="21"/>
      <c r="Z2522" s="21"/>
      <c r="AA2522" s="21"/>
      <c r="AB2522" s="21"/>
      <c r="AC2522" s="21"/>
      <c r="AD2522" s="21"/>
      <c r="AE2522" s="21">
        <v>20</v>
      </c>
      <c r="AF2522" s="21">
        <v>2</v>
      </c>
      <c r="AG2522" s="21"/>
      <c r="AH2522" s="21">
        <v>20</v>
      </c>
      <c r="AI2522" s="21"/>
      <c r="AJ2522" s="21">
        <v>16</v>
      </c>
      <c r="AK2522" s="21"/>
      <c r="AL2522" s="21"/>
      <c r="AM2522" s="21"/>
      <c r="AN2522" s="21"/>
      <c r="AO2522" s="21"/>
      <c r="AP2522" s="21"/>
      <c r="AQ2522" s="21"/>
      <c r="AR2522" s="21"/>
      <c r="AS2522" s="21">
        <v>58</v>
      </c>
      <c r="AT2522" s="12" t="str">
        <f>HYPERLINK("http://www.openstreetmap.org/?mlat=34.7482&amp;mlon=43.6683&amp;zoom=12#map=12/34.7482/43.6683","Maplink1")</f>
        <v>Maplink1</v>
      </c>
      <c r="AU2522" s="12" t="str">
        <f>HYPERLINK("https://www.google.iq/maps/search/+34.7482,43.6683/@34.7482,43.6683,14z?hl=en","Maplink2")</f>
        <v>Maplink2</v>
      </c>
      <c r="AV2522" s="12" t="str">
        <f>HYPERLINK("http://www.bing.com/maps/?lvl=14&amp;sty=h&amp;cp=34.7482~43.6683&amp;sp=point.34.7482_43.6683","Maplink3")</f>
        <v>Maplink3</v>
      </c>
    </row>
    <row r="2523" spans="1:48" ht="15" customHeight="1" x14ac:dyDescent="0.25">
      <c r="A2523" s="19">
        <v>25950</v>
      </c>
      <c r="B2523" s="20" t="s">
        <v>23</v>
      </c>
      <c r="C2523" s="20" t="s">
        <v>4388</v>
      </c>
      <c r="D2523" s="20" t="s">
        <v>4454</v>
      </c>
      <c r="E2523" s="20" t="s">
        <v>4455</v>
      </c>
      <c r="F2523" s="20">
        <v>34.82091767</v>
      </c>
      <c r="G2523" s="20">
        <v>43.578059060000001</v>
      </c>
      <c r="H2523" s="22">
        <v>288</v>
      </c>
      <c r="I2523" s="22">
        <v>1728</v>
      </c>
      <c r="J2523" s="21"/>
      <c r="K2523" s="21"/>
      <c r="L2523" s="21"/>
      <c r="M2523" s="21"/>
      <c r="N2523" s="21"/>
      <c r="O2523" s="21"/>
      <c r="P2523" s="21"/>
      <c r="Q2523" s="21"/>
      <c r="R2523" s="21">
        <v>248</v>
      </c>
      <c r="S2523" s="21"/>
      <c r="T2523" s="21"/>
      <c r="U2523" s="21"/>
      <c r="V2523" s="21"/>
      <c r="W2523" s="21"/>
      <c r="X2523" s="21">
        <v>40</v>
      </c>
      <c r="Y2523" s="21"/>
      <c r="Z2523" s="21"/>
      <c r="AA2523" s="21"/>
      <c r="AB2523" s="21"/>
      <c r="AC2523" s="21"/>
      <c r="AD2523" s="21"/>
      <c r="AE2523" s="21">
        <v>38</v>
      </c>
      <c r="AF2523" s="21"/>
      <c r="AG2523" s="21"/>
      <c r="AH2523" s="21">
        <v>250</v>
      </c>
      <c r="AI2523" s="21"/>
      <c r="AJ2523" s="21"/>
      <c r="AK2523" s="21"/>
      <c r="AL2523" s="21"/>
      <c r="AM2523" s="21"/>
      <c r="AN2523" s="21"/>
      <c r="AO2523" s="21"/>
      <c r="AP2523" s="21"/>
      <c r="AQ2523" s="21"/>
      <c r="AR2523" s="21">
        <v>288</v>
      </c>
      <c r="AS2523" s="21"/>
      <c r="AT2523" s="12" t="str">
        <f>HYPERLINK("http://www.openstreetmap.org/?mlat=34.8209&amp;mlon=43.5781&amp;zoom=12#map=12/34.8209/43.5781","Maplink1")</f>
        <v>Maplink1</v>
      </c>
      <c r="AU2523" s="12" t="str">
        <f>HYPERLINK("https://www.google.iq/maps/search/+34.8209,43.5781/@34.8209,43.5781,14z?hl=en","Maplink2")</f>
        <v>Maplink2</v>
      </c>
      <c r="AV2523" s="12" t="str">
        <f>HYPERLINK("http://www.bing.com/maps/?lvl=14&amp;sty=h&amp;cp=34.8209~43.5781&amp;sp=point.34.8209_43.5781","Maplink3")</f>
        <v>Maplink3</v>
      </c>
    </row>
    <row r="2524" spans="1:48" ht="15" customHeight="1" x14ac:dyDescent="0.25">
      <c r="A2524" s="19">
        <v>20666</v>
      </c>
      <c r="B2524" s="20" t="s">
        <v>23</v>
      </c>
      <c r="C2524" s="20" t="s">
        <v>4388</v>
      </c>
      <c r="D2524" s="20" t="s">
        <v>4456</v>
      </c>
      <c r="E2524" s="20" t="s">
        <v>4457</v>
      </c>
      <c r="F2524" s="20">
        <v>34.472761230000003</v>
      </c>
      <c r="G2524" s="20">
        <v>43.734200289999997</v>
      </c>
      <c r="H2524" s="22">
        <v>2</v>
      </c>
      <c r="I2524" s="22">
        <v>12</v>
      </c>
      <c r="J2524" s="21"/>
      <c r="K2524" s="21"/>
      <c r="L2524" s="21"/>
      <c r="M2524" s="21"/>
      <c r="N2524" s="21"/>
      <c r="O2524" s="21"/>
      <c r="P2524" s="21"/>
      <c r="Q2524" s="21"/>
      <c r="R2524" s="21">
        <v>1</v>
      </c>
      <c r="S2524" s="21"/>
      <c r="T2524" s="21"/>
      <c r="U2524" s="21"/>
      <c r="V2524" s="21"/>
      <c r="W2524" s="21"/>
      <c r="X2524" s="21">
        <v>1</v>
      </c>
      <c r="Y2524" s="21"/>
      <c r="Z2524" s="21"/>
      <c r="AA2524" s="21"/>
      <c r="AB2524" s="21"/>
      <c r="AC2524" s="21"/>
      <c r="AD2524" s="21"/>
      <c r="AE2524" s="21"/>
      <c r="AF2524" s="21"/>
      <c r="AG2524" s="21"/>
      <c r="AH2524" s="21">
        <v>2</v>
      </c>
      <c r="AI2524" s="21"/>
      <c r="AJ2524" s="21"/>
      <c r="AK2524" s="21"/>
      <c r="AL2524" s="21"/>
      <c r="AM2524" s="21"/>
      <c r="AN2524" s="21"/>
      <c r="AO2524" s="21">
        <v>1</v>
      </c>
      <c r="AP2524" s="21">
        <v>1</v>
      </c>
      <c r="AQ2524" s="21"/>
      <c r="AR2524" s="21"/>
      <c r="AS2524" s="21"/>
      <c r="AT2524" s="12" t="str">
        <f>HYPERLINK("http://www.openstreetmap.org/?mlat=34.4728&amp;mlon=43.7342&amp;zoom=12#map=12/34.4728/43.7342","Maplink1")</f>
        <v>Maplink1</v>
      </c>
      <c r="AU2524" s="12" t="str">
        <f>HYPERLINK("https://www.google.iq/maps/search/+34.4728,43.7342/@34.4728,43.7342,14z?hl=en","Maplink2")</f>
        <v>Maplink2</v>
      </c>
      <c r="AV2524" s="12" t="str">
        <f>HYPERLINK("http://www.bing.com/maps/?lvl=14&amp;sty=h&amp;cp=34.4728~43.7342&amp;sp=point.34.4728_43.7342","Maplink3")</f>
        <v>Maplink3</v>
      </c>
    </row>
    <row r="2525" spans="1:48" ht="15" customHeight="1" x14ac:dyDescent="0.25">
      <c r="A2525" s="19">
        <v>20505</v>
      </c>
      <c r="B2525" s="20" t="s">
        <v>23</v>
      </c>
      <c r="C2525" s="20" t="s">
        <v>4458</v>
      </c>
      <c r="D2525" s="20" t="s">
        <v>5570</v>
      </c>
      <c r="E2525" s="20" t="s">
        <v>5571</v>
      </c>
      <c r="F2525" s="20">
        <v>34.913440000000001</v>
      </c>
      <c r="G2525" s="20">
        <v>44.790979999999998</v>
      </c>
      <c r="H2525" s="22">
        <v>3</v>
      </c>
      <c r="I2525" s="22">
        <v>18</v>
      </c>
      <c r="J2525" s="21"/>
      <c r="K2525" s="21"/>
      <c r="L2525" s="21"/>
      <c r="M2525" s="21"/>
      <c r="N2525" s="21"/>
      <c r="O2525" s="21"/>
      <c r="P2525" s="21"/>
      <c r="Q2525" s="21"/>
      <c r="R2525" s="21"/>
      <c r="S2525" s="21"/>
      <c r="T2525" s="21"/>
      <c r="U2525" s="21"/>
      <c r="V2525" s="21"/>
      <c r="W2525" s="21"/>
      <c r="X2525" s="21">
        <v>3</v>
      </c>
      <c r="Y2525" s="21"/>
      <c r="Z2525" s="21"/>
      <c r="AA2525" s="21"/>
      <c r="AB2525" s="21"/>
      <c r="AC2525" s="21">
        <v>3</v>
      </c>
      <c r="AD2525" s="21"/>
      <c r="AE2525" s="21"/>
      <c r="AF2525" s="21"/>
      <c r="AG2525" s="21"/>
      <c r="AH2525" s="21"/>
      <c r="AI2525" s="21"/>
      <c r="AJ2525" s="21"/>
      <c r="AK2525" s="21"/>
      <c r="AL2525" s="21"/>
      <c r="AM2525" s="21"/>
      <c r="AN2525" s="21"/>
      <c r="AO2525" s="21"/>
      <c r="AP2525" s="21"/>
      <c r="AQ2525" s="21"/>
      <c r="AR2525" s="21"/>
      <c r="AS2525" s="21">
        <v>3</v>
      </c>
      <c r="AT2525" s="12" t="str">
        <f>HYPERLINK("http://www.openstreetmap.org/?mlat=34.9134&amp;mlon=44.791&amp;zoom=12#map=12/34.9134/44.791","Maplink1")</f>
        <v>Maplink1</v>
      </c>
      <c r="AU2525" s="12" t="str">
        <f>HYPERLINK("https://www.google.iq/maps/search/+34.9134,44.791/@34.9134,44.791,14z?hl=en","Maplink2")</f>
        <v>Maplink2</v>
      </c>
      <c r="AV2525" s="12" t="str">
        <f>HYPERLINK("http://www.bing.com/maps/?lvl=14&amp;sty=h&amp;cp=34.9134~44.791&amp;sp=point.34.9134_44.791","Maplink3")</f>
        <v>Maplink3</v>
      </c>
    </row>
    <row r="2526" spans="1:48" ht="15" customHeight="1" x14ac:dyDescent="0.25">
      <c r="A2526" s="19">
        <v>20553</v>
      </c>
      <c r="B2526" s="20" t="s">
        <v>23</v>
      </c>
      <c r="C2526" s="20" t="s">
        <v>4458</v>
      </c>
      <c r="D2526" s="20" t="s">
        <v>5572</v>
      </c>
      <c r="E2526" s="20" t="s">
        <v>5573</v>
      </c>
      <c r="F2526" s="20">
        <v>35.117289</v>
      </c>
      <c r="G2526" s="20">
        <v>44.812317</v>
      </c>
      <c r="H2526" s="22">
        <v>4</v>
      </c>
      <c r="I2526" s="22">
        <v>24</v>
      </c>
      <c r="J2526" s="21"/>
      <c r="K2526" s="21"/>
      <c r="L2526" s="21"/>
      <c r="M2526" s="21"/>
      <c r="N2526" s="21"/>
      <c r="O2526" s="21"/>
      <c r="P2526" s="21"/>
      <c r="Q2526" s="21"/>
      <c r="R2526" s="21"/>
      <c r="S2526" s="21"/>
      <c r="T2526" s="21"/>
      <c r="U2526" s="21"/>
      <c r="V2526" s="21"/>
      <c r="W2526" s="21"/>
      <c r="X2526" s="21">
        <v>4</v>
      </c>
      <c r="Y2526" s="21"/>
      <c r="Z2526" s="21"/>
      <c r="AA2526" s="21"/>
      <c r="AB2526" s="21"/>
      <c r="AC2526" s="21">
        <v>4</v>
      </c>
      <c r="AD2526" s="21"/>
      <c r="AE2526" s="21"/>
      <c r="AF2526" s="21"/>
      <c r="AG2526" s="21"/>
      <c r="AH2526" s="21"/>
      <c r="AI2526" s="21"/>
      <c r="AJ2526" s="21"/>
      <c r="AK2526" s="21"/>
      <c r="AL2526" s="21"/>
      <c r="AM2526" s="21"/>
      <c r="AN2526" s="21"/>
      <c r="AO2526" s="21"/>
      <c r="AP2526" s="21"/>
      <c r="AQ2526" s="21"/>
      <c r="AR2526" s="21"/>
      <c r="AS2526" s="21">
        <v>4</v>
      </c>
      <c r="AT2526" s="12" t="str">
        <f>HYPERLINK("http://www.openstreetmap.org/?mlat=35.1173&amp;mlon=44.8123&amp;zoom=12#map=12/35.1173/44.8123","Maplink1")</f>
        <v>Maplink1</v>
      </c>
      <c r="AU2526" s="12" t="str">
        <f>HYPERLINK("https://www.google.iq/maps/search/+35.1173,44.8123/@35.1173,44.8123,14z?hl=en","Maplink2")</f>
        <v>Maplink2</v>
      </c>
      <c r="AV2526" s="12" t="str">
        <f>HYPERLINK("http://www.bing.com/maps/?lvl=14&amp;sty=h&amp;cp=35.1173~44.8123&amp;sp=point.35.1173_44.8123","Maplink3")</f>
        <v>Maplink3</v>
      </c>
    </row>
    <row r="2527" spans="1:48" ht="15" customHeight="1" x14ac:dyDescent="0.25">
      <c r="A2527" s="19">
        <v>33138</v>
      </c>
      <c r="B2527" s="20" t="s">
        <v>23</v>
      </c>
      <c r="C2527" s="20" t="s">
        <v>4458</v>
      </c>
      <c r="D2527" s="20" t="s">
        <v>5574</v>
      </c>
      <c r="E2527" s="20" t="s">
        <v>5575</v>
      </c>
      <c r="F2527" s="20">
        <v>34.821040000000004</v>
      </c>
      <c r="G2527" s="20">
        <v>44.82649</v>
      </c>
      <c r="H2527" s="22">
        <v>5</v>
      </c>
      <c r="I2527" s="22">
        <v>30</v>
      </c>
      <c r="J2527" s="21"/>
      <c r="K2527" s="21"/>
      <c r="L2527" s="21"/>
      <c r="M2527" s="21"/>
      <c r="N2527" s="21"/>
      <c r="O2527" s="21"/>
      <c r="P2527" s="21"/>
      <c r="Q2527" s="21"/>
      <c r="R2527" s="21"/>
      <c r="S2527" s="21"/>
      <c r="T2527" s="21"/>
      <c r="U2527" s="21"/>
      <c r="V2527" s="21"/>
      <c r="W2527" s="21"/>
      <c r="X2527" s="21">
        <v>5</v>
      </c>
      <c r="Y2527" s="21"/>
      <c r="Z2527" s="21"/>
      <c r="AA2527" s="21"/>
      <c r="AB2527" s="21"/>
      <c r="AC2527" s="21">
        <v>5</v>
      </c>
      <c r="AD2527" s="21"/>
      <c r="AE2527" s="21"/>
      <c r="AF2527" s="21"/>
      <c r="AG2527" s="21"/>
      <c r="AH2527" s="21"/>
      <c r="AI2527" s="21"/>
      <c r="AJ2527" s="21"/>
      <c r="AK2527" s="21"/>
      <c r="AL2527" s="21"/>
      <c r="AM2527" s="21"/>
      <c r="AN2527" s="21"/>
      <c r="AO2527" s="21"/>
      <c r="AP2527" s="21"/>
      <c r="AQ2527" s="21"/>
      <c r="AR2527" s="21"/>
      <c r="AS2527" s="21">
        <v>5</v>
      </c>
      <c r="AT2527" s="12" t="str">
        <f>HYPERLINK("http://www.openstreetmap.org/?mlat=34.821&amp;mlon=44.8265&amp;zoom=12#map=12/34.821/44.8265","Maplink1")</f>
        <v>Maplink1</v>
      </c>
      <c r="AU2527" s="12" t="str">
        <f>HYPERLINK("https://www.google.iq/maps/search/+34.821,44.8265/@34.821,44.8265,14z?hl=en","Maplink2")</f>
        <v>Maplink2</v>
      </c>
      <c r="AV2527" s="12" t="str">
        <f>HYPERLINK("http://www.bing.com/maps/?lvl=14&amp;sty=h&amp;cp=34.821~44.8265&amp;sp=point.34.821_44.8265","Maplink3")</f>
        <v>Maplink3</v>
      </c>
    </row>
    <row r="2528" spans="1:48" ht="15" customHeight="1" x14ac:dyDescent="0.25">
      <c r="A2528" s="19">
        <v>33141</v>
      </c>
      <c r="B2528" s="20" t="s">
        <v>23</v>
      </c>
      <c r="C2528" s="20" t="s">
        <v>4458</v>
      </c>
      <c r="D2528" s="20" t="s">
        <v>5576</v>
      </c>
      <c r="E2528" s="20" t="s">
        <v>5577</v>
      </c>
      <c r="F2528" s="20">
        <v>34.9452</v>
      </c>
      <c r="G2528" s="20">
        <v>44.902850000000001</v>
      </c>
      <c r="H2528" s="22">
        <v>4</v>
      </c>
      <c r="I2528" s="22">
        <v>24</v>
      </c>
      <c r="J2528" s="21"/>
      <c r="K2528" s="21"/>
      <c r="L2528" s="21"/>
      <c r="M2528" s="21"/>
      <c r="N2528" s="21"/>
      <c r="O2528" s="21"/>
      <c r="P2528" s="21"/>
      <c r="Q2528" s="21"/>
      <c r="R2528" s="21"/>
      <c r="S2528" s="21"/>
      <c r="T2528" s="21"/>
      <c r="U2528" s="21"/>
      <c r="V2528" s="21"/>
      <c r="W2528" s="21"/>
      <c r="X2528" s="21">
        <v>4</v>
      </c>
      <c r="Y2528" s="21"/>
      <c r="Z2528" s="21"/>
      <c r="AA2528" s="21"/>
      <c r="AB2528" s="21"/>
      <c r="AC2528" s="21">
        <v>4</v>
      </c>
      <c r="AD2528" s="21"/>
      <c r="AE2528" s="21"/>
      <c r="AF2528" s="21"/>
      <c r="AG2528" s="21"/>
      <c r="AH2528" s="21"/>
      <c r="AI2528" s="21"/>
      <c r="AJ2528" s="21"/>
      <c r="AK2528" s="21"/>
      <c r="AL2528" s="21"/>
      <c r="AM2528" s="21"/>
      <c r="AN2528" s="21"/>
      <c r="AO2528" s="21"/>
      <c r="AP2528" s="21"/>
      <c r="AQ2528" s="21"/>
      <c r="AR2528" s="21"/>
      <c r="AS2528" s="21">
        <v>4</v>
      </c>
      <c r="AT2528" s="12" t="str">
        <f>HYPERLINK("http://www.openstreetmap.org/?mlat=34.9452&amp;mlon=44.9029&amp;zoom=12#map=12/34.9452/44.9029","Maplink1")</f>
        <v>Maplink1</v>
      </c>
      <c r="AU2528" s="12" t="str">
        <f>HYPERLINK("https://www.google.iq/maps/search/+34.9452,44.9029/@34.9452,44.9029,14z?hl=en","Maplink2")</f>
        <v>Maplink2</v>
      </c>
      <c r="AV2528" s="12" t="str">
        <f>HYPERLINK("http://www.bing.com/maps/?lvl=14&amp;sty=h&amp;cp=34.9452~44.9029&amp;sp=point.34.9452_44.9029","Maplink3")</f>
        <v>Maplink3</v>
      </c>
    </row>
    <row r="2529" spans="1:48" ht="15" customHeight="1" x14ac:dyDescent="0.25">
      <c r="A2529" s="19">
        <v>20420</v>
      </c>
      <c r="B2529" s="20" t="s">
        <v>23</v>
      </c>
      <c r="C2529" s="20" t="s">
        <v>4458</v>
      </c>
      <c r="D2529" s="20" t="s">
        <v>5578</v>
      </c>
      <c r="E2529" s="20" t="s">
        <v>5579</v>
      </c>
      <c r="F2529" s="20">
        <v>35.001899999999999</v>
      </c>
      <c r="G2529" s="20">
        <v>44.863100000000003</v>
      </c>
      <c r="H2529" s="22">
        <v>8</v>
      </c>
      <c r="I2529" s="22">
        <v>48</v>
      </c>
      <c r="J2529" s="21"/>
      <c r="K2529" s="21"/>
      <c r="L2529" s="21"/>
      <c r="M2529" s="21"/>
      <c r="N2529" s="21"/>
      <c r="O2529" s="21">
        <v>3</v>
      </c>
      <c r="P2529" s="21"/>
      <c r="Q2529" s="21"/>
      <c r="R2529" s="21"/>
      <c r="S2529" s="21"/>
      <c r="T2529" s="21"/>
      <c r="U2529" s="21"/>
      <c r="V2529" s="21">
        <v>1</v>
      </c>
      <c r="W2529" s="21"/>
      <c r="X2529" s="21">
        <v>4</v>
      </c>
      <c r="Y2529" s="21"/>
      <c r="Z2529" s="21"/>
      <c r="AA2529" s="21"/>
      <c r="AB2529" s="21"/>
      <c r="AC2529" s="21">
        <v>8</v>
      </c>
      <c r="AD2529" s="21"/>
      <c r="AE2529" s="21"/>
      <c r="AF2529" s="21"/>
      <c r="AG2529" s="21"/>
      <c r="AH2529" s="21"/>
      <c r="AI2529" s="21"/>
      <c r="AJ2529" s="21"/>
      <c r="AK2529" s="21"/>
      <c r="AL2529" s="21"/>
      <c r="AM2529" s="21"/>
      <c r="AN2529" s="21"/>
      <c r="AO2529" s="21"/>
      <c r="AP2529" s="21"/>
      <c r="AQ2529" s="21"/>
      <c r="AR2529" s="21"/>
      <c r="AS2529" s="21">
        <v>8</v>
      </c>
      <c r="AT2529" s="12" t="str">
        <f>HYPERLINK("http://www.openstreetmap.org/?mlat=35.0019&amp;mlon=44.8631&amp;zoom=12#map=12/35.0019/44.8631","Maplink1")</f>
        <v>Maplink1</v>
      </c>
      <c r="AU2529" s="12" t="str">
        <f>HYPERLINK("https://www.google.iq/maps/search/+35.0019,44.8631/@35.0019,44.8631,14z?hl=en","Maplink2")</f>
        <v>Maplink2</v>
      </c>
      <c r="AV2529" s="12" t="str">
        <f>HYPERLINK("http://www.bing.com/maps/?lvl=14&amp;sty=h&amp;cp=35.0019~44.8631&amp;sp=point.35.0019_44.8631","Maplink3")</f>
        <v>Maplink3</v>
      </c>
    </row>
    <row r="2530" spans="1:48" ht="15" customHeight="1" x14ac:dyDescent="0.25">
      <c r="A2530" s="19">
        <v>21846</v>
      </c>
      <c r="B2530" s="20" t="s">
        <v>23</v>
      </c>
      <c r="C2530" s="20" t="s">
        <v>4458</v>
      </c>
      <c r="D2530" s="20" t="s">
        <v>4459</v>
      </c>
      <c r="E2530" s="20" t="s">
        <v>4368</v>
      </c>
      <c r="F2530" s="20">
        <v>34.886692050000001</v>
      </c>
      <c r="G2530" s="20">
        <v>44.617794609999997</v>
      </c>
      <c r="H2530" s="22">
        <v>130</v>
      </c>
      <c r="I2530" s="22">
        <v>780</v>
      </c>
      <c r="J2530" s="21"/>
      <c r="K2530" s="21"/>
      <c r="L2530" s="21"/>
      <c r="M2530" s="21"/>
      <c r="N2530" s="21"/>
      <c r="O2530" s="21">
        <v>4</v>
      </c>
      <c r="P2530" s="21"/>
      <c r="Q2530" s="21"/>
      <c r="R2530" s="21"/>
      <c r="S2530" s="21"/>
      <c r="T2530" s="21"/>
      <c r="U2530" s="21"/>
      <c r="V2530" s="21">
        <v>4</v>
      </c>
      <c r="W2530" s="21"/>
      <c r="X2530" s="21">
        <v>122</v>
      </c>
      <c r="Y2530" s="21"/>
      <c r="Z2530" s="21"/>
      <c r="AA2530" s="21"/>
      <c r="AB2530" s="21"/>
      <c r="AC2530" s="21">
        <v>26</v>
      </c>
      <c r="AD2530" s="21"/>
      <c r="AE2530" s="21"/>
      <c r="AF2530" s="21"/>
      <c r="AG2530" s="21"/>
      <c r="AH2530" s="21">
        <v>104</v>
      </c>
      <c r="AI2530" s="21"/>
      <c r="AJ2530" s="21"/>
      <c r="AK2530" s="21"/>
      <c r="AL2530" s="21">
        <v>9</v>
      </c>
      <c r="AM2530" s="21">
        <v>99</v>
      </c>
      <c r="AN2530" s="21">
        <v>12</v>
      </c>
      <c r="AO2530" s="21"/>
      <c r="AP2530" s="21">
        <v>10</v>
      </c>
      <c r="AQ2530" s="21"/>
      <c r="AR2530" s="21"/>
      <c r="AS2530" s="21"/>
      <c r="AT2530" s="12" t="str">
        <f>HYPERLINK("http://www.openstreetmap.org/?mlat=34.8867&amp;mlon=44.6178&amp;zoom=12#map=12/34.8867/44.6178","Maplink1")</f>
        <v>Maplink1</v>
      </c>
      <c r="AU2530" s="12" t="str">
        <f>HYPERLINK("https://www.google.iq/maps/search/+34.8867,44.6178/@34.8867,44.6178,14z?hl=en","Maplink2")</f>
        <v>Maplink2</v>
      </c>
      <c r="AV2530" s="12" t="str">
        <f>HYPERLINK("http://www.bing.com/maps/?lvl=14&amp;sty=h&amp;cp=34.8867~44.6178&amp;sp=point.34.8867_44.6178","Maplink3")</f>
        <v>Maplink3</v>
      </c>
    </row>
    <row r="2531" spans="1:48" ht="15" customHeight="1" x14ac:dyDescent="0.25">
      <c r="A2531" s="19">
        <v>25865</v>
      </c>
      <c r="B2531" s="20" t="s">
        <v>23</v>
      </c>
      <c r="C2531" s="20" t="s">
        <v>4458</v>
      </c>
      <c r="D2531" s="20" t="s">
        <v>4460</v>
      </c>
      <c r="E2531" s="20" t="s">
        <v>4461</v>
      </c>
      <c r="F2531" s="20">
        <v>34.899218230000002</v>
      </c>
      <c r="G2531" s="20">
        <v>44.625039119999997</v>
      </c>
      <c r="H2531" s="22">
        <v>90</v>
      </c>
      <c r="I2531" s="22">
        <v>540</v>
      </c>
      <c r="J2531" s="21"/>
      <c r="K2531" s="21"/>
      <c r="L2531" s="21"/>
      <c r="M2531" s="21"/>
      <c r="N2531" s="21"/>
      <c r="O2531" s="21">
        <v>10</v>
      </c>
      <c r="P2531" s="21"/>
      <c r="Q2531" s="21"/>
      <c r="R2531" s="21"/>
      <c r="S2531" s="21"/>
      <c r="T2531" s="21"/>
      <c r="U2531" s="21"/>
      <c r="V2531" s="21"/>
      <c r="W2531" s="21"/>
      <c r="X2531" s="21">
        <v>80</v>
      </c>
      <c r="Y2531" s="21"/>
      <c r="Z2531" s="21"/>
      <c r="AA2531" s="21"/>
      <c r="AB2531" s="21"/>
      <c r="AC2531" s="21">
        <v>30</v>
      </c>
      <c r="AD2531" s="21"/>
      <c r="AE2531" s="21"/>
      <c r="AF2531" s="21"/>
      <c r="AG2531" s="21"/>
      <c r="AH2531" s="21">
        <v>60</v>
      </c>
      <c r="AI2531" s="21"/>
      <c r="AJ2531" s="21"/>
      <c r="AK2531" s="21"/>
      <c r="AL2531" s="21">
        <v>5</v>
      </c>
      <c r="AM2531" s="21">
        <v>15</v>
      </c>
      <c r="AN2531" s="21">
        <v>70</v>
      </c>
      <c r="AO2531" s="21"/>
      <c r="AP2531" s="21"/>
      <c r="AQ2531" s="21"/>
      <c r="AR2531" s="21"/>
      <c r="AS2531" s="21"/>
      <c r="AT2531" s="12" t="str">
        <f>HYPERLINK("http://www.openstreetmap.org/?mlat=34.8992&amp;mlon=44.625&amp;zoom=12#map=12/34.8992/44.625","Maplink1")</f>
        <v>Maplink1</v>
      </c>
      <c r="AU2531" s="12" t="str">
        <f>HYPERLINK("https://www.google.iq/maps/search/+34.8992,44.625/@34.8992,44.625,14z?hl=en","Maplink2")</f>
        <v>Maplink2</v>
      </c>
      <c r="AV2531" s="12" t="str">
        <f>HYPERLINK("http://www.bing.com/maps/?lvl=14&amp;sty=h&amp;cp=34.8992~44.625&amp;sp=point.34.8992_44.625","Maplink3")</f>
        <v>Maplink3</v>
      </c>
    </row>
    <row r="2532" spans="1:48" ht="15" customHeight="1" x14ac:dyDescent="0.25">
      <c r="A2532" s="19">
        <v>25866</v>
      </c>
      <c r="B2532" s="20" t="s">
        <v>23</v>
      </c>
      <c r="C2532" s="20" t="s">
        <v>4458</v>
      </c>
      <c r="D2532" s="20" t="s">
        <v>4462</v>
      </c>
      <c r="E2532" s="20" t="s">
        <v>4463</v>
      </c>
      <c r="F2532" s="20">
        <v>34.894946779999998</v>
      </c>
      <c r="G2532" s="20">
        <v>44.627123820000001</v>
      </c>
      <c r="H2532" s="22">
        <v>895</v>
      </c>
      <c r="I2532" s="22">
        <v>5370</v>
      </c>
      <c r="J2532" s="21">
        <v>80</v>
      </c>
      <c r="K2532" s="21"/>
      <c r="L2532" s="21"/>
      <c r="M2532" s="21"/>
      <c r="N2532" s="21"/>
      <c r="O2532" s="21">
        <v>105</v>
      </c>
      <c r="P2532" s="21"/>
      <c r="Q2532" s="21"/>
      <c r="R2532" s="21"/>
      <c r="S2532" s="21"/>
      <c r="T2532" s="21"/>
      <c r="U2532" s="21"/>
      <c r="V2532" s="21">
        <v>10</v>
      </c>
      <c r="W2532" s="21"/>
      <c r="X2532" s="21">
        <v>700</v>
      </c>
      <c r="Y2532" s="21"/>
      <c r="Z2532" s="21"/>
      <c r="AA2532" s="21"/>
      <c r="AB2532" s="21"/>
      <c r="AC2532" s="21">
        <v>70</v>
      </c>
      <c r="AD2532" s="21"/>
      <c r="AE2532" s="21">
        <v>50</v>
      </c>
      <c r="AF2532" s="21"/>
      <c r="AG2532" s="21"/>
      <c r="AH2532" s="21">
        <v>770</v>
      </c>
      <c r="AI2532" s="21"/>
      <c r="AJ2532" s="21">
        <v>5</v>
      </c>
      <c r="AK2532" s="21"/>
      <c r="AL2532" s="21"/>
      <c r="AM2532" s="21">
        <v>160</v>
      </c>
      <c r="AN2532" s="21">
        <v>605</v>
      </c>
      <c r="AO2532" s="21"/>
      <c r="AP2532" s="21">
        <v>115</v>
      </c>
      <c r="AQ2532" s="21"/>
      <c r="AR2532" s="21">
        <v>15</v>
      </c>
      <c r="AS2532" s="21"/>
      <c r="AT2532" s="12" t="str">
        <f>HYPERLINK("http://www.openstreetmap.org/?mlat=34.8949&amp;mlon=44.6271&amp;zoom=12#map=12/34.8949/44.6271","Maplink1")</f>
        <v>Maplink1</v>
      </c>
      <c r="AU2532" s="12" t="str">
        <f>HYPERLINK("https://www.google.iq/maps/search/+34.8949,44.6271/@34.8949,44.6271,14z?hl=en","Maplink2")</f>
        <v>Maplink2</v>
      </c>
      <c r="AV2532" s="12" t="str">
        <f>HYPERLINK("http://www.bing.com/maps/?lvl=14&amp;sty=h&amp;cp=34.8949~44.6271&amp;sp=point.34.8949_44.6271","Maplink3")</f>
        <v>Maplink3</v>
      </c>
    </row>
    <row r="2533" spans="1:48" ht="15" customHeight="1" x14ac:dyDescent="0.25">
      <c r="A2533" s="19">
        <v>25868</v>
      </c>
      <c r="B2533" s="20" t="s">
        <v>23</v>
      </c>
      <c r="C2533" s="20" t="s">
        <v>4458</v>
      </c>
      <c r="D2533" s="20" t="s">
        <v>4464</v>
      </c>
      <c r="E2533" s="20" t="s">
        <v>4465</v>
      </c>
      <c r="F2533" s="20">
        <v>34.88951385</v>
      </c>
      <c r="G2533" s="20">
        <v>44.640224140000001</v>
      </c>
      <c r="H2533" s="22">
        <v>317</v>
      </c>
      <c r="I2533" s="22">
        <v>1902</v>
      </c>
      <c r="J2533" s="21"/>
      <c r="K2533" s="21"/>
      <c r="L2533" s="21"/>
      <c r="M2533" s="21"/>
      <c r="N2533" s="21"/>
      <c r="O2533" s="21"/>
      <c r="P2533" s="21"/>
      <c r="Q2533" s="21"/>
      <c r="R2533" s="21"/>
      <c r="S2533" s="21"/>
      <c r="T2533" s="21"/>
      <c r="U2533" s="21"/>
      <c r="V2533" s="21">
        <v>15</v>
      </c>
      <c r="W2533" s="21"/>
      <c r="X2533" s="21">
        <v>302</v>
      </c>
      <c r="Y2533" s="21"/>
      <c r="Z2533" s="21"/>
      <c r="AA2533" s="21"/>
      <c r="AB2533" s="21"/>
      <c r="AC2533" s="21">
        <v>5</v>
      </c>
      <c r="AD2533" s="21"/>
      <c r="AE2533" s="21"/>
      <c r="AF2533" s="21"/>
      <c r="AG2533" s="21"/>
      <c r="AH2533" s="21">
        <v>302</v>
      </c>
      <c r="AI2533" s="21"/>
      <c r="AJ2533" s="21">
        <v>10</v>
      </c>
      <c r="AK2533" s="21"/>
      <c r="AL2533" s="21"/>
      <c r="AM2533" s="21">
        <v>10</v>
      </c>
      <c r="AN2533" s="21">
        <v>257</v>
      </c>
      <c r="AO2533" s="21">
        <v>35</v>
      </c>
      <c r="AP2533" s="21"/>
      <c r="AQ2533" s="21"/>
      <c r="AR2533" s="21">
        <v>15</v>
      </c>
      <c r="AS2533" s="21"/>
      <c r="AT2533" s="12" t="str">
        <f>HYPERLINK("http://www.openstreetmap.org/?mlat=34.8895&amp;mlon=44.6402&amp;zoom=12#map=12/34.8895/44.6402","Maplink1")</f>
        <v>Maplink1</v>
      </c>
      <c r="AU2533" s="12" t="str">
        <f>HYPERLINK("https://www.google.iq/maps/search/+34.8895,44.6402/@34.8895,44.6402,14z?hl=en","Maplink2")</f>
        <v>Maplink2</v>
      </c>
      <c r="AV2533" s="12" t="str">
        <f>HYPERLINK("http://www.bing.com/maps/?lvl=14&amp;sty=h&amp;cp=34.8895~44.6402&amp;sp=point.34.8895_44.6402","Maplink3")</f>
        <v>Maplink3</v>
      </c>
    </row>
    <row r="2534" spans="1:48" ht="15" customHeight="1" x14ac:dyDescent="0.25">
      <c r="A2534" s="19">
        <v>25869</v>
      </c>
      <c r="B2534" s="20" t="s">
        <v>23</v>
      </c>
      <c r="C2534" s="20" t="s">
        <v>4458</v>
      </c>
      <c r="D2534" s="20" t="s">
        <v>4466</v>
      </c>
      <c r="E2534" s="20" t="s">
        <v>4467</v>
      </c>
      <c r="F2534" s="20">
        <v>35.072706940499998</v>
      </c>
      <c r="G2534" s="20">
        <v>44.497277226999998</v>
      </c>
      <c r="H2534" s="22">
        <v>85</v>
      </c>
      <c r="I2534" s="22">
        <v>510</v>
      </c>
      <c r="J2534" s="21"/>
      <c r="K2534" s="21"/>
      <c r="L2534" s="21"/>
      <c r="M2534" s="21"/>
      <c r="N2534" s="21"/>
      <c r="O2534" s="21">
        <v>10</v>
      </c>
      <c r="P2534" s="21"/>
      <c r="Q2534" s="21"/>
      <c r="R2534" s="21">
        <v>55</v>
      </c>
      <c r="S2534" s="21"/>
      <c r="T2534" s="21"/>
      <c r="U2534" s="21"/>
      <c r="V2534" s="21"/>
      <c r="W2534" s="21"/>
      <c r="X2534" s="21">
        <v>20</v>
      </c>
      <c r="Y2534" s="21"/>
      <c r="Z2534" s="21"/>
      <c r="AA2534" s="21"/>
      <c r="AB2534" s="21"/>
      <c r="AC2534" s="21">
        <v>20</v>
      </c>
      <c r="AD2534" s="21"/>
      <c r="AE2534" s="21">
        <v>65</v>
      </c>
      <c r="AF2534" s="21"/>
      <c r="AG2534" s="21"/>
      <c r="AH2534" s="21"/>
      <c r="AI2534" s="21"/>
      <c r="AJ2534" s="21"/>
      <c r="AK2534" s="21"/>
      <c r="AL2534" s="21"/>
      <c r="AM2534" s="21">
        <v>27</v>
      </c>
      <c r="AN2534" s="21">
        <v>45</v>
      </c>
      <c r="AO2534" s="21"/>
      <c r="AP2534" s="21"/>
      <c r="AQ2534" s="21">
        <v>13</v>
      </c>
      <c r="AR2534" s="21"/>
      <c r="AS2534" s="21"/>
      <c r="AT2534" s="12" t="str">
        <f>HYPERLINK("http://www.openstreetmap.org/?mlat=35.0727&amp;mlon=44.4973&amp;zoom=12#map=12/35.0727/44.4973","Maplink1")</f>
        <v>Maplink1</v>
      </c>
      <c r="AU2534" s="12" t="str">
        <f>HYPERLINK("https://www.google.iq/maps/search/+35.0727,44.4973/@35.0727,44.4973,14z?hl=en","Maplink2")</f>
        <v>Maplink2</v>
      </c>
      <c r="AV2534" s="12" t="str">
        <f>HYPERLINK("http://www.bing.com/maps/?lvl=14&amp;sty=h&amp;cp=35.0727~44.4973&amp;sp=point.35.0727_44.4973","Maplink3")</f>
        <v>Maplink3</v>
      </c>
    </row>
    <row r="2535" spans="1:48" ht="15" customHeight="1" x14ac:dyDescent="0.25">
      <c r="A2535" s="19">
        <v>20485</v>
      </c>
      <c r="B2535" s="20" t="s">
        <v>23</v>
      </c>
      <c r="C2535" s="20" t="s">
        <v>4458</v>
      </c>
      <c r="D2535" s="20" t="s">
        <v>5580</v>
      </c>
      <c r="E2535" s="20" t="s">
        <v>5581</v>
      </c>
      <c r="F2535" s="20">
        <v>34.89669</v>
      </c>
      <c r="G2535" s="20">
        <v>44.824469999999998</v>
      </c>
      <c r="H2535" s="22">
        <v>10</v>
      </c>
      <c r="I2535" s="22">
        <v>60</v>
      </c>
      <c r="J2535" s="21"/>
      <c r="K2535" s="21"/>
      <c r="L2535" s="21"/>
      <c r="M2535" s="21"/>
      <c r="N2535" s="21"/>
      <c r="O2535" s="21"/>
      <c r="P2535" s="21"/>
      <c r="Q2535" s="21"/>
      <c r="R2535" s="21"/>
      <c r="S2535" s="21"/>
      <c r="T2535" s="21"/>
      <c r="U2535" s="21"/>
      <c r="V2535" s="21"/>
      <c r="W2535" s="21"/>
      <c r="X2535" s="21">
        <v>10</v>
      </c>
      <c r="Y2535" s="21"/>
      <c r="Z2535" s="21"/>
      <c r="AA2535" s="21"/>
      <c r="AB2535" s="21"/>
      <c r="AC2535" s="21">
        <v>10</v>
      </c>
      <c r="AD2535" s="21"/>
      <c r="AE2535" s="21"/>
      <c r="AF2535" s="21"/>
      <c r="AG2535" s="21"/>
      <c r="AH2535" s="21"/>
      <c r="AI2535" s="21"/>
      <c r="AJ2535" s="21"/>
      <c r="AK2535" s="21"/>
      <c r="AL2535" s="21"/>
      <c r="AM2535" s="21"/>
      <c r="AN2535" s="21"/>
      <c r="AO2535" s="21"/>
      <c r="AP2535" s="21"/>
      <c r="AQ2535" s="21"/>
      <c r="AR2535" s="21"/>
      <c r="AS2535" s="21">
        <v>10</v>
      </c>
      <c r="AT2535" s="12" t="str">
        <f>HYPERLINK("http://www.openstreetmap.org/?mlat=34.8967&amp;mlon=44.8245&amp;zoom=12#map=12/34.8967/44.8245","Maplink1")</f>
        <v>Maplink1</v>
      </c>
      <c r="AU2535" s="12" t="str">
        <f>HYPERLINK("https://www.google.iq/maps/search/+34.8967,44.8245/@34.8967,44.8245,14z?hl=en","Maplink2")</f>
        <v>Maplink2</v>
      </c>
      <c r="AV2535" s="12" t="str">
        <f>HYPERLINK("http://www.bing.com/maps/?lvl=14&amp;sty=h&amp;cp=34.8967~44.8245&amp;sp=point.34.8967_44.8245","Maplink3")</f>
        <v>Maplink3</v>
      </c>
    </row>
    <row r="2536" spans="1:48" ht="15" customHeight="1" x14ac:dyDescent="0.25">
      <c r="A2536" s="19">
        <v>20554</v>
      </c>
      <c r="B2536" s="20" t="s">
        <v>23</v>
      </c>
      <c r="C2536" s="20" t="s">
        <v>4458</v>
      </c>
      <c r="D2536" s="20" t="s">
        <v>5582</v>
      </c>
      <c r="E2536" s="20" t="s">
        <v>5583</v>
      </c>
      <c r="F2536" s="20">
        <v>35.003500000000003</v>
      </c>
      <c r="G2536" s="20">
        <v>44.674700000000001</v>
      </c>
      <c r="H2536" s="22">
        <v>7</v>
      </c>
      <c r="I2536" s="22">
        <v>42</v>
      </c>
      <c r="J2536" s="21"/>
      <c r="K2536" s="21"/>
      <c r="L2536" s="21"/>
      <c r="M2536" s="21"/>
      <c r="N2536" s="21"/>
      <c r="O2536" s="21"/>
      <c r="P2536" s="21"/>
      <c r="Q2536" s="21"/>
      <c r="R2536" s="21"/>
      <c r="S2536" s="21"/>
      <c r="T2536" s="21"/>
      <c r="U2536" s="21"/>
      <c r="V2536" s="21"/>
      <c r="W2536" s="21"/>
      <c r="X2536" s="21">
        <v>7</v>
      </c>
      <c r="Y2536" s="21"/>
      <c r="Z2536" s="21"/>
      <c r="AA2536" s="21"/>
      <c r="AB2536" s="21"/>
      <c r="AC2536" s="21">
        <v>7</v>
      </c>
      <c r="AD2536" s="21"/>
      <c r="AE2536" s="21"/>
      <c r="AF2536" s="21"/>
      <c r="AG2536" s="21"/>
      <c r="AH2536" s="21"/>
      <c r="AI2536" s="21"/>
      <c r="AJ2536" s="21"/>
      <c r="AK2536" s="21"/>
      <c r="AL2536" s="21"/>
      <c r="AM2536" s="21"/>
      <c r="AN2536" s="21"/>
      <c r="AO2536" s="21"/>
      <c r="AP2536" s="21"/>
      <c r="AQ2536" s="21"/>
      <c r="AR2536" s="21"/>
      <c r="AS2536" s="21">
        <v>7</v>
      </c>
      <c r="AT2536" s="12" t="str">
        <f>HYPERLINK("http://www.openstreetmap.org/?mlat=35.0035&amp;mlon=44.6747&amp;zoom=12#map=12/35.0035/44.6747","Maplink1")</f>
        <v>Maplink1</v>
      </c>
      <c r="AU2536" s="12" t="str">
        <f>HYPERLINK("https://www.google.iq/maps/search/+35.0035,44.6747/@35.0035,44.6747,14z?hl=en","Maplink2")</f>
        <v>Maplink2</v>
      </c>
      <c r="AV2536" s="12" t="str">
        <f>HYPERLINK("http://www.bing.com/maps/?lvl=14&amp;sty=h&amp;cp=35.0035~44.6747&amp;sp=point.35.0035_44.6747","Maplink3")</f>
        <v>Maplink3</v>
      </c>
    </row>
    <row r="2537" spans="1:48" ht="15" customHeight="1" x14ac:dyDescent="0.25">
      <c r="A2537" s="19">
        <v>20555</v>
      </c>
      <c r="B2537" s="20" t="s">
        <v>23</v>
      </c>
      <c r="C2537" s="20" t="s">
        <v>4458</v>
      </c>
      <c r="D2537" s="20" t="s">
        <v>5584</v>
      </c>
      <c r="E2537" s="20" t="s">
        <v>5585</v>
      </c>
      <c r="F2537" s="20">
        <v>34.911700000000003</v>
      </c>
      <c r="G2537" s="20">
        <v>44.822400000000002</v>
      </c>
      <c r="H2537" s="22">
        <v>6</v>
      </c>
      <c r="I2537" s="22">
        <v>36</v>
      </c>
      <c r="J2537" s="21"/>
      <c r="K2537" s="21"/>
      <c r="L2537" s="21"/>
      <c r="M2537" s="21"/>
      <c r="N2537" s="21"/>
      <c r="O2537" s="21"/>
      <c r="P2537" s="21"/>
      <c r="Q2537" s="21"/>
      <c r="R2537" s="21"/>
      <c r="S2537" s="21"/>
      <c r="T2537" s="21"/>
      <c r="U2537" s="21"/>
      <c r="V2537" s="21"/>
      <c r="W2537" s="21"/>
      <c r="X2537" s="21">
        <v>6</v>
      </c>
      <c r="Y2537" s="21"/>
      <c r="Z2537" s="21"/>
      <c r="AA2537" s="21"/>
      <c r="AB2537" s="21"/>
      <c r="AC2537" s="21">
        <v>6</v>
      </c>
      <c r="AD2537" s="21"/>
      <c r="AE2537" s="21"/>
      <c r="AF2537" s="21"/>
      <c r="AG2537" s="21"/>
      <c r="AH2537" s="21"/>
      <c r="AI2537" s="21"/>
      <c r="AJ2537" s="21"/>
      <c r="AK2537" s="21"/>
      <c r="AL2537" s="21"/>
      <c r="AM2537" s="21"/>
      <c r="AN2537" s="21"/>
      <c r="AO2537" s="21"/>
      <c r="AP2537" s="21"/>
      <c r="AQ2537" s="21"/>
      <c r="AR2537" s="21"/>
      <c r="AS2537" s="21">
        <v>6</v>
      </c>
      <c r="AT2537" s="12" t="str">
        <f>HYPERLINK("http://www.openstreetmap.org/?mlat=34.9117&amp;mlon=44.8224&amp;zoom=12#map=12/34.9117/44.8224","Maplink1")</f>
        <v>Maplink1</v>
      </c>
      <c r="AU2537" s="12" t="str">
        <f>HYPERLINK("https://www.google.iq/maps/search/+34.9117,44.8224/@34.9117,44.8224,14z?hl=en","Maplink2")</f>
        <v>Maplink2</v>
      </c>
      <c r="AV2537" s="12" t="str">
        <f>HYPERLINK("http://www.bing.com/maps/?lvl=14&amp;sty=h&amp;cp=34.9117~44.8224&amp;sp=point.34.9117_44.8224","Maplink3")</f>
        <v>Maplink3</v>
      </c>
    </row>
    <row r="2538" spans="1:48" ht="15" customHeight="1" x14ac:dyDescent="0.25">
      <c r="A2538" s="19">
        <v>25754</v>
      </c>
      <c r="B2538" s="20" t="s">
        <v>23</v>
      </c>
      <c r="C2538" s="20" t="s">
        <v>4458</v>
      </c>
      <c r="D2538" s="20" t="s">
        <v>4468</v>
      </c>
      <c r="E2538" s="20" t="s">
        <v>112</v>
      </c>
      <c r="F2538" s="20">
        <v>34.879233069999998</v>
      </c>
      <c r="G2538" s="20">
        <v>44.615219420000003</v>
      </c>
      <c r="H2538" s="22">
        <v>777</v>
      </c>
      <c r="I2538" s="22">
        <v>4662</v>
      </c>
      <c r="J2538" s="21">
        <v>10</v>
      </c>
      <c r="K2538" s="21"/>
      <c r="L2538" s="21"/>
      <c r="M2538" s="21"/>
      <c r="N2538" s="21"/>
      <c r="O2538" s="21"/>
      <c r="P2538" s="21"/>
      <c r="Q2538" s="21"/>
      <c r="R2538" s="21"/>
      <c r="S2538" s="21"/>
      <c r="T2538" s="21"/>
      <c r="U2538" s="21"/>
      <c r="V2538" s="21"/>
      <c r="W2538" s="21"/>
      <c r="X2538" s="21">
        <v>767</v>
      </c>
      <c r="Y2538" s="21"/>
      <c r="Z2538" s="21"/>
      <c r="AA2538" s="21"/>
      <c r="AB2538" s="21"/>
      <c r="AC2538" s="21">
        <v>100</v>
      </c>
      <c r="AD2538" s="21"/>
      <c r="AE2538" s="21">
        <v>37</v>
      </c>
      <c r="AF2538" s="21"/>
      <c r="AG2538" s="21"/>
      <c r="AH2538" s="21">
        <v>640</v>
      </c>
      <c r="AI2538" s="21"/>
      <c r="AJ2538" s="21"/>
      <c r="AK2538" s="21"/>
      <c r="AL2538" s="21"/>
      <c r="AM2538" s="21">
        <v>137</v>
      </c>
      <c r="AN2538" s="21">
        <v>565</v>
      </c>
      <c r="AO2538" s="21">
        <v>20</v>
      </c>
      <c r="AP2538" s="21">
        <v>55</v>
      </c>
      <c r="AQ2538" s="21"/>
      <c r="AR2538" s="21"/>
      <c r="AS2538" s="21"/>
      <c r="AT2538" s="12" t="str">
        <f>HYPERLINK("http://www.openstreetmap.org/?mlat=34.8792&amp;mlon=44.6152&amp;zoom=12#map=12/34.8792/44.6152","Maplink1")</f>
        <v>Maplink1</v>
      </c>
      <c r="AU2538" s="12" t="str">
        <f>HYPERLINK("https://www.google.iq/maps/search/+34.8792,44.6152/@34.8792,44.6152,14z?hl=en","Maplink2")</f>
        <v>Maplink2</v>
      </c>
      <c r="AV2538" s="12" t="str">
        <f>HYPERLINK("http://www.bing.com/maps/?lvl=14&amp;sty=h&amp;cp=34.8792~44.6152&amp;sp=point.34.8792_44.6152","Maplink3")</f>
        <v>Maplink3</v>
      </c>
    </row>
    <row r="2539" spans="1:48" ht="15" customHeight="1" x14ac:dyDescent="0.25">
      <c r="A2539" s="19">
        <v>25751</v>
      </c>
      <c r="B2539" s="20" t="s">
        <v>23</v>
      </c>
      <c r="C2539" s="20" t="s">
        <v>4458</v>
      </c>
      <c r="D2539" s="20" t="s">
        <v>4469</v>
      </c>
      <c r="E2539" s="20" t="s">
        <v>4470</v>
      </c>
      <c r="F2539" s="20">
        <v>34.883567220000003</v>
      </c>
      <c r="G2539" s="20">
        <v>44.630450580000002</v>
      </c>
      <c r="H2539" s="22">
        <v>5</v>
      </c>
      <c r="I2539" s="22">
        <v>30</v>
      </c>
      <c r="J2539" s="21"/>
      <c r="K2539" s="21"/>
      <c r="L2539" s="21"/>
      <c r="M2539" s="21"/>
      <c r="N2539" s="21"/>
      <c r="O2539" s="21"/>
      <c r="P2539" s="21"/>
      <c r="Q2539" s="21"/>
      <c r="R2539" s="21"/>
      <c r="S2539" s="21"/>
      <c r="T2539" s="21"/>
      <c r="U2539" s="21"/>
      <c r="V2539" s="21"/>
      <c r="W2539" s="21"/>
      <c r="X2539" s="21">
        <v>5</v>
      </c>
      <c r="Y2539" s="21"/>
      <c r="Z2539" s="21"/>
      <c r="AA2539" s="21"/>
      <c r="AB2539" s="21"/>
      <c r="AC2539" s="21"/>
      <c r="AD2539" s="21"/>
      <c r="AE2539" s="21"/>
      <c r="AF2539" s="21"/>
      <c r="AG2539" s="21"/>
      <c r="AH2539" s="21">
        <v>5</v>
      </c>
      <c r="AI2539" s="21"/>
      <c r="AJ2539" s="21"/>
      <c r="AK2539" s="21"/>
      <c r="AL2539" s="21"/>
      <c r="AM2539" s="21">
        <v>5</v>
      </c>
      <c r="AN2539" s="21"/>
      <c r="AO2539" s="21"/>
      <c r="AP2539" s="21"/>
      <c r="AQ2539" s="21"/>
      <c r="AR2539" s="21"/>
      <c r="AS2539" s="21"/>
      <c r="AT2539" s="12" t="str">
        <f>HYPERLINK("http://www.openstreetmap.org/?mlat=34.8836&amp;mlon=44.6305&amp;zoom=12#map=12/34.8836/44.6305","Maplink1")</f>
        <v>Maplink1</v>
      </c>
      <c r="AU2539" s="12" t="str">
        <f>HYPERLINK("https://www.google.iq/maps/search/+34.8836,44.6305/@34.8836,44.6305,14z?hl=en","Maplink2")</f>
        <v>Maplink2</v>
      </c>
      <c r="AV2539" s="12" t="str">
        <f>HYPERLINK("http://www.bing.com/maps/?lvl=14&amp;sty=h&amp;cp=34.8836~44.6305&amp;sp=point.34.8836_44.6305","Maplink3")</f>
        <v>Maplink3</v>
      </c>
    </row>
    <row r="2540" spans="1:48" ht="15" customHeight="1" x14ac:dyDescent="0.25">
      <c r="A2540" s="19">
        <v>25752</v>
      </c>
      <c r="B2540" s="20" t="s">
        <v>23</v>
      </c>
      <c r="C2540" s="20" t="s">
        <v>4458</v>
      </c>
      <c r="D2540" s="20" t="s">
        <v>4471</v>
      </c>
      <c r="E2540" s="20" t="s">
        <v>4472</v>
      </c>
      <c r="F2540" s="20">
        <v>34.898582230000002</v>
      </c>
      <c r="G2540" s="20">
        <v>44.619590649999999</v>
      </c>
      <c r="H2540" s="22">
        <v>755</v>
      </c>
      <c r="I2540" s="22">
        <v>4530</v>
      </c>
      <c r="J2540" s="21"/>
      <c r="K2540" s="21"/>
      <c r="L2540" s="21"/>
      <c r="M2540" s="21"/>
      <c r="N2540" s="21"/>
      <c r="O2540" s="21">
        <v>27</v>
      </c>
      <c r="P2540" s="21"/>
      <c r="Q2540" s="21"/>
      <c r="R2540" s="21"/>
      <c r="S2540" s="21"/>
      <c r="T2540" s="21"/>
      <c r="U2540" s="21"/>
      <c r="V2540" s="21"/>
      <c r="W2540" s="21"/>
      <c r="X2540" s="21">
        <v>728</v>
      </c>
      <c r="Y2540" s="21"/>
      <c r="Z2540" s="21"/>
      <c r="AA2540" s="21"/>
      <c r="AB2540" s="21"/>
      <c r="AC2540" s="21">
        <v>203</v>
      </c>
      <c r="AD2540" s="21"/>
      <c r="AE2540" s="21"/>
      <c r="AF2540" s="21"/>
      <c r="AG2540" s="21"/>
      <c r="AH2540" s="21">
        <v>552</v>
      </c>
      <c r="AI2540" s="21"/>
      <c r="AJ2540" s="21"/>
      <c r="AK2540" s="21"/>
      <c r="AL2540" s="21"/>
      <c r="AM2540" s="21">
        <v>125</v>
      </c>
      <c r="AN2540" s="21">
        <v>630</v>
      </c>
      <c r="AO2540" s="21"/>
      <c r="AP2540" s="21"/>
      <c r="AQ2540" s="21"/>
      <c r="AR2540" s="21"/>
      <c r="AS2540" s="21"/>
      <c r="AT2540" s="12" t="str">
        <f>HYPERLINK("http://www.openstreetmap.org/?mlat=34.8986&amp;mlon=44.6196&amp;zoom=12#map=12/34.8986/44.6196","Maplink1")</f>
        <v>Maplink1</v>
      </c>
      <c r="AU2540" s="12" t="str">
        <f>HYPERLINK("https://www.google.iq/maps/search/+34.8986,44.6196/@34.8986,44.6196,14z?hl=en","Maplink2")</f>
        <v>Maplink2</v>
      </c>
      <c r="AV2540" s="12" t="str">
        <f>HYPERLINK("http://www.bing.com/maps/?lvl=14&amp;sty=h&amp;cp=34.8986~44.6196&amp;sp=point.34.8986_44.6196","Maplink3")</f>
        <v>Maplink3</v>
      </c>
    </row>
    <row r="2541" spans="1:48" ht="15" customHeight="1" x14ac:dyDescent="0.25">
      <c r="A2541" s="19">
        <v>25750</v>
      </c>
      <c r="B2541" s="20" t="s">
        <v>23</v>
      </c>
      <c r="C2541" s="20" t="s">
        <v>4458</v>
      </c>
      <c r="D2541" s="20" t="s">
        <v>4473</v>
      </c>
      <c r="E2541" s="20" t="s">
        <v>4474</v>
      </c>
      <c r="F2541" s="20">
        <v>34.904719399999998</v>
      </c>
      <c r="G2541" s="20">
        <v>44.607167939999997</v>
      </c>
      <c r="H2541" s="22">
        <v>390</v>
      </c>
      <c r="I2541" s="22">
        <v>2340</v>
      </c>
      <c r="J2541" s="21">
        <v>12</v>
      </c>
      <c r="K2541" s="21"/>
      <c r="L2541" s="21"/>
      <c r="M2541" s="21"/>
      <c r="N2541" s="21"/>
      <c r="O2541" s="21">
        <v>21</v>
      </c>
      <c r="P2541" s="21"/>
      <c r="Q2541" s="21"/>
      <c r="R2541" s="21">
        <v>32</v>
      </c>
      <c r="S2541" s="21"/>
      <c r="T2541" s="21"/>
      <c r="U2541" s="21"/>
      <c r="V2541" s="21">
        <v>22</v>
      </c>
      <c r="W2541" s="21"/>
      <c r="X2541" s="21">
        <v>303</v>
      </c>
      <c r="Y2541" s="21"/>
      <c r="Z2541" s="21"/>
      <c r="AA2541" s="21"/>
      <c r="AB2541" s="21"/>
      <c r="AC2541" s="21">
        <v>70</v>
      </c>
      <c r="AD2541" s="21"/>
      <c r="AE2541" s="21"/>
      <c r="AF2541" s="21"/>
      <c r="AG2541" s="21"/>
      <c r="AH2541" s="21">
        <v>320</v>
      </c>
      <c r="AI2541" s="21"/>
      <c r="AJ2541" s="21"/>
      <c r="AK2541" s="21"/>
      <c r="AL2541" s="21">
        <v>5</v>
      </c>
      <c r="AM2541" s="21">
        <v>25</v>
      </c>
      <c r="AN2541" s="21">
        <v>250</v>
      </c>
      <c r="AO2541" s="21"/>
      <c r="AP2541" s="21">
        <v>87</v>
      </c>
      <c r="AQ2541" s="21"/>
      <c r="AR2541" s="21">
        <v>23</v>
      </c>
      <c r="AS2541" s="21"/>
      <c r="AT2541" s="12" t="str">
        <f>HYPERLINK("http://www.openstreetmap.org/?mlat=34.9047&amp;mlon=44.6072&amp;zoom=12#map=12/34.9047/44.6072","Maplink1")</f>
        <v>Maplink1</v>
      </c>
      <c r="AU2541" s="12" t="str">
        <f>HYPERLINK("https://www.google.iq/maps/search/+34.9047,44.6072/@34.9047,44.6072,14z?hl=en","Maplink2")</f>
        <v>Maplink2</v>
      </c>
      <c r="AV2541" s="12" t="str">
        <f>HYPERLINK("http://www.bing.com/maps/?lvl=14&amp;sty=h&amp;cp=34.9047~44.6072&amp;sp=point.34.9047_44.6072","Maplink3")</f>
        <v>Maplink3</v>
      </c>
    </row>
    <row r="2542" spans="1:48" ht="15" customHeight="1" x14ac:dyDescent="0.25">
      <c r="A2542" s="19">
        <v>25748</v>
      </c>
      <c r="B2542" s="20" t="s">
        <v>23</v>
      </c>
      <c r="C2542" s="20" t="s">
        <v>4458</v>
      </c>
      <c r="D2542" s="20" t="s">
        <v>4475</v>
      </c>
      <c r="E2542" s="20" t="s">
        <v>4476</v>
      </c>
      <c r="F2542" s="20">
        <v>34.940167166899997</v>
      </c>
      <c r="G2542" s="20">
        <v>44.594334955699999</v>
      </c>
      <c r="H2542" s="22">
        <v>75</v>
      </c>
      <c r="I2542" s="22">
        <v>450</v>
      </c>
      <c r="J2542" s="21"/>
      <c r="K2542" s="21"/>
      <c r="L2542" s="21"/>
      <c r="M2542" s="21"/>
      <c r="N2542" s="21"/>
      <c r="O2542" s="21"/>
      <c r="P2542" s="21"/>
      <c r="Q2542" s="21"/>
      <c r="R2542" s="21"/>
      <c r="S2542" s="21"/>
      <c r="T2542" s="21"/>
      <c r="U2542" s="21"/>
      <c r="V2542" s="21">
        <v>10</v>
      </c>
      <c r="W2542" s="21"/>
      <c r="X2542" s="21">
        <v>65</v>
      </c>
      <c r="Y2542" s="21"/>
      <c r="Z2542" s="21"/>
      <c r="AA2542" s="21"/>
      <c r="AB2542" s="21"/>
      <c r="AC2542" s="21">
        <v>40</v>
      </c>
      <c r="AD2542" s="21"/>
      <c r="AE2542" s="21"/>
      <c r="AF2542" s="21"/>
      <c r="AG2542" s="21"/>
      <c r="AH2542" s="21">
        <v>35</v>
      </c>
      <c r="AI2542" s="21"/>
      <c r="AJ2542" s="21"/>
      <c r="AK2542" s="21"/>
      <c r="AL2542" s="21"/>
      <c r="AM2542" s="21">
        <v>8</v>
      </c>
      <c r="AN2542" s="21">
        <v>15</v>
      </c>
      <c r="AO2542" s="21">
        <v>45</v>
      </c>
      <c r="AP2542" s="21"/>
      <c r="AQ2542" s="21"/>
      <c r="AR2542" s="21">
        <v>7</v>
      </c>
      <c r="AS2542" s="21"/>
      <c r="AT2542" s="12" t="str">
        <f>HYPERLINK("http://www.openstreetmap.org/?mlat=34.9402&amp;mlon=44.5943&amp;zoom=12#map=12/34.9402/44.5943","Maplink1")</f>
        <v>Maplink1</v>
      </c>
      <c r="AU2542" s="12" t="str">
        <f>HYPERLINK("https://www.google.iq/maps/search/+34.9402,44.5943/@34.9402,44.5943,14z?hl=en","Maplink2")</f>
        <v>Maplink2</v>
      </c>
      <c r="AV2542" s="12" t="str">
        <f>HYPERLINK("http://www.bing.com/maps/?lvl=14&amp;sty=h&amp;cp=34.9402~44.5943&amp;sp=point.34.9402_44.5943","Maplink3")</f>
        <v>Maplink3</v>
      </c>
    </row>
    <row r="2543" spans="1:48" ht="15" customHeight="1" x14ac:dyDescent="0.25">
      <c r="A2543" s="19">
        <v>20358</v>
      </c>
      <c r="B2543" s="20" t="s">
        <v>23</v>
      </c>
      <c r="C2543" s="20" t="s">
        <v>4458</v>
      </c>
      <c r="D2543" s="20" t="s">
        <v>5586</v>
      </c>
      <c r="E2543" s="20" t="s">
        <v>5587</v>
      </c>
      <c r="F2543" s="20">
        <v>35.06747</v>
      </c>
      <c r="G2543" s="20">
        <v>44.719479999999997</v>
      </c>
      <c r="H2543" s="22">
        <v>7</v>
      </c>
      <c r="I2543" s="22">
        <v>42</v>
      </c>
      <c r="J2543" s="21"/>
      <c r="K2543" s="21"/>
      <c r="L2543" s="21"/>
      <c r="M2543" s="21"/>
      <c r="N2543" s="21"/>
      <c r="O2543" s="21"/>
      <c r="P2543" s="21"/>
      <c r="Q2543" s="21"/>
      <c r="R2543" s="21"/>
      <c r="S2543" s="21"/>
      <c r="T2543" s="21"/>
      <c r="U2543" s="21"/>
      <c r="V2543" s="21"/>
      <c r="W2543" s="21"/>
      <c r="X2543" s="21">
        <v>7</v>
      </c>
      <c r="Y2543" s="21"/>
      <c r="Z2543" s="21"/>
      <c r="AA2543" s="21"/>
      <c r="AB2543" s="21"/>
      <c r="AC2543" s="21">
        <v>7</v>
      </c>
      <c r="AD2543" s="21"/>
      <c r="AE2543" s="21"/>
      <c r="AF2543" s="21"/>
      <c r="AG2543" s="21"/>
      <c r="AH2543" s="21"/>
      <c r="AI2543" s="21"/>
      <c r="AJ2543" s="21"/>
      <c r="AK2543" s="21"/>
      <c r="AL2543" s="21"/>
      <c r="AM2543" s="21"/>
      <c r="AN2543" s="21"/>
      <c r="AO2543" s="21"/>
      <c r="AP2543" s="21"/>
      <c r="AQ2543" s="21"/>
      <c r="AR2543" s="21"/>
      <c r="AS2543" s="21">
        <v>7</v>
      </c>
      <c r="AT2543" s="12" t="str">
        <f>HYPERLINK("http://www.openstreetmap.org/?mlat=35.0675&amp;mlon=44.7195&amp;zoom=12#map=12/35.0675/44.7195","Maplink1")</f>
        <v>Maplink1</v>
      </c>
      <c r="AU2543" s="12" t="str">
        <f>HYPERLINK("https://www.google.iq/maps/search/+35.0675,44.7195/@35.0675,44.7195,14z?hl=en","Maplink2")</f>
        <v>Maplink2</v>
      </c>
      <c r="AV2543" s="12" t="str">
        <f>HYPERLINK("http://www.bing.com/maps/?lvl=14&amp;sty=h&amp;cp=35.0675~44.7195&amp;sp=point.35.0675_44.7195","Maplink3")</f>
        <v>Maplink3</v>
      </c>
    </row>
    <row r="2544" spans="1:48" ht="15" customHeight="1" x14ac:dyDescent="0.25">
      <c r="A2544" s="19">
        <v>20561</v>
      </c>
      <c r="B2544" s="20" t="s">
        <v>23</v>
      </c>
      <c r="C2544" s="20" t="s">
        <v>4458</v>
      </c>
      <c r="D2544" s="20" t="s">
        <v>5588</v>
      </c>
      <c r="E2544" s="20" t="s">
        <v>5589</v>
      </c>
      <c r="F2544" s="20">
        <v>35.101419999999997</v>
      </c>
      <c r="G2544" s="20">
        <v>44.838465999999997</v>
      </c>
      <c r="H2544" s="22">
        <v>6</v>
      </c>
      <c r="I2544" s="22">
        <v>36</v>
      </c>
      <c r="J2544" s="21"/>
      <c r="K2544" s="21"/>
      <c r="L2544" s="21"/>
      <c r="M2544" s="21"/>
      <c r="N2544" s="21"/>
      <c r="O2544" s="21"/>
      <c r="P2544" s="21"/>
      <c r="Q2544" s="21"/>
      <c r="R2544" s="21"/>
      <c r="S2544" s="21"/>
      <c r="T2544" s="21"/>
      <c r="U2544" s="21"/>
      <c r="V2544" s="21"/>
      <c r="W2544" s="21"/>
      <c r="X2544" s="21">
        <v>6</v>
      </c>
      <c r="Y2544" s="21"/>
      <c r="Z2544" s="21"/>
      <c r="AA2544" s="21"/>
      <c r="AB2544" s="21"/>
      <c r="AC2544" s="21">
        <v>6</v>
      </c>
      <c r="AD2544" s="21"/>
      <c r="AE2544" s="21"/>
      <c r="AF2544" s="21"/>
      <c r="AG2544" s="21"/>
      <c r="AH2544" s="21"/>
      <c r="AI2544" s="21"/>
      <c r="AJ2544" s="21"/>
      <c r="AK2544" s="21"/>
      <c r="AL2544" s="21"/>
      <c r="AM2544" s="21"/>
      <c r="AN2544" s="21"/>
      <c r="AO2544" s="21"/>
      <c r="AP2544" s="21"/>
      <c r="AQ2544" s="21"/>
      <c r="AR2544" s="21"/>
      <c r="AS2544" s="21">
        <v>6</v>
      </c>
      <c r="AT2544" s="12" t="str">
        <f>HYPERLINK("http://www.openstreetmap.org/?mlat=35.1014&amp;mlon=44.8385&amp;zoom=12#map=12/35.1014/44.8385","Maplink1")</f>
        <v>Maplink1</v>
      </c>
      <c r="AU2544" s="12" t="str">
        <f>HYPERLINK("https://www.google.iq/maps/search/+35.1014,44.8385/@35.1014,44.8385,14z?hl=en","Maplink2")</f>
        <v>Maplink2</v>
      </c>
      <c r="AV2544" s="12" t="str">
        <f>HYPERLINK("http://www.bing.com/maps/?lvl=14&amp;sty=h&amp;cp=35.1014~44.8385&amp;sp=point.35.1014_44.8385","Maplink3")</f>
        <v>Maplink3</v>
      </c>
    </row>
    <row r="2545" spans="1:48" ht="15" customHeight="1" x14ac:dyDescent="0.25">
      <c r="A2545" s="19">
        <v>20430</v>
      </c>
      <c r="B2545" s="20" t="s">
        <v>23</v>
      </c>
      <c r="C2545" s="20" t="s">
        <v>4458</v>
      </c>
      <c r="D2545" s="20" t="s">
        <v>4477</v>
      </c>
      <c r="E2545" s="20" t="s">
        <v>4478</v>
      </c>
      <c r="F2545" s="20">
        <v>34.979629539999998</v>
      </c>
      <c r="G2545" s="20">
        <v>44.766703440000001</v>
      </c>
      <c r="H2545" s="22">
        <v>70</v>
      </c>
      <c r="I2545" s="22">
        <v>420</v>
      </c>
      <c r="J2545" s="21"/>
      <c r="K2545" s="21"/>
      <c r="L2545" s="21"/>
      <c r="M2545" s="21"/>
      <c r="N2545" s="21"/>
      <c r="O2545" s="21">
        <v>17</v>
      </c>
      <c r="P2545" s="21"/>
      <c r="Q2545" s="21"/>
      <c r="R2545" s="21"/>
      <c r="S2545" s="21"/>
      <c r="T2545" s="21"/>
      <c r="U2545" s="21"/>
      <c r="V2545" s="21"/>
      <c r="W2545" s="21"/>
      <c r="X2545" s="21">
        <v>53</v>
      </c>
      <c r="Y2545" s="21"/>
      <c r="Z2545" s="21"/>
      <c r="AA2545" s="21"/>
      <c r="AB2545" s="21"/>
      <c r="AC2545" s="21">
        <v>70</v>
      </c>
      <c r="AD2545" s="21"/>
      <c r="AE2545" s="21"/>
      <c r="AF2545" s="21"/>
      <c r="AG2545" s="21"/>
      <c r="AH2545" s="21"/>
      <c r="AI2545" s="21"/>
      <c r="AJ2545" s="21"/>
      <c r="AK2545" s="21"/>
      <c r="AL2545" s="21"/>
      <c r="AM2545" s="21">
        <v>20</v>
      </c>
      <c r="AN2545" s="21">
        <v>20</v>
      </c>
      <c r="AO2545" s="21"/>
      <c r="AP2545" s="21"/>
      <c r="AQ2545" s="21"/>
      <c r="AR2545" s="21"/>
      <c r="AS2545" s="21">
        <v>30</v>
      </c>
      <c r="AT2545" s="12" t="str">
        <f>HYPERLINK("http://www.openstreetmap.org/?mlat=34.9796&amp;mlon=44.7667&amp;zoom=12#map=12/34.9796/44.7667","Maplink1")</f>
        <v>Maplink1</v>
      </c>
      <c r="AU2545" s="12" t="str">
        <f>HYPERLINK("https://www.google.iq/maps/search/+34.9796,44.7667/@34.9796,44.7667,14z?hl=en","Maplink2")</f>
        <v>Maplink2</v>
      </c>
      <c r="AV2545" s="12" t="str">
        <f>HYPERLINK("http://www.bing.com/maps/?lvl=14&amp;sty=h&amp;cp=34.9796~44.7667&amp;sp=point.34.9796_44.7667","Maplink3")</f>
        <v>Maplink3</v>
      </c>
    </row>
    <row r="2546" spans="1:48" ht="15" customHeight="1" x14ac:dyDescent="0.25">
      <c r="A2546" s="19">
        <v>33144</v>
      </c>
      <c r="B2546" s="20" t="s">
        <v>23</v>
      </c>
      <c r="C2546" s="20" t="s">
        <v>4458</v>
      </c>
      <c r="D2546" s="20" t="s">
        <v>5590</v>
      </c>
      <c r="E2546" s="20" t="s">
        <v>5591</v>
      </c>
      <c r="F2546" s="20">
        <v>34.981160000000003</v>
      </c>
      <c r="G2546" s="20">
        <v>44.775359999999999</v>
      </c>
      <c r="H2546" s="22">
        <v>4</v>
      </c>
      <c r="I2546" s="22">
        <v>24</v>
      </c>
      <c r="J2546" s="21"/>
      <c r="K2546" s="21"/>
      <c r="L2546" s="21"/>
      <c r="M2546" s="21"/>
      <c r="N2546" s="21"/>
      <c r="O2546" s="21"/>
      <c r="P2546" s="21"/>
      <c r="Q2546" s="21"/>
      <c r="R2546" s="21"/>
      <c r="S2546" s="21"/>
      <c r="T2546" s="21"/>
      <c r="U2546" s="21"/>
      <c r="V2546" s="21"/>
      <c r="W2546" s="21"/>
      <c r="X2546" s="21">
        <v>4</v>
      </c>
      <c r="Y2546" s="21"/>
      <c r="Z2546" s="21"/>
      <c r="AA2546" s="21"/>
      <c r="AB2546" s="21"/>
      <c r="AC2546" s="21">
        <v>4</v>
      </c>
      <c r="AD2546" s="21"/>
      <c r="AE2546" s="21"/>
      <c r="AF2546" s="21"/>
      <c r="AG2546" s="21"/>
      <c r="AH2546" s="21"/>
      <c r="AI2546" s="21"/>
      <c r="AJ2546" s="21"/>
      <c r="AK2546" s="21"/>
      <c r="AL2546" s="21"/>
      <c r="AM2546" s="21"/>
      <c r="AN2546" s="21"/>
      <c r="AO2546" s="21"/>
      <c r="AP2546" s="21"/>
      <c r="AQ2546" s="21"/>
      <c r="AR2546" s="21"/>
      <c r="AS2546" s="21">
        <v>4</v>
      </c>
      <c r="AT2546" s="12" t="str">
        <f>HYPERLINK("http://www.openstreetmap.org/?mlat=34.9812&amp;mlon=44.7754&amp;zoom=12#map=12/34.9812/44.7754","Maplink1")</f>
        <v>Maplink1</v>
      </c>
      <c r="AU2546" s="12" t="str">
        <f>HYPERLINK("https://www.google.iq/maps/search/+34.9812,44.7754/@34.9812,44.7754,14z?hl=en","Maplink2")</f>
        <v>Maplink2</v>
      </c>
      <c r="AV2546" s="12" t="str">
        <f>HYPERLINK("http://www.bing.com/maps/?lvl=14&amp;sty=h&amp;cp=34.9812~44.7754&amp;sp=point.34.9812_44.7754","Maplink3")</f>
        <v>Maplink3</v>
      </c>
    </row>
    <row r="2547" spans="1:48" ht="15" customHeight="1" x14ac:dyDescent="0.25">
      <c r="A2547" s="19">
        <v>20535</v>
      </c>
      <c r="B2547" s="20" t="s">
        <v>23</v>
      </c>
      <c r="C2547" s="20" t="s">
        <v>4458</v>
      </c>
      <c r="D2547" s="20" t="s">
        <v>5592</v>
      </c>
      <c r="E2547" s="20" t="s">
        <v>5593</v>
      </c>
      <c r="F2547" s="20">
        <v>34.971670000000003</v>
      </c>
      <c r="G2547" s="20">
        <v>44.81917</v>
      </c>
      <c r="H2547" s="22">
        <v>6</v>
      </c>
      <c r="I2547" s="22">
        <v>36</v>
      </c>
      <c r="J2547" s="21"/>
      <c r="K2547" s="21"/>
      <c r="L2547" s="21"/>
      <c r="M2547" s="21"/>
      <c r="N2547" s="21"/>
      <c r="O2547" s="21"/>
      <c r="P2547" s="21"/>
      <c r="Q2547" s="21"/>
      <c r="R2547" s="21"/>
      <c r="S2547" s="21"/>
      <c r="T2547" s="21"/>
      <c r="U2547" s="21"/>
      <c r="V2547" s="21"/>
      <c r="W2547" s="21"/>
      <c r="X2547" s="21">
        <v>6</v>
      </c>
      <c r="Y2547" s="21"/>
      <c r="Z2547" s="21"/>
      <c r="AA2547" s="21"/>
      <c r="AB2547" s="21"/>
      <c r="AC2547" s="21">
        <v>6</v>
      </c>
      <c r="AD2547" s="21"/>
      <c r="AE2547" s="21"/>
      <c r="AF2547" s="21"/>
      <c r="AG2547" s="21"/>
      <c r="AH2547" s="21"/>
      <c r="AI2547" s="21"/>
      <c r="AJ2547" s="21"/>
      <c r="AK2547" s="21"/>
      <c r="AL2547" s="21"/>
      <c r="AM2547" s="21"/>
      <c r="AN2547" s="21"/>
      <c r="AO2547" s="21"/>
      <c r="AP2547" s="21"/>
      <c r="AQ2547" s="21"/>
      <c r="AR2547" s="21"/>
      <c r="AS2547" s="21">
        <v>6</v>
      </c>
      <c r="AT2547" s="12" t="str">
        <f>HYPERLINK("http://www.openstreetmap.org/?mlat=34.9717&amp;mlon=44.8192&amp;zoom=12#map=12/34.9717/44.8192","Maplink1")</f>
        <v>Maplink1</v>
      </c>
      <c r="AU2547" s="12" t="str">
        <f>HYPERLINK("https://www.google.iq/maps/search/+34.9717,44.8192/@34.9717,44.8192,14z?hl=en","Maplink2")</f>
        <v>Maplink2</v>
      </c>
      <c r="AV2547" s="12" t="str">
        <f>HYPERLINK("http://www.bing.com/maps/?lvl=14&amp;sty=h&amp;cp=34.9717~44.8192&amp;sp=point.34.9717_44.8192","Maplink3")</f>
        <v>Maplink3</v>
      </c>
    </row>
    <row r="2548" spans="1:48" ht="15" customHeight="1" x14ac:dyDescent="0.25">
      <c r="A2548" s="19">
        <v>20433</v>
      </c>
      <c r="B2548" s="20" t="s">
        <v>23</v>
      </c>
      <c r="C2548" s="20" t="s">
        <v>4458</v>
      </c>
      <c r="D2548" s="20" t="s">
        <v>5594</v>
      </c>
      <c r="E2548" s="20" t="s">
        <v>2442</v>
      </c>
      <c r="F2548" s="20">
        <v>34.913620000000002</v>
      </c>
      <c r="G2548" s="20">
        <v>44.740789999999997</v>
      </c>
      <c r="H2548" s="22">
        <v>8</v>
      </c>
      <c r="I2548" s="22">
        <v>48</v>
      </c>
      <c r="J2548" s="21"/>
      <c r="K2548" s="21"/>
      <c r="L2548" s="21"/>
      <c r="M2548" s="21"/>
      <c r="N2548" s="21"/>
      <c r="O2548" s="21"/>
      <c r="P2548" s="21"/>
      <c r="Q2548" s="21"/>
      <c r="R2548" s="21"/>
      <c r="S2548" s="21"/>
      <c r="T2548" s="21"/>
      <c r="U2548" s="21"/>
      <c r="V2548" s="21"/>
      <c r="W2548" s="21"/>
      <c r="X2548" s="21">
        <v>8</v>
      </c>
      <c r="Y2548" s="21"/>
      <c r="Z2548" s="21"/>
      <c r="AA2548" s="21"/>
      <c r="AB2548" s="21"/>
      <c r="AC2548" s="21">
        <v>8</v>
      </c>
      <c r="AD2548" s="21"/>
      <c r="AE2548" s="21"/>
      <c r="AF2548" s="21"/>
      <c r="AG2548" s="21"/>
      <c r="AH2548" s="21"/>
      <c r="AI2548" s="21"/>
      <c r="AJ2548" s="21"/>
      <c r="AK2548" s="21"/>
      <c r="AL2548" s="21"/>
      <c r="AM2548" s="21"/>
      <c r="AN2548" s="21"/>
      <c r="AO2548" s="21"/>
      <c r="AP2548" s="21"/>
      <c r="AQ2548" s="21"/>
      <c r="AR2548" s="21"/>
      <c r="AS2548" s="21">
        <v>8</v>
      </c>
      <c r="AT2548" s="12" t="str">
        <f>HYPERLINK("http://www.openstreetmap.org/?mlat=34.9136&amp;mlon=44.7408&amp;zoom=12#map=12/34.9136/44.7408","Maplink1")</f>
        <v>Maplink1</v>
      </c>
      <c r="AU2548" s="12" t="str">
        <f>HYPERLINK("https://www.google.iq/maps/search/+34.9136,44.7408/@34.9136,44.7408,14z?hl=en","Maplink2")</f>
        <v>Maplink2</v>
      </c>
      <c r="AV2548" s="12" t="str">
        <f>HYPERLINK("http://www.bing.com/maps/?lvl=14&amp;sty=h&amp;cp=34.9136~44.7408&amp;sp=point.34.9136_44.7408","Maplink3")</f>
        <v>Maplink3</v>
      </c>
    </row>
    <row r="2549" spans="1:48" ht="15" customHeight="1" x14ac:dyDescent="0.25">
      <c r="A2549" s="19">
        <v>33146</v>
      </c>
      <c r="B2549" s="20" t="s">
        <v>23</v>
      </c>
      <c r="C2549" s="20" t="s">
        <v>4458</v>
      </c>
      <c r="D2549" s="20" t="s">
        <v>5595</v>
      </c>
      <c r="E2549" s="20" t="s">
        <v>5596</v>
      </c>
      <c r="F2549" s="20">
        <v>35.108870000000003</v>
      </c>
      <c r="G2549" s="20">
        <v>44.663089999999997</v>
      </c>
      <c r="H2549" s="22">
        <v>12</v>
      </c>
      <c r="I2549" s="22">
        <v>72</v>
      </c>
      <c r="J2549" s="21"/>
      <c r="K2549" s="21"/>
      <c r="L2549" s="21"/>
      <c r="M2549" s="21"/>
      <c r="N2549" s="21"/>
      <c r="O2549" s="21"/>
      <c r="P2549" s="21"/>
      <c r="Q2549" s="21"/>
      <c r="R2549" s="21"/>
      <c r="S2549" s="21"/>
      <c r="T2549" s="21"/>
      <c r="U2549" s="21"/>
      <c r="V2549" s="21"/>
      <c r="W2549" s="21"/>
      <c r="X2549" s="21">
        <v>12</v>
      </c>
      <c r="Y2549" s="21"/>
      <c r="Z2549" s="21"/>
      <c r="AA2549" s="21"/>
      <c r="AB2549" s="21"/>
      <c r="AC2549" s="21">
        <v>12</v>
      </c>
      <c r="AD2549" s="21"/>
      <c r="AE2549" s="21"/>
      <c r="AF2549" s="21"/>
      <c r="AG2549" s="21"/>
      <c r="AH2549" s="21"/>
      <c r="AI2549" s="21"/>
      <c r="AJ2549" s="21"/>
      <c r="AK2549" s="21"/>
      <c r="AL2549" s="21"/>
      <c r="AM2549" s="21"/>
      <c r="AN2549" s="21">
        <v>6</v>
      </c>
      <c r="AO2549" s="21"/>
      <c r="AP2549" s="21"/>
      <c r="AQ2549" s="21"/>
      <c r="AR2549" s="21"/>
      <c r="AS2549" s="21">
        <v>6</v>
      </c>
      <c r="AT2549" s="12" t="str">
        <f>HYPERLINK("http://www.openstreetmap.org/?mlat=35.1089&amp;mlon=44.6631&amp;zoom=12#map=12/35.1089/44.6631","Maplink1")</f>
        <v>Maplink1</v>
      </c>
      <c r="AU2549" s="12" t="str">
        <f>HYPERLINK("https://www.google.iq/maps/search/+35.1089,44.6631/@35.1089,44.6631,14z?hl=en","Maplink2")</f>
        <v>Maplink2</v>
      </c>
      <c r="AV2549" s="12" t="str">
        <f>HYPERLINK("http://www.bing.com/maps/?lvl=14&amp;sty=h&amp;cp=35.1089~44.6631&amp;sp=point.35.1089_44.6631","Maplink3")</f>
        <v>Maplink3</v>
      </c>
    </row>
    <row r="2550" spans="1:48" ht="15" customHeight="1" x14ac:dyDescent="0.25">
      <c r="A2550" s="19">
        <v>33145</v>
      </c>
      <c r="B2550" s="20" t="s">
        <v>23</v>
      </c>
      <c r="C2550" s="20" t="s">
        <v>4458</v>
      </c>
      <c r="D2550" s="20" t="s">
        <v>5597</v>
      </c>
      <c r="E2550" s="20" t="s">
        <v>5598</v>
      </c>
      <c r="F2550" s="20">
        <v>35.086190000000002</v>
      </c>
      <c r="G2550" s="20">
        <v>44.695720000000001</v>
      </c>
      <c r="H2550" s="22">
        <v>8</v>
      </c>
      <c r="I2550" s="22">
        <v>48</v>
      </c>
      <c r="J2550" s="21"/>
      <c r="K2550" s="21"/>
      <c r="L2550" s="21"/>
      <c r="M2550" s="21"/>
      <c r="N2550" s="21"/>
      <c r="O2550" s="21"/>
      <c r="P2550" s="21"/>
      <c r="Q2550" s="21"/>
      <c r="R2550" s="21"/>
      <c r="S2550" s="21"/>
      <c r="T2550" s="21"/>
      <c r="U2550" s="21"/>
      <c r="V2550" s="21"/>
      <c r="W2550" s="21"/>
      <c r="X2550" s="21">
        <v>8</v>
      </c>
      <c r="Y2550" s="21"/>
      <c r="Z2550" s="21"/>
      <c r="AA2550" s="21"/>
      <c r="AB2550" s="21"/>
      <c r="AC2550" s="21">
        <v>8</v>
      </c>
      <c r="AD2550" s="21"/>
      <c r="AE2550" s="21"/>
      <c r="AF2550" s="21"/>
      <c r="AG2550" s="21"/>
      <c r="AH2550" s="21"/>
      <c r="AI2550" s="21"/>
      <c r="AJ2550" s="21"/>
      <c r="AK2550" s="21"/>
      <c r="AL2550" s="21"/>
      <c r="AM2550" s="21"/>
      <c r="AN2550" s="21"/>
      <c r="AO2550" s="21"/>
      <c r="AP2550" s="21"/>
      <c r="AQ2550" s="21"/>
      <c r="AR2550" s="21"/>
      <c r="AS2550" s="21">
        <v>8</v>
      </c>
      <c r="AT2550" s="12" t="str">
        <f>HYPERLINK("http://www.openstreetmap.org/?mlat=35.0862&amp;mlon=44.6957&amp;zoom=12#map=12/35.0862/44.6957","Maplink1")</f>
        <v>Maplink1</v>
      </c>
      <c r="AU2550" s="12" t="str">
        <f>HYPERLINK("https://www.google.iq/maps/search/+35.0862,44.6957/@35.0862,44.6957,14z?hl=en","Maplink2")</f>
        <v>Maplink2</v>
      </c>
      <c r="AV2550" s="12" t="str">
        <f>HYPERLINK("http://www.bing.com/maps/?lvl=14&amp;sty=h&amp;cp=35.0862~44.6957&amp;sp=point.35.0862_44.6957","Maplink3")</f>
        <v>Maplink3</v>
      </c>
    </row>
    <row r="2551" spans="1:48" ht="15" customHeight="1" x14ac:dyDescent="0.25">
      <c r="A2551" s="19">
        <v>33143</v>
      </c>
      <c r="B2551" s="20" t="s">
        <v>23</v>
      </c>
      <c r="C2551" s="20" t="s">
        <v>4458</v>
      </c>
      <c r="D2551" s="20" t="s">
        <v>5599</v>
      </c>
      <c r="E2551" s="20" t="s">
        <v>5600</v>
      </c>
      <c r="F2551" s="20">
        <v>34.952858999999997</v>
      </c>
      <c r="G2551" s="20">
        <v>44.718473000000003</v>
      </c>
      <c r="H2551" s="22">
        <v>6</v>
      </c>
      <c r="I2551" s="22">
        <v>36</v>
      </c>
      <c r="J2551" s="21"/>
      <c r="K2551" s="21"/>
      <c r="L2551" s="21"/>
      <c r="M2551" s="21"/>
      <c r="N2551" s="21"/>
      <c r="O2551" s="21"/>
      <c r="P2551" s="21"/>
      <c r="Q2551" s="21"/>
      <c r="R2551" s="21"/>
      <c r="S2551" s="21"/>
      <c r="T2551" s="21"/>
      <c r="U2551" s="21"/>
      <c r="V2551" s="21"/>
      <c r="W2551" s="21"/>
      <c r="X2551" s="21">
        <v>6</v>
      </c>
      <c r="Y2551" s="21"/>
      <c r="Z2551" s="21"/>
      <c r="AA2551" s="21"/>
      <c r="AB2551" s="21"/>
      <c r="AC2551" s="21">
        <v>6</v>
      </c>
      <c r="AD2551" s="21"/>
      <c r="AE2551" s="21"/>
      <c r="AF2551" s="21"/>
      <c r="AG2551" s="21"/>
      <c r="AH2551" s="21"/>
      <c r="AI2551" s="21"/>
      <c r="AJ2551" s="21"/>
      <c r="AK2551" s="21"/>
      <c r="AL2551" s="21"/>
      <c r="AM2551" s="21"/>
      <c r="AN2551" s="21"/>
      <c r="AO2551" s="21"/>
      <c r="AP2551" s="21"/>
      <c r="AQ2551" s="21"/>
      <c r="AR2551" s="21"/>
      <c r="AS2551" s="21">
        <v>6</v>
      </c>
      <c r="AT2551" s="12" t="str">
        <f>HYPERLINK("http://www.openstreetmap.org/?mlat=34.9529&amp;mlon=44.7185&amp;zoom=12#map=12/34.9529/44.7185","Maplink1")</f>
        <v>Maplink1</v>
      </c>
      <c r="AU2551" s="12" t="str">
        <f>HYPERLINK("https://www.google.iq/maps/search/+34.9529,44.7185/@34.9529,44.7185,14z?hl=en","Maplink2")</f>
        <v>Maplink2</v>
      </c>
      <c r="AV2551" s="12" t="str">
        <f>HYPERLINK("http://www.bing.com/maps/?lvl=14&amp;sty=h&amp;cp=34.9529~44.7185&amp;sp=point.34.9529_44.7185","Maplink3")</f>
        <v>Maplink3</v>
      </c>
    </row>
    <row r="2552" spans="1:48" ht="15" customHeight="1" x14ac:dyDescent="0.25">
      <c r="A2552" s="19">
        <v>20405</v>
      </c>
      <c r="B2552" s="20" t="s">
        <v>23</v>
      </c>
      <c r="C2552" s="20" t="s">
        <v>4458</v>
      </c>
      <c r="D2552" s="20" t="s">
        <v>4479</v>
      </c>
      <c r="E2552" s="20" t="s">
        <v>4480</v>
      </c>
      <c r="F2552" s="20">
        <v>35.007885459999997</v>
      </c>
      <c r="G2552" s="20">
        <v>44.539071249999999</v>
      </c>
      <c r="H2552" s="22">
        <v>110</v>
      </c>
      <c r="I2552" s="22">
        <v>660</v>
      </c>
      <c r="J2552" s="21"/>
      <c r="K2552" s="21"/>
      <c r="L2552" s="21"/>
      <c r="M2552" s="21"/>
      <c r="N2552" s="21"/>
      <c r="O2552" s="21">
        <v>5</v>
      </c>
      <c r="P2552" s="21"/>
      <c r="Q2552" s="21"/>
      <c r="R2552" s="21"/>
      <c r="S2552" s="21"/>
      <c r="T2552" s="21"/>
      <c r="U2552" s="21"/>
      <c r="V2552" s="21"/>
      <c r="W2552" s="21"/>
      <c r="X2552" s="21">
        <v>105</v>
      </c>
      <c r="Y2552" s="21"/>
      <c r="Z2552" s="21"/>
      <c r="AA2552" s="21"/>
      <c r="AB2552" s="21"/>
      <c r="AC2552" s="21">
        <v>20</v>
      </c>
      <c r="AD2552" s="21"/>
      <c r="AE2552" s="21"/>
      <c r="AF2552" s="21"/>
      <c r="AG2552" s="21"/>
      <c r="AH2552" s="21"/>
      <c r="AI2552" s="21"/>
      <c r="AJ2552" s="21">
        <v>90</v>
      </c>
      <c r="AK2552" s="21"/>
      <c r="AL2552" s="21"/>
      <c r="AM2552" s="21">
        <v>105</v>
      </c>
      <c r="AN2552" s="21"/>
      <c r="AO2552" s="21"/>
      <c r="AP2552" s="21"/>
      <c r="AQ2552" s="21">
        <v>5</v>
      </c>
      <c r="AR2552" s="21"/>
      <c r="AS2552" s="21"/>
      <c r="AT2552" s="12" t="str">
        <f>HYPERLINK("http://www.openstreetmap.org/?mlat=35.0079&amp;mlon=44.5391&amp;zoom=12#map=12/35.0079/44.5391","Maplink1")</f>
        <v>Maplink1</v>
      </c>
      <c r="AU2552" s="12" t="str">
        <f>HYPERLINK("https://www.google.iq/maps/search/+35.0079,44.5391/@35.0079,44.5391,14z?hl=en","Maplink2")</f>
        <v>Maplink2</v>
      </c>
      <c r="AV2552" s="12" t="str">
        <f>HYPERLINK("http://www.bing.com/maps/?lvl=14&amp;sty=h&amp;cp=35.0079~44.5391&amp;sp=point.35.0079_44.5391","Maplink3")</f>
        <v>Maplink3</v>
      </c>
    </row>
    <row r="2553" spans="1:48" ht="15" customHeight="1" x14ac:dyDescent="0.25">
      <c r="A2553" s="19">
        <v>25871</v>
      </c>
      <c r="B2553" s="20" t="s">
        <v>23</v>
      </c>
      <c r="C2553" s="20" t="s">
        <v>4458</v>
      </c>
      <c r="D2553" s="20" t="s">
        <v>4481</v>
      </c>
      <c r="E2553" s="20" t="s">
        <v>4482</v>
      </c>
      <c r="F2553" s="20">
        <v>34.798651100000001</v>
      </c>
      <c r="G2553" s="20">
        <v>44.728080810000002</v>
      </c>
      <c r="H2553" s="22">
        <v>90</v>
      </c>
      <c r="I2553" s="22">
        <v>540</v>
      </c>
      <c r="J2553" s="21"/>
      <c r="K2553" s="21"/>
      <c r="L2553" s="21"/>
      <c r="M2553" s="21"/>
      <c r="N2553" s="21"/>
      <c r="O2553" s="21"/>
      <c r="P2553" s="21"/>
      <c r="Q2553" s="21"/>
      <c r="R2553" s="21"/>
      <c r="S2553" s="21"/>
      <c r="T2553" s="21"/>
      <c r="U2553" s="21"/>
      <c r="V2553" s="21"/>
      <c r="W2553" s="21"/>
      <c r="X2553" s="21">
        <v>90</v>
      </c>
      <c r="Y2553" s="21"/>
      <c r="Z2553" s="21"/>
      <c r="AA2553" s="21"/>
      <c r="AB2553" s="21"/>
      <c r="AC2553" s="21"/>
      <c r="AD2553" s="21"/>
      <c r="AE2553" s="21">
        <v>90</v>
      </c>
      <c r="AF2553" s="21"/>
      <c r="AG2553" s="21"/>
      <c r="AH2553" s="21"/>
      <c r="AI2553" s="21"/>
      <c r="AJ2553" s="21"/>
      <c r="AK2553" s="21"/>
      <c r="AL2553" s="21"/>
      <c r="AM2553" s="21">
        <v>20</v>
      </c>
      <c r="AN2553" s="21">
        <v>70</v>
      </c>
      <c r="AO2553" s="21"/>
      <c r="AP2553" s="21"/>
      <c r="AQ2553" s="21"/>
      <c r="AR2553" s="21"/>
      <c r="AS2553" s="21"/>
      <c r="AT2553" s="12" t="str">
        <f>HYPERLINK("http://www.openstreetmap.org/?mlat=34.7987&amp;mlon=44.7281&amp;zoom=12#map=12/34.7987/44.7281","Maplink1")</f>
        <v>Maplink1</v>
      </c>
      <c r="AU2553" s="12" t="str">
        <f>HYPERLINK("https://www.google.iq/maps/search/+34.7987,44.7281/@34.7987,44.7281,14z?hl=en","Maplink2")</f>
        <v>Maplink2</v>
      </c>
      <c r="AV2553" s="12" t="str">
        <f>HYPERLINK("http://www.bing.com/maps/?lvl=14&amp;sty=h&amp;cp=34.7987~44.7281&amp;sp=point.34.7987_44.7281","Maplink3")</f>
        <v>Maplink3</v>
      </c>
    </row>
    <row r="2554" spans="1:48" ht="15" customHeight="1" x14ac:dyDescent="0.25">
      <c r="A2554" s="19">
        <v>25870</v>
      </c>
      <c r="B2554" s="20" t="s">
        <v>23</v>
      </c>
      <c r="C2554" s="20" t="s">
        <v>4458</v>
      </c>
      <c r="D2554" s="20" t="s">
        <v>4483</v>
      </c>
      <c r="E2554" s="20" t="s">
        <v>4484</v>
      </c>
      <c r="F2554" s="20">
        <v>34.732737999999998</v>
      </c>
      <c r="G2554" s="20">
        <v>44.800704000000003</v>
      </c>
      <c r="H2554" s="22">
        <v>380</v>
      </c>
      <c r="I2554" s="22">
        <v>2280</v>
      </c>
      <c r="J2554" s="21"/>
      <c r="K2554" s="21"/>
      <c r="L2554" s="21"/>
      <c r="M2554" s="21"/>
      <c r="N2554" s="21"/>
      <c r="O2554" s="21">
        <v>30</v>
      </c>
      <c r="P2554" s="21"/>
      <c r="Q2554" s="21"/>
      <c r="R2554" s="21"/>
      <c r="S2554" s="21"/>
      <c r="T2554" s="21"/>
      <c r="U2554" s="21"/>
      <c r="V2554" s="21"/>
      <c r="W2554" s="21"/>
      <c r="X2554" s="21">
        <v>350</v>
      </c>
      <c r="Y2554" s="21"/>
      <c r="Z2554" s="21"/>
      <c r="AA2554" s="21"/>
      <c r="AB2554" s="21"/>
      <c r="AC2554" s="21">
        <v>160</v>
      </c>
      <c r="AD2554" s="21"/>
      <c r="AE2554" s="21">
        <v>220</v>
      </c>
      <c r="AF2554" s="21"/>
      <c r="AG2554" s="21"/>
      <c r="AH2554" s="21"/>
      <c r="AI2554" s="21"/>
      <c r="AJ2554" s="21"/>
      <c r="AK2554" s="21"/>
      <c r="AL2554" s="21"/>
      <c r="AM2554" s="21">
        <v>35</v>
      </c>
      <c r="AN2554" s="21">
        <v>345</v>
      </c>
      <c r="AO2554" s="21"/>
      <c r="AP2554" s="21"/>
      <c r="AQ2554" s="21"/>
      <c r="AR2554" s="21"/>
      <c r="AS2554" s="21"/>
      <c r="AT2554" s="12" t="str">
        <f>HYPERLINK("http://www.openstreetmap.org/?mlat=34.7327&amp;mlon=44.8007&amp;zoom=12#map=12/34.7327/44.8007","Maplink1")</f>
        <v>Maplink1</v>
      </c>
      <c r="AU2554" s="12" t="str">
        <f>HYPERLINK("https://www.google.iq/maps/search/+34.7327,44.8007/@34.7327,44.8007,14z?hl=en","Maplink2")</f>
        <v>Maplink2</v>
      </c>
      <c r="AV2554" s="12" t="str">
        <f>HYPERLINK("http://www.bing.com/maps/?lvl=14&amp;sty=h&amp;cp=34.7327~44.8007&amp;sp=point.34.7327_44.8007","Maplink3")</f>
        <v>Maplink3</v>
      </c>
    </row>
    <row r="2555" spans="1:48" ht="15" customHeight="1" x14ac:dyDescent="0.25">
      <c r="A2555" s="19">
        <v>33223</v>
      </c>
      <c r="B2555" s="20" t="s">
        <v>23</v>
      </c>
      <c r="C2555" s="20" t="s">
        <v>4458</v>
      </c>
      <c r="D2555" s="20" t="s">
        <v>5887</v>
      </c>
      <c r="E2555" s="20" t="s">
        <v>5888</v>
      </c>
      <c r="F2555" s="20">
        <v>34.977339000000001</v>
      </c>
      <c r="G2555" s="20">
        <v>44.484143000000003</v>
      </c>
      <c r="H2555" s="22">
        <v>9</v>
      </c>
      <c r="I2555" s="22">
        <v>54</v>
      </c>
      <c r="J2555" s="21"/>
      <c r="K2555" s="21"/>
      <c r="L2555" s="21"/>
      <c r="M2555" s="21"/>
      <c r="N2555" s="21"/>
      <c r="O2555" s="21">
        <v>9</v>
      </c>
      <c r="P2555" s="21"/>
      <c r="Q2555" s="21"/>
      <c r="R2555" s="21"/>
      <c r="S2555" s="21"/>
      <c r="T2555" s="21"/>
      <c r="U2555" s="21"/>
      <c r="V2555" s="21"/>
      <c r="W2555" s="21"/>
      <c r="X2555" s="21"/>
      <c r="Y2555" s="21"/>
      <c r="Z2555" s="21"/>
      <c r="AA2555" s="21"/>
      <c r="AB2555" s="21"/>
      <c r="AC2555" s="21">
        <v>9</v>
      </c>
      <c r="AD2555" s="21"/>
      <c r="AE2555" s="21"/>
      <c r="AF2555" s="21"/>
      <c r="AG2555" s="21"/>
      <c r="AH2555" s="21"/>
      <c r="AI2555" s="21"/>
      <c r="AJ2555" s="21"/>
      <c r="AK2555" s="21"/>
      <c r="AL2555" s="21"/>
      <c r="AM2555" s="21"/>
      <c r="AN2555" s="21">
        <v>9</v>
      </c>
      <c r="AO2555" s="21"/>
      <c r="AP2555" s="21"/>
      <c r="AQ2555" s="21"/>
      <c r="AR2555" s="21"/>
      <c r="AS2555" s="21"/>
      <c r="AT2555" s="12" t="str">
        <f>HYPERLINK("http://www.openstreetmap.org/?mlat=34.9773&amp;mlon=44.4841&amp;zoom=12#map=12/34.9773/44.4841","Maplink1")</f>
        <v>Maplink1</v>
      </c>
      <c r="AU2555" s="12" t="str">
        <f>HYPERLINK("https://www.google.iq/maps/search/+34.9773,44.4841/@34.9773,44.4841,14z?hl=en","Maplink2")</f>
        <v>Maplink2</v>
      </c>
      <c r="AV2555" s="12" t="str">
        <f>HYPERLINK("http://www.bing.com/maps/?lvl=14&amp;sty=h&amp;cp=34.9773~44.4841&amp;sp=point.34.9773_44.4841","Maplink3")</f>
        <v>Maplink3</v>
      </c>
    </row>
    <row r="2556" spans="1:48" ht="15" customHeight="1" x14ac:dyDescent="0.25">
      <c r="A2556" s="19">
        <v>20992</v>
      </c>
      <c r="B2556" s="20" t="s">
        <v>23</v>
      </c>
      <c r="C2556" s="20" t="s">
        <v>4458</v>
      </c>
      <c r="D2556" s="20" t="s">
        <v>4485</v>
      </c>
      <c r="E2556" s="20" t="s">
        <v>4486</v>
      </c>
      <c r="F2556" s="20">
        <v>34.876615790000002</v>
      </c>
      <c r="G2556" s="20">
        <v>44.628380620000001</v>
      </c>
      <c r="H2556" s="22">
        <v>280</v>
      </c>
      <c r="I2556" s="22">
        <v>1680</v>
      </c>
      <c r="J2556" s="21">
        <v>10</v>
      </c>
      <c r="K2556" s="21"/>
      <c r="L2556" s="21"/>
      <c r="M2556" s="21"/>
      <c r="N2556" s="21"/>
      <c r="O2556" s="21"/>
      <c r="P2556" s="21"/>
      <c r="Q2556" s="21"/>
      <c r="R2556" s="21">
        <v>5</v>
      </c>
      <c r="S2556" s="21"/>
      <c r="T2556" s="21"/>
      <c r="U2556" s="21"/>
      <c r="V2556" s="21"/>
      <c r="W2556" s="21"/>
      <c r="X2556" s="21">
        <v>265</v>
      </c>
      <c r="Y2556" s="21"/>
      <c r="Z2556" s="21"/>
      <c r="AA2556" s="21"/>
      <c r="AB2556" s="21"/>
      <c r="AC2556" s="21">
        <v>60</v>
      </c>
      <c r="AD2556" s="21"/>
      <c r="AE2556" s="21"/>
      <c r="AF2556" s="21"/>
      <c r="AG2556" s="21"/>
      <c r="AH2556" s="21">
        <v>220</v>
      </c>
      <c r="AI2556" s="21"/>
      <c r="AJ2556" s="21"/>
      <c r="AK2556" s="21"/>
      <c r="AL2556" s="21">
        <v>65</v>
      </c>
      <c r="AM2556" s="21">
        <v>150</v>
      </c>
      <c r="AN2556" s="21">
        <v>45</v>
      </c>
      <c r="AO2556" s="21">
        <v>5</v>
      </c>
      <c r="AP2556" s="21">
        <v>15</v>
      </c>
      <c r="AQ2556" s="21"/>
      <c r="AR2556" s="21"/>
      <c r="AS2556" s="21"/>
      <c r="AT2556" s="12" t="str">
        <f>HYPERLINK("http://www.openstreetmap.org/?mlat=34.8766&amp;mlon=44.6284&amp;zoom=12#map=12/34.8766/44.6284","Maplink1")</f>
        <v>Maplink1</v>
      </c>
      <c r="AU2556" s="12" t="str">
        <f>HYPERLINK("https://www.google.iq/maps/search/+34.8766,44.6284/@34.8766,44.6284,14z?hl=en","Maplink2")</f>
        <v>Maplink2</v>
      </c>
      <c r="AV2556" s="12" t="str">
        <f>HYPERLINK("http://www.bing.com/maps/?lvl=14&amp;sty=h&amp;cp=34.8766~44.6284&amp;sp=point.34.8766_44.6284","Maplink3")</f>
        <v>Maplink3</v>
      </c>
    </row>
    <row r="2557" spans="1:48" ht="15" customHeight="1" x14ac:dyDescent="0.25">
      <c r="A2557" s="19">
        <v>25872</v>
      </c>
      <c r="B2557" s="20" t="s">
        <v>23</v>
      </c>
      <c r="C2557" s="20" t="s">
        <v>4458</v>
      </c>
      <c r="D2557" s="20" t="s">
        <v>4487</v>
      </c>
      <c r="E2557" s="20" t="s">
        <v>4488</v>
      </c>
      <c r="F2557" s="20">
        <v>34.898991042600002</v>
      </c>
      <c r="G2557" s="20">
        <v>44.6391361891</v>
      </c>
      <c r="H2557" s="22">
        <v>350</v>
      </c>
      <c r="I2557" s="22">
        <v>2100</v>
      </c>
      <c r="J2557" s="21"/>
      <c r="K2557" s="21"/>
      <c r="L2557" s="21"/>
      <c r="M2557" s="21"/>
      <c r="N2557" s="21"/>
      <c r="O2557" s="21"/>
      <c r="P2557" s="21"/>
      <c r="Q2557" s="21"/>
      <c r="R2557" s="21"/>
      <c r="S2557" s="21"/>
      <c r="T2557" s="21"/>
      <c r="U2557" s="21"/>
      <c r="V2557" s="21"/>
      <c r="W2557" s="21"/>
      <c r="X2557" s="21">
        <v>350</v>
      </c>
      <c r="Y2557" s="21"/>
      <c r="Z2557" s="21"/>
      <c r="AA2557" s="21"/>
      <c r="AB2557" s="21"/>
      <c r="AC2557" s="21">
        <v>30</v>
      </c>
      <c r="AD2557" s="21"/>
      <c r="AE2557" s="21">
        <v>120</v>
      </c>
      <c r="AF2557" s="21"/>
      <c r="AG2557" s="21"/>
      <c r="AH2557" s="21">
        <v>200</v>
      </c>
      <c r="AI2557" s="21"/>
      <c r="AJ2557" s="21"/>
      <c r="AK2557" s="21"/>
      <c r="AL2557" s="21"/>
      <c r="AM2557" s="21">
        <v>290</v>
      </c>
      <c r="AN2557" s="21">
        <v>50</v>
      </c>
      <c r="AO2557" s="21"/>
      <c r="AP2557" s="21">
        <v>10</v>
      </c>
      <c r="AQ2557" s="21"/>
      <c r="AR2557" s="21"/>
      <c r="AS2557" s="21"/>
      <c r="AT2557" s="12" t="str">
        <f>HYPERLINK("http://www.openstreetmap.org/?mlat=34.899&amp;mlon=44.6391&amp;zoom=12#map=12/34.899/44.6391","Maplink1")</f>
        <v>Maplink1</v>
      </c>
      <c r="AU2557" s="12" t="str">
        <f>HYPERLINK("https://www.google.iq/maps/search/+34.899,44.6391/@34.899,44.6391,14z?hl=en","Maplink2")</f>
        <v>Maplink2</v>
      </c>
      <c r="AV2557" s="12" t="str">
        <f>HYPERLINK("http://www.bing.com/maps/?lvl=14&amp;sty=h&amp;cp=34.899~44.6391&amp;sp=point.34.899_44.6391","Maplink3")</f>
        <v>Maplink3</v>
      </c>
    </row>
    <row r="2558" spans="1:48" ht="15" customHeight="1" x14ac:dyDescent="0.25">
      <c r="A2558" s="19">
        <v>33139</v>
      </c>
      <c r="B2558" s="20" t="s">
        <v>23</v>
      </c>
      <c r="C2558" s="20" t="s">
        <v>4458</v>
      </c>
      <c r="D2558" s="20" t="s">
        <v>5601</v>
      </c>
      <c r="E2558" s="20" t="s">
        <v>5602</v>
      </c>
      <c r="F2558" s="20">
        <v>34.914400000000001</v>
      </c>
      <c r="G2558" s="20">
        <v>44.849499999999999</v>
      </c>
      <c r="H2558" s="22">
        <v>21</v>
      </c>
      <c r="I2558" s="22">
        <v>126</v>
      </c>
      <c r="J2558" s="21"/>
      <c r="K2558" s="21"/>
      <c r="L2558" s="21"/>
      <c r="M2558" s="21"/>
      <c r="N2558" s="21"/>
      <c r="O2558" s="21"/>
      <c r="P2558" s="21"/>
      <c r="Q2558" s="21"/>
      <c r="R2558" s="21"/>
      <c r="S2558" s="21"/>
      <c r="T2558" s="21"/>
      <c r="U2558" s="21"/>
      <c r="V2558" s="21"/>
      <c r="W2558" s="21"/>
      <c r="X2558" s="21">
        <v>21</v>
      </c>
      <c r="Y2558" s="21"/>
      <c r="Z2558" s="21"/>
      <c r="AA2558" s="21"/>
      <c r="AB2558" s="21"/>
      <c r="AC2558" s="21">
        <v>21</v>
      </c>
      <c r="AD2558" s="21"/>
      <c r="AE2558" s="21"/>
      <c r="AF2558" s="21"/>
      <c r="AG2558" s="21"/>
      <c r="AH2558" s="21"/>
      <c r="AI2558" s="21"/>
      <c r="AJ2558" s="21"/>
      <c r="AK2558" s="21"/>
      <c r="AL2558" s="21"/>
      <c r="AM2558" s="21"/>
      <c r="AN2558" s="21">
        <v>2</v>
      </c>
      <c r="AO2558" s="21"/>
      <c r="AP2558" s="21"/>
      <c r="AQ2558" s="21"/>
      <c r="AR2558" s="21"/>
      <c r="AS2558" s="21">
        <v>19</v>
      </c>
      <c r="AT2558" s="12" t="str">
        <f>HYPERLINK("http://www.openstreetmap.org/?mlat=34.9144&amp;mlon=44.8495&amp;zoom=12#map=12/34.9144/44.8495","Maplink1")</f>
        <v>Maplink1</v>
      </c>
      <c r="AU2558" s="12" t="str">
        <f>HYPERLINK("https://www.google.iq/maps/search/+34.9144,44.8495/@34.9144,44.8495,14z?hl=en","Maplink2")</f>
        <v>Maplink2</v>
      </c>
      <c r="AV2558" s="12" t="str">
        <f>HYPERLINK("http://www.bing.com/maps/?lvl=14&amp;sty=h&amp;cp=34.9144~44.8495&amp;sp=point.34.9144_44.8495","Maplink3")</f>
        <v>Maplink3</v>
      </c>
    </row>
    <row r="2559" spans="1:48" ht="15" customHeight="1" x14ac:dyDescent="0.25">
      <c r="A2559" s="19">
        <v>21976</v>
      </c>
      <c r="B2559" s="20" t="s">
        <v>24</v>
      </c>
      <c r="C2559" s="20" t="s">
        <v>4489</v>
      </c>
      <c r="D2559" s="20" t="s">
        <v>1983</v>
      </c>
      <c r="E2559" s="20" t="s">
        <v>2591</v>
      </c>
      <c r="F2559" s="20">
        <v>35.537039999999998</v>
      </c>
      <c r="G2559" s="20">
        <v>44.824840000000002</v>
      </c>
      <c r="H2559" s="22">
        <v>94</v>
      </c>
      <c r="I2559" s="22">
        <v>564</v>
      </c>
      <c r="J2559" s="21">
        <v>27</v>
      </c>
      <c r="K2559" s="21">
        <v>11</v>
      </c>
      <c r="L2559" s="21">
        <v>10</v>
      </c>
      <c r="M2559" s="21"/>
      <c r="N2559" s="21"/>
      <c r="O2559" s="21">
        <v>9</v>
      </c>
      <c r="P2559" s="21"/>
      <c r="Q2559" s="21"/>
      <c r="R2559" s="21">
        <v>15</v>
      </c>
      <c r="S2559" s="21"/>
      <c r="T2559" s="21"/>
      <c r="U2559" s="21"/>
      <c r="V2559" s="21">
        <v>2</v>
      </c>
      <c r="W2559" s="21"/>
      <c r="X2559" s="21">
        <v>20</v>
      </c>
      <c r="Y2559" s="21"/>
      <c r="Z2559" s="21"/>
      <c r="AA2559" s="21"/>
      <c r="AB2559" s="21"/>
      <c r="AC2559" s="21"/>
      <c r="AD2559" s="21"/>
      <c r="AE2559" s="21"/>
      <c r="AF2559" s="21"/>
      <c r="AG2559" s="21"/>
      <c r="AH2559" s="21">
        <v>94</v>
      </c>
      <c r="AI2559" s="21"/>
      <c r="AJ2559" s="21"/>
      <c r="AK2559" s="21"/>
      <c r="AL2559" s="21">
        <v>18</v>
      </c>
      <c r="AM2559" s="21">
        <v>3</v>
      </c>
      <c r="AN2559" s="21"/>
      <c r="AO2559" s="21">
        <v>12</v>
      </c>
      <c r="AP2559" s="21">
        <v>5</v>
      </c>
      <c r="AQ2559" s="21">
        <v>15</v>
      </c>
      <c r="AR2559" s="21">
        <v>14</v>
      </c>
      <c r="AS2559" s="21">
        <v>27</v>
      </c>
      <c r="AT2559" s="12" t="str">
        <f>HYPERLINK("http://www.openstreetmap.org/?mlat=35.537&amp;mlon=44.8248&amp;zoom=12#map=12/35.537/44.8248","Maplink1")</f>
        <v>Maplink1</v>
      </c>
      <c r="AU2559" s="12" t="str">
        <f>HYPERLINK("https://www.google.iq/maps/search/+35.537,44.8248/@35.537,44.8248,14z?hl=en","Maplink2")</f>
        <v>Maplink2</v>
      </c>
      <c r="AV2559" s="12" t="str">
        <f>HYPERLINK("http://www.bing.com/maps/?lvl=14&amp;sty=h&amp;cp=35.537~44.8248&amp;sp=point.35.537_44.8248","Maplink3")</f>
        <v>Maplink3</v>
      </c>
    </row>
    <row r="2560" spans="1:48" ht="15" customHeight="1" x14ac:dyDescent="0.25">
      <c r="A2560" s="19">
        <v>24688</v>
      </c>
      <c r="B2560" s="20" t="s">
        <v>24</v>
      </c>
      <c r="C2560" s="20" t="s">
        <v>4489</v>
      </c>
      <c r="D2560" s="20" t="s">
        <v>4490</v>
      </c>
      <c r="E2560" s="20" t="s">
        <v>4491</v>
      </c>
      <c r="F2560" s="20">
        <v>35.523975100000001</v>
      </c>
      <c r="G2560" s="20">
        <v>44.816753310000003</v>
      </c>
      <c r="H2560" s="22">
        <v>186</v>
      </c>
      <c r="I2560" s="22">
        <v>1116</v>
      </c>
      <c r="J2560" s="21">
        <v>48</v>
      </c>
      <c r="K2560" s="21">
        <v>47</v>
      </c>
      <c r="L2560" s="21">
        <v>13</v>
      </c>
      <c r="M2560" s="21"/>
      <c r="N2560" s="21"/>
      <c r="O2560" s="21">
        <v>1</v>
      </c>
      <c r="P2560" s="21"/>
      <c r="Q2560" s="21"/>
      <c r="R2560" s="21">
        <v>32</v>
      </c>
      <c r="S2560" s="21"/>
      <c r="T2560" s="21"/>
      <c r="U2560" s="21"/>
      <c r="V2560" s="21"/>
      <c r="W2560" s="21"/>
      <c r="X2560" s="21">
        <v>45</v>
      </c>
      <c r="Y2560" s="21"/>
      <c r="Z2560" s="21"/>
      <c r="AA2560" s="21"/>
      <c r="AB2560" s="21"/>
      <c r="AC2560" s="21"/>
      <c r="AD2560" s="21"/>
      <c r="AE2560" s="21"/>
      <c r="AF2560" s="21"/>
      <c r="AG2560" s="21"/>
      <c r="AH2560" s="21">
        <v>154</v>
      </c>
      <c r="AI2560" s="21"/>
      <c r="AJ2560" s="21">
        <v>32</v>
      </c>
      <c r="AK2560" s="21"/>
      <c r="AL2560" s="21">
        <v>20</v>
      </c>
      <c r="AM2560" s="21">
        <v>26</v>
      </c>
      <c r="AN2560" s="21">
        <v>18</v>
      </c>
      <c r="AO2560" s="21">
        <v>41</v>
      </c>
      <c r="AP2560" s="21">
        <v>16</v>
      </c>
      <c r="AQ2560" s="21">
        <v>7</v>
      </c>
      <c r="AR2560" s="21">
        <v>15</v>
      </c>
      <c r="AS2560" s="21">
        <v>43</v>
      </c>
      <c r="AT2560" s="12" t="str">
        <f>HYPERLINK("http://www.openstreetmap.org/?mlat=35.524&amp;mlon=44.8168&amp;zoom=12#map=12/35.524/44.8168","Maplink1")</f>
        <v>Maplink1</v>
      </c>
      <c r="AU2560" s="12" t="str">
        <f>HYPERLINK("https://www.google.iq/maps/search/+35.524,44.8168/@35.524,44.8168,14z?hl=en","Maplink2")</f>
        <v>Maplink2</v>
      </c>
      <c r="AV2560" s="12" t="str">
        <f>HYPERLINK("http://www.bing.com/maps/?lvl=14&amp;sty=h&amp;cp=35.524~44.8168&amp;sp=point.35.524_44.8168","Maplink3")</f>
        <v>Maplink3</v>
      </c>
    </row>
    <row r="2561" spans="1:48" ht="15" customHeight="1" x14ac:dyDescent="0.25">
      <c r="A2561" s="19">
        <v>6024</v>
      </c>
      <c r="B2561" s="20" t="s">
        <v>24</v>
      </c>
      <c r="C2561" s="20" t="s">
        <v>4489</v>
      </c>
      <c r="D2561" s="20" t="s">
        <v>2776</v>
      </c>
      <c r="E2561" s="20" t="s">
        <v>4492</v>
      </c>
      <c r="F2561" s="20">
        <v>35.534083099999997</v>
      </c>
      <c r="G2561" s="20">
        <v>44.840740590000003</v>
      </c>
      <c r="H2561" s="22">
        <v>206</v>
      </c>
      <c r="I2561" s="22">
        <v>1236</v>
      </c>
      <c r="J2561" s="21">
        <v>29</v>
      </c>
      <c r="K2561" s="21">
        <v>47</v>
      </c>
      <c r="L2561" s="21">
        <v>22</v>
      </c>
      <c r="M2561" s="21"/>
      <c r="N2561" s="21"/>
      <c r="O2561" s="21">
        <v>28</v>
      </c>
      <c r="P2561" s="21"/>
      <c r="Q2561" s="21"/>
      <c r="R2561" s="21">
        <v>4</v>
      </c>
      <c r="S2561" s="21"/>
      <c r="T2561" s="21"/>
      <c r="U2561" s="21"/>
      <c r="V2561" s="21">
        <v>5</v>
      </c>
      <c r="W2561" s="21"/>
      <c r="X2561" s="21">
        <v>71</v>
      </c>
      <c r="Y2561" s="21"/>
      <c r="Z2561" s="21"/>
      <c r="AA2561" s="21"/>
      <c r="AB2561" s="21"/>
      <c r="AC2561" s="21"/>
      <c r="AD2561" s="21"/>
      <c r="AE2561" s="21"/>
      <c r="AF2561" s="21"/>
      <c r="AG2561" s="21"/>
      <c r="AH2561" s="21">
        <v>206</v>
      </c>
      <c r="AI2561" s="21"/>
      <c r="AJ2561" s="21"/>
      <c r="AK2561" s="21"/>
      <c r="AL2561" s="21">
        <v>34</v>
      </c>
      <c r="AM2561" s="21">
        <v>43</v>
      </c>
      <c r="AN2561" s="21">
        <v>36</v>
      </c>
      <c r="AO2561" s="21">
        <v>42</v>
      </c>
      <c r="AP2561" s="21">
        <v>6</v>
      </c>
      <c r="AQ2561" s="21">
        <v>18</v>
      </c>
      <c r="AR2561" s="21">
        <v>13</v>
      </c>
      <c r="AS2561" s="21">
        <v>14</v>
      </c>
      <c r="AT2561" s="12" t="str">
        <f>HYPERLINK("http://www.openstreetmap.org/?mlat=35.5341&amp;mlon=44.8407&amp;zoom=12#map=12/35.5341/44.8407","Maplink1")</f>
        <v>Maplink1</v>
      </c>
      <c r="AU2561" s="12" t="str">
        <f>HYPERLINK("https://www.google.iq/maps/search/+35.5341,44.8407/@35.5341,44.8407,14z?hl=en","Maplink2")</f>
        <v>Maplink2</v>
      </c>
      <c r="AV2561" s="12" t="str">
        <f>HYPERLINK("http://www.bing.com/maps/?lvl=14&amp;sty=h&amp;cp=35.5341~44.8407&amp;sp=point.35.5341_44.8407","Maplink3")</f>
        <v>Maplink3</v>
      </c>
    </row>
    <row r="2562" spans="1:48" ht="15" customHeight="1" x14ac:dyDescent="0.25">
      <c r="A2562" s="19">
        <v>22078</v>
      </c>
      <c r="B2562" s="20" t="s">
        <v>24</v>
      </c>
      <c r="C2562" s="20" t="s">
        <v>4489</v>
      </c>
      <c r="D2562" s="20" t="s">
        <v>5603</v>
      </c>
      <c r="E2562" s="20" t="s">
        <v>5604</v>
      </c>
      <c r="F2562" s="20">
        <v>35.499250000000004</v>
      </c>
      <c r="G2562" s="20">
        <v>44.773809999999997</v>
      </c>
      <c r="H2562" s="22">
        <v>84</v>
      </c>
      <c r="I2562" s="22">
        <v>504</v>
      </c>
      <c r="J2562" s="21">
        <v>8</v>
      </c>
      <c r="K2562" s="21"/>
      <c r="L2562" s="21">
        <v>5</v>
      </c>
      <c r="M2562" s="21"/>
      <c r="N2562" s="21"/>
      <c r="O2562" s="21">
        <v>12</v>
      </c>
      <c r="P2562" s="21"/>
      <c r="Q2562" s="21"/>
      <c r="R2562" s="21">
        <v>11</v>
      </c>
      <c r="S2562" s="21"/>
      <c r="T2562" s="21"/>
      <c r="U2562" s="21"/>
      <c r="V2562" s="21">
        <v>4</v>
      </c>
      <c r="W2562" s="21"/>
      <c r="X2562" s="21">
        <v>44</v>
      </c>
      <c r="Y2562" s="21"/>
      <c r="Z2562" s="21"/>
      <c r="AA2562" s="21"/>
      <c r="AB2562" s="21"/>
      <c r="AC2562" s="21"/>
      <c r="AD2562" s="21"/>
      <c r="AE2562" s="21"/>
      <c r="AF2562" s="21"/>
      <c r="AG2562" s="21"/>
      <c r="AH2562" s="21">
        <v>84</v>
      </c>
      <c r="AI2562" s="21"/>
      <c r="AJ2562" s="21"/>
      <c r="AK2562" s="21"/>
      <c r="AL2562" s="21">
        <v>11</v>
      </c>
      <c r="AM2562" s="21">
        <v>13</v>
      </c>
      <c r="AN2562" s="21">
        <v>3</v>
      </c>
      <c r="AO2562" s="21"/>
      <c r="AP2562" s="21">
        <v>8</v>
      </c>
      <c r="AQ2562" s="21">
        <v>12</v>
      </c>
      <c r="AR2562" s="21">
        <v>13</v>
      </c>
      <c r="AS2562" s="21">
        <v>24</v>
      </c>
      <c r="AT2562" s="12" t="str">
        <f>HYPERLINK("http://www.openstreetmap.org/?mlat=35.4993&amp;mlon=44.7738&amp;zoom=12#map=12/35.4993/44.7738","Maplink1")</f>
        <v>Maplink1</v>
      </c>
      <c r="AU2562" s="12" t="str">
        <f>HYPERLINK("https://www.google.iq/maps/search/+35.4993,44.7738/@35.4993,44.7738,14z?hl=en","Maplink2")</f>
        <v>Maplink2</v>
      </c>
      <c r="AV2562" s="12" t="str">
        <f>HYPERLINK("http://www.bing.com/maps/?lvl=14&amp;sty=h&amp;cp=35.4993~44.7738&amp;sp=point.35.4993_44.7738","Maplink3")</f>
        <v>Maplink3</v>
      </c>
    </row>
    <row r="2563" spans="1:48" ht="15" customHeight="1" x14ac:dyDescent="0.25">
      <c r="A2563" s="19">
        <v>22080</v>
      </c>
      <c r="B2563" s="20" t="s">
        <v>24</v>
      </c>
      <c r="C2563" s="20" t="s">
        <v>4489</v>
      </c>
      <c r="D2563" s="20" t="s">
        <v>4493</v>
      </c>
      <c r="E2563" s="20" t="s">
        <v>4494</v>
      </c>
      <c r="F2563" s="20">
        <v>35.539819989999998</v>
      </c>
      <c r="G2563" s="20">
        <v>44.830153439999997</v>
      </c>
      <c r="H2563" s="22">
        <v>72</v>
      </c>
      <c r="I2563" s="22">
        <v>432</v>
      </c>
      <c r="J2563" s="21">
        <v>22</v>
      </c>
      <c r="K2563" s="21">
        <v>8</v>
      </c>
      <c r="L2563" s="21">
        <v>4</v>
      </c>
      <c r="M2563" s="21"/>
      <c r="N2563" s="21"/>
      <c r="O2563" s="21">
        <v>15</v>
      </c>
      <c r="P2563" s="21"/>
      <c r="Q2563" s="21"/>
      <c r="R2563" s="21">
        <v>7</v>
      </c>
      <c r="S2563" s="21"/>
      <c r="T2563" s="21"/>
      <c r="U2563" s="21"/>
      <c r="V2563" s="21">
        <v>3</v>
      </c>
      <c r="W2563" s="21"/>
      <c r="X2563" s="21">
        <v>13</v>
      </c>
      <c r="Y2563" s="21"/>
      <c r="Z2563" s="21"/>
      <c r="AA2563" s="21"/>
      <c r="AB2563" s="21"/>
      <c r="AC2563" s="21"/>
      <c r="AD2563" s="21"/>
      <c r="AE2563" s="21"/>
      <c r="AF2563" s="21"/>
      <c r="AG2563" s="21"/>
      <c r="AH2563" s="21">
        <v>72</v>
      </c>
      <c r="AI2563" s="21"/>
      <c r="AJ2563" s="21"/>
      <c r="AK2563" s="21"/>
      <c r="AL2563" s="21">
        <v>7</v>
      </c>
      <c r="AM2563" s="21">
        <v>8</v>
      </c>
      <c r="AN2563" s="21">
        <v>2</v>
      </c>
      <c r="AO2563" s="21">
        <v>10</v>
      </c>
      <c r="AP2563" s="21">
        <v>5</v>
      </c>
      <c r="AQ2563" s="21">
        <v>9</v>
      </c>
      <c r="AR2563" s="21">
        <v>15</v>
      </c>
      <c r="AS2563" s="21">
        <v>16</v>
      </c>
      <c r="AT2563" s="12" t="str">
        <f>HYPERLINK("http://www.openstreetmap.org/?mlat=35.5398&amp;mlon=44.8302&amp;zoom=12#map=12/35.5398/44.8302","Maplink1")</f>
        <v>Maplink1</v>
      </c>
      <c r="AU2563" s="12" t="str">
        <f>HYPERLINK("https://www.google.iq/maps/search/+35.5398,44.8302/@35.5398,44.8302,14z?hl=en","Maplink2")</f>
        <v>Maplink2</v>
      </c>
      <c r="AV2563" s="12" t="str">
        <f>HYPERLINK("http://www.bing.com/maps/?lvl=14&amp;sty=h&amp;cp=35.5398~44.8302&amp;sp=point.35.5398_44.8302","Maplink3")</f>
        <v>Maplink3</v>
      </c>
    </row>
    <row r="2564" spans="1:48" ht="15" customHeight="1" x14ac:dyDescent="0.25">
      <c r="A2564" s="19">
        <v>24894</v>
      </c>
      <c r="B2564" s="20" t="s">
        <v>24</v>
      </c>
      <c r="C2564" s="20" t="s">
        <v>4489</v>
      </c>
      <c r="D2564" s="20" t="s">
        <v>4495</v>
      </c>
      <c r="E2564" s="20" t="s">
        <v>4496</v>
      </c>
      <c r="F2564" s="20">
        <v>35.527265649999997</v>
      </c>
      <c r="G2564" s="20">
        <v>44.827760220000002</v>
      </c>
      <c r="H2564" s="22">
        <v>198</v>
      </c>
      <c r="I2564" s="22">
        <v>1188</v>
      </c>
      <c r="J2564" s="21">
        <v>20</v>
      </c>
      <c r="K2564" s="21">
        <v>53</v>
      </c>
      <c r="L2564" s="21">
        <v>20</v>
      </c>
      <c r="M2564" s="21"/>
      <c r="N2564" s="21"/>
      <c r="O2564" s="21">
        <v>26</v>
      </c>
      <c r="P2564" s="21"/>
      <c r="Q2564" s="21"/>
      <c r="R2564" s="21">
        <v>27</v>
      </c>
      <c r="S2564" s="21"/>
      <c r="T2564" s="21"/>
      <c r="U2564" s="21"/>
      <c r="V2564" s="21">
        <v>5</v>
      </c>
      <c r="W2564" s="21"/>
      <c r="X2564" s="21">
        <v>47</v>
      </c>
      <c r="Y2564" s="21"/>
      <c r="Z2564" s="21"/>
      <c r="AA2564" s="21"/>
      <c r="AB2564" s="21"/>
      <c r="AC2564" s="21"/>
      <c r="AD2564" s="21"/>
      <c r="AE2564" s="21"/>
      <c r="AF2564" s="21"/>
      <c r="AG2564" s="21"/>
      <c r="AH2564" s="21">
        <v>198</v>
      </c>
      <c r="AI2564" s="21"/>
      <c r="AJ2564" s="21"/>
      <c r="AK2564" s="21"/>
      <c r="AL2564" s="21">
        <v>13</v>
      </c>
      <c r="AM2564" s="21">
        <v>43</v>
      </c>
      <c r="AN2564" s="21">
        <v>46</v>
      </c>
      <c r="AO2564" s="21">
        <v>39</v>
      </c>
      <c r="AP2564" s="21">
        <v>3</v>
      </c>
      <c r="AQ2564" s="21">
        <v>4</v>
      </c>
      <c r="AR2564" s="21">
        <v>2</v>
      </c>
      <c r="AS2564" s="21">
        <v>48</v>
      </c>
      <c r="AT2564" s="12" t="str">
        <f>HYPERLINK("http://www.openstreetmap.org/?mlat=35.5273&amp;mlon=44.8278&amp;zoom=12#map=12/35.5273/44.8278","Maplink1")</f>
        <v>Maplink1</v>
      </c>
      <c r="AU2564" s="12" t="str">
        <f>HYPERLINK("https://www.google.iq/maps/search/+35.5273,44.8278/@35.5273,44.8278,14z?hl=en","Maplink2")</f>
        <v>Maplink2</v>
      </c>
      <c r="AV2564" s="12" t="str">
        <f>HYPERLINK("http://www.bing.com/maps/?lvl=14&amp;sty=h&amp;cp=35.5273~44.8278&amp;sp=point.35.5273_44.8278","Maplink3")</f>
        <v>Maplink3</v>
      </c>
    </row>
    <row r="2565" spans="1:48" ht="15" customHeight="1" x14ac:dyDescent="0.25">
      <c r="A2565" s="19">
        <v>6159</v>
      </c>
      <c r="B2565" s="20" t="s">
        <v>24</v>
      </c>
      <c r="C2565" s="20" t="s">
        <v>4489</v>
      </c>
      <c r="D2565" s="20" t="s">
        <v>4497</v>
      </c>
      <c r="E2565" s="20" t="s">
        <v>4498</v>
      </c>
      <c r="F2565" s="20">
        <v>35.537880610000002</v>
      </c>
      <c r="G2565" s="20">
        <v>44.822329930000002</v>
      </c>
      <c r="H2565" s="22">
        <v>35</v>
      </c>
      <c r="I2565" s="22">
        <v>210</v>
      </c>
      <c r="J2565" s="21">
        <v>4</v>
      </c>
      <c r="K2565" s="21">
        <v>5</v>
      </c>
      <c r="L2565" s="21">
        <v>4</v>
      </c>
      <c r="M2565" s="21"/>
      <c r="N2565" s="21"/>
      <c r="O2565" s="21">
        <v>1</v>
      </c>
      <c r="P2565" s="21"/>
      <c r="Q2565" s="21"/>
      <c r="R2565" s="21">
        <v>15</v>
      </c>
      <c r="S2565" s="21"/>
      <c r="T2565" s="21"/>
      <c r="U2565" s="21"/>
      <c r="V2565" s="21"/>
      <c r="W2565" s="21"/>
      <c r="X2565" s="21">
        <v>6</v>
      </c>
      <c r="Y2565" s="21"/>
      <c r="Z2565" s="21"/>
      <c r="AA2565" s="21"/>
      <c r="AB2565" s="21"/>
      <c r="AC2565" s="21"/>
      <c r="AD2565" s="21"/>
      <c r="AE2565" s="21"/>
      <c r="AF2565" s="21"/>
      <c r="AG2565" s="21"/>
      <c r="AH2565" s="21">
        <v>35</v>
      </c>
      <c r="AI2565" s="21"/>
      <c r="AJ2565" s="21"/>
      <c r="AK2565" s="21"/>
      <c r="AL2565" s="21">
        <v>6</v>
      </c>
      <c r="AM2565" s="21">
        <v>6</v>
      </c>
      <c r="AN2565" s="21"/>
      <c r="AO2565" s="21">
        <v>5</v>
      </c>
      <c r="AP2565" s="21">
        <v>1</v>
      </c>
      <c r="AQ2565" s="21">
        <v>2</v>
      </c>
      <c r="AR2565" s="21"/>
      <c r="AS2565" s="21">
        <v>15</v>
      </c>
      <c r="AT2565" s="12" t="str">
        <f>HYPERLINK("http://www.openstreetmap.org/?mlat=35.5379&amp;mlon=44.8223&amp;zoom=12#map=12/35.5379/44.8223","Maplink1")</f>
        <v>Maplink1</v>
      </c>
      <c r="AU2565" s="12" t="str">
        <f>HYPERLINK("https://www.google.iq/maps/search/+35.5379,44.8223/@35.5379,44.8223,14z?hl=en","Maplink2")</f>
        <v>Maplink2</v>
      </c>
      <c r="AV2565" s="12" t="str">
        <f>HYPERLINK("http://www.bing.com/maps/?lvl=14&amp;sty=h&amp;cp=35.5379~44.8223&amp;sp=point.35.5379_44.8223","Maplink3")</f>
        <v>Maplink3</v>
      </c>
    </row>
    <row r="2566" spans="1:48" ht="15" customHeight="1" x14ac:dyDescent="0.25">
      <c r="A2566" s="19">
        <v>4729</v>
      </c>
      <c r="B2566" s="20" t="s">
        <v>24</v>
      </c>
      <c r="C2566" s="20" t="s">
        <v>4489</v>
      </c>
      <c r="D2566" s="20" t="s">
        <v>4499</v>
      </c>
      <c r="E2566" s="20" t="s">
        <v>4500</v>
      </c>
      <c r="F2566" s="20">
        <v>35.777990000000003</v>
      </c>
      <c r="G2566" s="20">
        <v>44.877049999999997</v>
      </c>
      <c r="H2566" s="22">
        <v>5</v>
      </c>
      <c r="I2566" s="22">
        <v>30</v>
      </c>
      <c r="J2566" s="21">
        <v>1</v>
      </c>
      <c r="K2566" s="21"/>
      <c r="L2566" s="21">
        <v>1</v>
      </c>
      <c r="M2566" s="21"/>
      <c r="N2566" s="21"/>
      <c r="O2566" s="21"/>
      <c r="P2566" s="21"/>
      <c r="Q2566" s="21"/>
      <c r="R2566" s="21"/>
      <c r="S2566" s="21"/>
      <c r="T2566" s="21"/>
      <c r="U2566" s="21"/>
      <c r="V2566" s="21">
        <v>2</v>
      </c>
      <c r="W2566" s="21"/>
      <c r="X2566" s="21">
        <v>1</v>
      </c>
      <c r="Y2566" s="21"/>
      <c r="Z2566" s="21"/>
      <c r="AA2566" s="21"/>
      <c r="AB2566" s="21"/>
      <c r="AC2566" s="21"/>
      <c r="AD2566" s="21"/>
      <c r="AE2566" s="21"/>
      <c r="AF2566" s="21"/>
      <c r="AG2566" s="21"/>
      <c r="AH2566" s="21">
        <v>5</v>
      </c>
      <c r="AI2566" s="21"/>
      <c r="AJ2566" s="21"/>
      <c r="AK2566" s="21"/>
      <c r="AL2566" s="21"/>
      <c r="AM2566" s="21">
        <v>3</v>
      </c>
      <c r="AN2566" s="21">
        <v>1</v>
      </c>
      <c r="AO2566" s="21"/>
      <c r="AP2566" s="21"/>
      <c r="AQ2566" s="21">
        <v>1</v>
      </c>
      <c r="AR2566" s="21"/>
      <c r="AS2566" s="21"/>
      <c r="AT2566" s="12" t="str">
        <f>HYPERLINK("http://www.openstreetmap.org/?mlat=35.778&amp;mlon=44.877&amp;zoom=12#map=12/35.778/44.877","Maplink1")</f>
        <v>Maplink1</v>
      </c>
      <c r="AU2566" s="12" t="str">
        <f>HYPERLINK("https://www.google.iq/maps/search/+35.778,44.877/@35.778,44.877,14z?hl=en","Maplink2")</f>
        <v>Maplink2</v>
      </c>
      <c r="AV2566" s="12" t="str">
        <f>HYPERLINK("http://www.bing.com/maps/?lvl=14&amp;sty=h&amp;cp=35.778~44.877&amp;sp=point.35.778_44.877","Maplink3")</f>
        <v>Maplink3</v>
      </c>
    </row>
    <row r="2567" spans="1:48" ht="15" customHeight="1" x14ac:dyDescent="0.25">
      <c r="A2567" s="19">
        <v>33300</v>
      </c>
      <c r="B2567" s="20" t="s">
        <v>24</v>
      </c>
      <c r="C2567" s="20" t="s">
        <v>4489</v>
      </c>
      <c r="D2567" s="20" t="s">
        <v>5783</v>
      </c>
      <c r="E2567" s="20" t="s">
        <v>5784</v>
      </c>
      <c r="F2567" s="20">
        <v>35.485686000000001</v>
      </c>
      <c r="G2567" s="20">
        <v>44.856651999999997</v>
      </c>
      <c r="H2567" s="22">
        <v>66</v>
      </c>
      <c r="I2567" s="22">
        <v>396</v>
      </c>
      <c r="J2567" s="21">
        <v>8</v>
      </c>
      <c r="K2567" s="21">
        <v>8</v>
      </c>
      <c r="L2567" s="21">
        <v>10</v>
      </c>
      <c r="M2567" s="21"/>
      <c r="N2567" s="21"/>
      <c r="O2567" s="21">
        <v>9</v>
      </c>
      <c r="P2567" s="21"/>
      <c r="Q2567" s="21"/>
      <c r="R2567" s="21"/>
      <c r="S2567" s="21"/>
      <c r="T2567" s="21"/>
      <c r="U2567" s="21"/>
      <c r="V2567" s="21">
        <v>25</v>
      </c>
      <c r="W2567" s="21"/>
      <c r="X2567" s="21">
        <v>6</v>
      </c>
      <c r="Y2567" s="21"/>
      <c r="Z2567" s="21"/>
      <c r="AA2567" s="21"/>
      <c r="AB2567" s="21"/>
      <c r="AC2567" s="21"/>
      <c r="AD2567" s="21"/>
      <c r="AE2567" s="21"/>
      <c r="AF2567" s="21"/>
      <c r="AG2567" s="21"/>
      <c r="AH2567" s="21">
        <v>66</v>
      </c>
      <c r="AI2567" s="21"/>
      <c r="AJ2567" s="21"/>
      <c r="AK2567" s="21"/>
      <c r="AL2567" s="21"/>
      <c r="AM2567" s="21">
        <v>17</v>
      </c>
      <c r="AN2567" s="21">
        <v>8</v>
      </c>
      <c r="AO2567" s="21">
        <v>8</v>
      </c>
      <c r="AP2567" s="21">
        <v>4</v>
      </c>
      <c r="AQ2567" s="21">
        <v>7</v>
      </c>
      <c r="AR2567" s="21">
        <v>2</v>
      </c>
      <c r="AS2567" s="21">
        <v>20</v>
      </c>
      <c r="AT2567" s="12" t="str">
        <f>HYPERLINK("http://www.openstreetmap.org/?mlat=35.4857&amp;mlon=44.8567&amp;zoom=12#map=12/35.4857/44.8567","Maplink1")</f>
        <v>Maplink1</v>
      </c>
      <c r="AU2567" s="12" t="str">
        <f>HYPERLINK("https://www.google.iq/maps/search/+35.4857,44.8567/@35.4857,44.8567,14z?hl=en","Maplink2")</f>
        <v>Maplink2</v>
      </c>
      <c r="AV2567" s="12" t="str">
        <f>HYPERLINK("http://www.bing.com/maps/?lvl=14&amp;sty=h&amp;cp=35.4857~44.8567&amp;sp=point.35.4857_44.8567","Maplink3")</f>
        <v>Maplink3</v>
      </c>
    </row>
    <row r="2568" spans="1:48" ht="15" customHeight="1" x14ac:dyDescent="0.25">
      <c r="A2568" s="19">
        <v>25572</v>
      </c>
      <c r="B2568" s="20" t="s">
        <v>24</v>
      </c>
      <c r="C2568" s="20" t="s">
        <v>4489</v>
      </c>
      <c r="D2568" s="20" t="s">
        <v>4501</v>
      </c>
      <c r="E2568" s="20" t="s">
        <v>4502</v>
      </c>
      <c r="F2568" s="20">
        <v>35.509162529999998</v>
      </c>
      <c r="G2568" s="20">
        <v>44.833491410000001</v>
      </c>
      <c r="H2568" s="22">
        <v>3</v>
      </c>
      <c r="I2568" s="22">
        <v>18</v>
      </c>
      <c r="J2568" s="21"/>
      <c r="K2568" s="21"/>
      <c r="L2568" s="21">
        <v>1</v>
      </c>
      <c r="M2568" s="21"/>
      <c r="N2568" s="21"/>
      <c r="O2568" s="21"/>
      <c r="P2568" s="21"/>
      <c r="Q2568" s="21"/>
      <c r="R2568" s="21"/>
      <c r="S2568" s="21"/>
      <c r="T2568" s="21"/>
      <c r="U2568" s="21"/>
      <c r="V2568" s="21"/>
      <c r="W2568" s="21"/>
      <c r="X2568" s="21">
        <v>2</v>
      </c>
      <c r="Y2568" s="21"/>
      <c r="Z2568" s="21"/>
      <c r="AA2568" s="21"/>
      <c r="AB2568" s="21"/>
      <c r="AC2568" s="21"/>
      <c r="AD2568" s="21"/>
      <c r="AE2568" s="21"/>
      <c r="AF2568" s="21"/>
      <c r="AG2568" s="21"/>
      <c r="AH2568" s="21">
        <v>3</v>
      </c>
      <c r="AI2568" s="21"/>
      <c r="AJ2568" s="21"/>
      <c r="AK2568" s="21"/>
      <c r="AL2568" s="21"/>
      <c r="AM2568" s="21">
        <v>3</v>
      </c>
      <c r="AN2568" s="21"/>
      <c r="AO2568" s="21"/>
      <c r="AP2568" s="21"/>
      <c r="AQ2568" s="21"/>
      <c r="AR2568" s="21"/>
      <c r="AS2568" s="21"/>
      <c r="AT2568" s="12" t="str">
        <f>HYPERLINK("http://www.openstreetmap.org/?mlat=35.5092&amp;mlon=44.8335&amp;zoom=12#map=12/35.5092/44.8335","Maplink1")</f>
        <v>Maplink1</v>
      </c>
      <c r="AU2568" s="12" t="str">
        <f>HYPERLINK("https://www.google.iq/maps/search/+35.5092,44.8335/@35.5092,44.8335,14z?hl=en","Maplink2")</f>
        <v>Maplink2</v>
      </c>
      <c r="AV2568" s="12" t="str">
        <f>HYPERLINK("http://www.bing.com/maps/?lvl=14&amp;sty=h&amp;cp=35.5092~44.8335&amp;sp=point.35.5092_44.8335","Maplink3")</f>
        <v>Maplink3</v>
      </c>
    </row>
    <row r="2569" spans="1:48" ht="15" customHeight="1" x14ac:dyDescent="0.25">
      <c r="A2569" s="19">
        <v>6013</v>
      </c>
      <c r="B2569" s="20" t="s">
        <v>24</v>
      </c>
      <c r="C2569" s="20" t="s">
        <v>4489</v>
      </c>
      <c r="D2569" s="20" t="s">
        <v>4503</v>
      </c>
      <c r="E2569" s="20" t="s">
        <v>4504</v>
      </c>
      <c r="F2569" s="20">
        <v>35.861710000000002</v>
      </c>
      <c r="G2569" s="20">
        <v>44.757849999999998</v>
      </c>
      <c r="H2569" s="22">
        <v>1</v>
      </c>
      <c r="I2569" s="22">
        <v>6</v>
      </c>
      <c r="J2569" s="21"/>
      <c r="K2569" s="21"/>
      <c r="L2569" s="21"/>
      <c r="M2569" s="21"/>
      <c r="N2569" s="21"/>
      <c r="O2569" s="21"/>
      <c r="P2569" s="21"/>
      <c r="Q2569" s="21"/>
      <c r="R2569" s="21"/>
      <c r="S2569" s="21"/>
      <c r="T2569" s="21"/>
      <c r="U2569" s="21"/>
      <c r="V2569" s="21">
        <v>1</v>
      </c>
      <c r="W2569" s="21"/>
      <c r="X2569" s="21"/>
      <c r="Y2569" s="21"/>
      <c r="Z2569" s="21"/>
      <c r="AA2569" s="21"/>
      <c r="AB2569" s="21"/>
      <c r="AC2569" s="21"/>
      <c r="AD2569" s="21"/>
      <c r="AE2569" s="21"/>
      <c r="AF2569" s="21"/>
      <c r="AG2569" s="21"/>
      <c r="AH2569" s="21">
        <v>1</v>
      </c>
      <c r="AI2569" s="21"/>
      <c r="AJ2569" s="21"/>
      <c r="AK2569" s="21"/>
      <c r="AL2569" s="21"/>
      <c r="AM2569" s="21">
        <v>1</v>
      </c>
      <c r="AN2569" s="21"/>
      <c r="AO2569" s="21"/>
      <c r="AP2569" s="21"/>
      <c r="AQ2569" s="21"/>
      <c r="AR2569" s="21"/>
      <c r="AS2569" s="21"/>
      <c r="AT2569" s="12" t="str">
        <f>HYPERLINK("http://www.openstreetmap.org/?mlat=35.8617&amp;mlon=44.7578&amp;zoom=12#map=12/35.8617/44.7578","Maplink1")</f>
        <v>Maplink1</v>
      </c>
      <c r="AU2569" s="12" t="str">
        <f>HYPERLINK("https://www.google.iq/maps/search/+35.8617,44.7578/@35.8617,44.7578,14z?hl=en","Maplink2")</f>
        <v>Maplink2</v>
      </c>
      <c r="AV2569" s="12" t="str">
        <f>HYPERLINK("http://www.bing.com/maps/?lvl=14&amp;sty=h&amp;cp=35.8617~44.7578&amp;sp=point.35.8617_44.7578","Maplink3")</f>
        <v>Maplink3</v>
      </c>
    </row>
    <row r="2570" spans="1:48" ht="15" customHeight="1" x14ac:dyDescent="0.25">
      <c r="A2570" s="19">
        <v>6019</v>
      </c>
      <c r="B2570" s="20" t="s">
        <v>24</v>
      </c>
      <c r="C2570" s="20" t="s">
        <v>4489</v>
      </c>
      <c r="D2570" s="20" t="s">
        <v>4505</v>
      </c>
      <c r="E2570" s="20" t="s">
        <v>4506</v>
      </c>
      <c r="F2570" s="20">
        <v>35.871450000000003</v>
      </c>
      <c r="G2570" s="20">
        <v>44.713569999999997</v>
      </c>
      <c r="H2570" s="22">
        <v>6</v>
      </c>
      <c r="I2570" s="22">
        <v>36</v>
      </c>
      <c r="J2570" s="21">
        <v>1</v>
      </c>
      <c r="K2570" s="21"/>
      <c r="L2570" s="21">
        <v>1</v>
      </c>
      <c r="M2570" s="21"/>
      <c r="N2570" s="21"/>
      <c r="O2570" s="21"/>
      <c r="P2570" s="21"/>
      <c r="Q2570" s="21"/>
      <c r="R2570" s="21"/>
      <c r="S2570" s="21"/>
      <c r="T2570" s="21"/>
      <c r="U2570" s="21"/>
      <c r="V2570" s="21">
        <v>3</v>
      </c>
      <c r="W2570" s="21"/>
      <c r="X2570" s="21">
        <v>1</v>
      </c>
      <c r="Y2570" s="21"/>
      <c r="Z2570" s="21"/>
      <c r="AA2570" s="21"/>
      <c r="AB2570" s="21"/>
      <c r="AC2570" s="21"/>
      <c r="AD2570" s="21"/>
      <c r="AE2570" s="21"/>
      <c r="AF2570" s="21"/>
      <c r="AG2570" s="21"/>
      <c r="AH2570" s="21">
        <v>6</v>
      </c>
      <c r="AI2570" s="21"/>
      <c r="AJ2570" s="21"/>
      <c r="AK2570" s="21"/>
      <c r="AL2570" s="21"/>
      <c r="AM2570" s="21"/>
      <c r="AN2570" s="21"/>
      <c r="AO2570" s="21">
        <v>1</v>
      </c>
      <c r="AP2570" s="21"/>
      <c r="AQ2570" s="21"/>
      <c r="AR2570" s="21">
        <v>2</v>
      </c>
      <c r="AS2570" s="21">
        <v>3</v>
      </c>
      <c r="AT2570" s="12" t="str">
        <f>HYPERLINK("http://www.openstreetmap.org/?mlat=35.8715&amp;mlon=44.7136&amp;zoom=12#map=12/35.8715/44.7136","Maplink1")</f>
        <v>Maplink1</v>
      </c>
      <c r="AU2570" s="12" t="str">
        <f>HYPERLINK("https://www.google.iq/maps/search/+35.8715,44.7136/@35.8715,44.7136,14z?hl=en","Maplink2")</f>
        <v>Maplink2</v>
      </c>
      <c r="AV2570" s="12" t="str">
        <f>HYPERLINK("http://www.bing.com/maps/?lvl=14&amp;sty=h&amp;cp=35.8715~44.7136&amp;sp=point.35.8715_44.7136","Maplink3")</f>
        <v>Maplink3</v>
      </c>
    </row>
    <row r="2571" spans="1:48" ht="15" customHeight="1" x14ac:dyDescent="0.25">
      <c r="A2571" s="19">
        <v>4770</v>
      </c>
      <c r="B2571" s="20" t="s">
        <v>24</v>
      </c>
      <c r="C2571" s="20" t="s">
        <v>4489</v>
      </c>
      <c r="D2571" s="20" t="s">
        <v>4507</v>
      </c>
      <c r="E2571" s="20" t="s">
        <v>4508</v>
      </c>
      <c r="F2571" s="20">
        <v>35.845750000000002</v>
      </c>
      <c r="G2571" s="20">
        <v>44.834589999999999</v>
      </c>
      <c r="H2571" s="22">
        <v>10</v>
      </c>
      <c r="I2571" s="22">
        <v>60</v>
      </c>
      <c r="J2571" s="21"/>
      <c r="K2571" s="21"/>
      <c r="L2571" s="21">
        <v>4</v>
      </c>
      <c r="M2571" s="21"/>
      <c r="N2571" s="21"/>
      <c r="O2571" s="21"/>
      <c r="P2571" s="21"/>
      <c r="Q2571" s="21"/>
      <c r="R2571" s="21"/>
      <c r="S2571" s="21"/>
      <c r="T2571" s="21"/>
      <c r="U2571" s="21"/>
      <c r="V2571" s="21">
        <v>4</v>
      </c>
      <c r="W2571" s="21"/>
      <c r="X2571" s="21">
        <v>2</v>
      </c>
      <c r="Y2571" s="21"/>
      <c r="Z2571" s="21"/>
      <c r="AA2571" s="21"/>
      <c r="AB2571" s="21"/>
      <c r="AC2571" s="21"/>
      <c r="AD2571" s="21"/>
      <c r="AE2571" s="21"/>
      <c r="AF2571" s="21"/>
      <c r="AG2571" s="21"/>
      <c r="AH2571" s="21">
        <v>10</v>
      </c>
      <c r="AI2571" s="21"/>
      <c r="AJ2571" s="21"/>
      <c r="AK2571" s="21"/>
      <c r="AL2571" s="21"/>
      <c r="AM2571" s="21"/>
      <c r="AN2571" s="21">
        <v>3</v>
      </c>
      <c r="AO2571" s="21">
        <v>2</v>
      </c>
      <c r="AP2571" s="21"/>
      <c r="AQ2571" s="21">
        <v>1</v>
      </c>
      <c r="AR2571" s="21">
        <v>1</v>
      </c>
      <c r="AS2571" s="21">
        <v>3</v>
      </c>
      <c r="AT2571" s="12" t="str">
        <f>HYPERLINK("http://www.openstreetmap.org/?mlat=35.8458&amp;mlon=44.8346&amp;zoom=12#map=12/35.8458/44.8346","Maplink1")</f>
        <v>Maplink1</v>
      </c>
      <c r="AU2571" s="12" t="str">
        <f>HYPERLINK("https://www.google.iq/maps/search/+35.8458,44.8346/@35.8458,44.8346,14z?hl=en","Maplink2")</f>
        <v>Maplink2</v>
      </c>
      <c r="AV2571" s="12" t="str">
        <f>HYPERLINK("http://www.bing.com/maps/?lvl=14&amp;sty=h&amp;cp=35.8458~44.8346&amp;sp=point.35.8458_44.8346","Maplink3")</f>
        <v>Maplink3</v>
      </c>
    </row>
    <row r="2572" spans="1:48" ht="15" customHeight="1" x14ac:dyDescent="0.25">
      <c r="A2572" s="19">
        <v>23669</v>
      </c>
      <c r="B2572" s="20" t="s">
        <v>24</v>
      </c>
      <c r="C2572" s="20" t="s">
        <v>4489</v>
      </c>
      <c r="D2572" s="20" t="s">
        <v>4509</v>
      </c>
      <c r="E2572" s="20" t="s">
        <v>4510</v>
      </c>
      <c r="F2572" s="20">
        <v>35.629759079999999</v>
      </c>
      <c r="G2572" s="20">
        <v>44.966797540000002</v>
      </c>
      <c r="H2572" s="22">
        <v>100</v>
      </c>
      <c r="I2572" s="22">
        <v>600</v>
      </c>
      <c r="J2572" s="21">
        <v>18</v>
      </c>
      <c r="K2572" s="21"/>
      <c r="L2572" s="21">
        <v>16</v>
      </c>
      <c r="M2572" s="21"/>
      <c r="N2572" s="21"/>
      <c r="O2572" s="21">
        <v>8</v>
      </c>
      <c r="P2572" s="21"/>
      <c r="Q2572" s="21"/>
      <c r="R2572" s="21">
        <v>28</v>
      </c>
      <c r="S2572" s="21"/>
      <c r="T2572" s="21"/>
      <c r="U2572" s="21"/>
      <c r="V2572" s="21">
        <v>7</v>
      </c>
      <c r="W2572" s="21"/>
      <c r="X2572" s="21">
        <v>23</v>
      </c>
      <c r="Y2572" s="21"/>
      <c r="Z2572" s="21"/>
      <c r="AA2572" s="21"/>
      <c r="AB2572" s="21"/>
      <c r="AC2572" s="21"/>
      <c r="AD2572" s="21"/>
      <c r="AE2572" s="21"/>
      <c r="AF2572" s="21"/>
      <c r="AG2572" s="21"/>
      <c r="AH2572" s="21">
        <v>100</v>
      </c>
      <c r="AI2572" s="21"/>
      <c r="AJ2572" s="21"/>
      <c r="AK2572" s="21"/>
      <c r="AL2572" s="21">
        <v>5</v>
      </c>
      <c r="AM2572" s="21">
        <v>6</v>
      </c>
      <c r="AN2572" s="21">
        <v>6</v>
      </c>
      <c r="AO2572" s="21">
        <v>16</v>
      </c>
      <c r="AP2572" s="21">
        <v>12</v>
      </c>
      <c r="AQ2572" s="21">
        <v>10</v>
      </c>
      <c r="AR2572" s="21">
        <v>14</v>
      </c>
      <c r="AS2572" s="21">
        <v>31</v>
      </c>
      <c r="AT2572" s="12" t="str">
        <f>HYPERLINK("http://www.openstreetmap.org/?mlat=35.6298&amp;mlon=44.9668&amp;zoom=12#map=12/35.6298/44.9668","Maplink1")</f>
        <v>Maplink1</v>
      </c>
      <c r="AU2572" s="12" t="str">
        <f>HYPERLINK("https://www.google.iq/maps/search/+35.6298,44.9668/@35.6298,44.9668,14z?hl=en","Maplink2")</f>
        <v>Maplink2</v>
      </c>
      <c r="AV2572" s="12" t="str">
        <f>HYPERLINK("http://www.bing.com/maps/?lvl=14&amp;sty=h&amp;cp=35.6298~44.9668&amp;sp=point.35.6298_44.9668","Maplink3")</f>
        <v>Maplink3</v>
      </c>
    </row>
    <row r="2573" spans="1:48" ht="15" customHeight="1" x14ac:dyDescent="0.25">
      <c r="A2573" s="19">
        <v>24686</v>
      </c>
      <c r="B2573" s="20" t="s">
        <v>24</v>
      </c>
      <c r="C2573" s="20" t="s">
        <v>4489</v>
      </c>
      <c r="D2573" s="20" t="s">
        <v>6033</v>
      </c>
      <c r="E2573" s="20" t="s">
        <v>2629</v>
      </c>
      <c r="F2573" s="20">
        <v>35.628896609999998</v>
      </c>
      <c r="G2573" s="20">
        <v>44.959235739999997</v>
      </c>
      <c r="H2573" s="22">
        <v>6</v>
      </c>
      <c r="I2573" s="22">
        <v>36</v>
      </c>
      <c r="J2573" s="21">
        <v>1</v>
      </c>
      <c r="K2573" s="21">
        <v>1</v>
      </c>
      <c r="L2573" s="21"/>
      <c r="M2573" s="21"/>
      <c r="N2573" s="21"/>
      <c r="O2573" s="21"/>
      <c r="P2573" s="21"/>
      <c r="Q2573" s="21"/>
      <c r="R2573" s="21">
        <v>1</v>
      </c>
      <c r="S2573" s="21"/>
      <c r="T2573" s="21"/>
      <c r="U2573" s="21"/>
      <c r="V2573" s="21">
        <v>1</v>
      </c>
      <c r="W2573" s="21"/>
      <c r="X2573" s="21">
        <v>2</v>
      </c>
      <c r="Y2573" s="21"/>
      <c r="Z2573" s="21"/>
      <c r="AA2573" s="21"/>
      <c r="AB2573" s="21"/>
      <c r="AC2573" s="21"/>
      <c r="AD2573" s="21"/>
      <c r="AE2573" s="21"/>
      <c r="AF2573" s="21"/>
      <c r="AG2573" s="21"/>
      <c r="AH2573" s="21">
        <v>6</v>
      </c>
      <c r="AI2573" s="21"/>
      <c r="AJ2573" s="21"/>
      <c r="AK2573" s="21"/>
      <c r="AL2573" s="21"/>
      <c r="AM2573" s="21">
        <v>1</v>
      </c>
      <c r="AN2573" s="21"/>
      <c r="AO2573" s="21">
        <v>1</v>
      </c>
      <c r="AP2573" s="21">
        <v>1</v>
      </c>
      <c r="AQ2573" s="21"/>
      <c r="AR2573" s="21"/>
      <c r="AS2573" s="21">
        <v>3</v>
      </c>
      <c r="AT2573" s="12" t="str">
        <f>HYPERLINK("http://www.openstreetmap.org/?mlat=35.6289&amp;mlon=44.9592&amp;zoom=12#map=12/35.6289/44.9592","Maplink1")</f>
        <v>Maplink1</v>
      </c>
      <c r="AU2573" s="12" t="str">
        <f>HYPERLINK("https://www.google.iq/maps/search/+35.6289,44.9592/@35.6289,44.9592,14z?hl=en","Maplink2")</f>
        <v>Maplink2</v>
      </c>
      <c r="AV2573" s="12" t="str">
        <f>HYPERLINK("http://www.bing.com/maps/?lvl=14&amp;sty=h&amp;cp=35.6289~44.9592&amp;sp=point.35.6289_44.9592","Maplink3")</f>
        <v>Maplink3</v>
      </c>
    </row>
    <row r="2574" spans="1:48" ht="15" customHeight="1" x14ac:dyDescent="0.25">
      <c r="A2574" s="19">
        <v>3461</v>
      </c>
      <c r="B2574" s="20" t="s">
        <v>24</v>
      </c>
      <c r="C2574" s="20" t="s">
        <v>4489</v>
      </c>
      <c r="D2574" s="20" t="s">
        <v>5889</v>
      </c>
      <c r="E2574" s="20" t="s">
        <v>5890</v>
      </c>
      <c r="F2574" s="20">
        <v>35.395820000000001</v>
      </c>
      <c r="G2574" s="20">
        <v>45.083309999999997</v>
      </c>
      <c r="H2574" s="22">
        <v>4</v>
      </c>
      <c r="I2574" s="22">
        <v>24</v>
      </c>
      <c r="J2574" s="21"/>
      <c r="K2574" s="21"/>
      <c r="L2574" s="21">
        <v>2</v>
      </c>
      <c r="M2574" s="21"/>
      <c r="N2574" s="21"/>
      <c r="O2574" s="21">
        <v>2</v>
      </c>
      <c r="P2574" s="21"/>
      <c r="Q2574" s="21"/>
      <c r="R2574" s="21"/>
      <c r="S2574" s="21"/>
      <c r="T2574" s="21"/>
      <c r="U2574" s="21"/>
      <c r="V2574" s="21"/>
      <c r="W2574" s="21"/>
      <c r="X2574" s="21"/>
      <c r="Y2574" s="21"/>
      <c r="Z2574" s="21"/>
      <c r="AA2574" s="21"/>
      <c r="AB2574" s="21"/>
      <c r="AC2574" s="21"/>
      <c r="AD2574" s="21"/>
      <c r="AE2574" s="21"/>
      <c r="AF2574" s="21"/>
      <c r="AG2574" s="21"/>
      <c r="AH2574" s="21">
        <v>4</v>
      </c>
      <c r="AI2574" s="21"/>
      <c r="AJ2574" s="21"/>
      <c r="AK2574" s="21"/>
      <c r="AL2574" s="21"/>
      <c r="AM2574" s="21"/>
      <c r="AN2574" s="21"/>
      <c r="AO2574" s="21"/>
      <c r="AP2574" s="21">
        <v>2</v>
      </c>
      <c r="AQ2574" s="21"/>
      <c r="AR2574" s="21">
        <v>2</v>
      </c>
      <c r="AS2574" s="21"/>
      <c r="AT2574" s="12" t="str">
        <f>HYPERLINK("http://www.openstreetmap.org/?mlat=35.3958&amp;mlon=45.0833&amp;zoom=12#map=12/35.3958/45.0833","Maplink1")</f>
        <v>Maplink1</v>
      </c>
      <c r="AU2574" s="12" t="str">
        <f>HYPERLINK("https://www.google.iq/maps/search/+35.3958,45.0833/@35.3958,45.0833,14z?hl=en","Maplink2")</f>
        <v>Maplink2</v>
      </c>
      <c r="AV2574" s="12" t="str">
        <f>HYPERLINK("http://www.bing.com/maps/?lvl=14&amp;sty=h&amp;cp=35.3958~45.0833&amp;sp=point.35.3958_45.0833","Maplink3")</f>
        <v>Maplink3</v>
      </c>
    </row>
    <row r="2575" spans="1:48" ht="15" customHeight="1" x14ac:dyDescent="0.25">
      <c r="A2575" s="19">
        <v>3424</v>
      </c>
      <c r="B2575" s="20" t="s">
        <v>24</v>
      </c>
      <c r="C2575" s="20" t="s">
        <v>4489</v>
      </c>
      <c r="D2575" s="20" t="s">
        <v>4511</v>
      </c>
      <c r="E2575" s="20" t="s">
        <v>4512</v>
      </c>
      <c r="F2575" s="20">
        <v>35.163739999999997</v>
      </c>
      <c r="G2575" s="20">
        <v>45.161119999999997</v>
      </c>
      <c r="H2575" s="22">
        <v>5</v>
      </c>
      <c r="I2575" s="22">
        <v>30</v>
      </c>
      <c r="J2575" s="21"/>
      <c r="K2575" s="21"/>
      <c r="L2575" s="21"/>
      <c r="M2575" s="21"/>
      <c r="N2575" s="21"/>
      <c r="O2575" s="21">
        <v>4</v>
      </c>
      <c r="P2575" s="21"/>
      <c r="Q2575" s="21"/>
      <c r="R2575" s="21"/>
      <c r="S2575" s="21"/>
      <c r="T2575" s="21"/>
      <c r="U2575" s="21"/>
      <c r="V2575" s="21">
        <v>1</v>
      </c>
      <c r="W2575" s="21"/>
      <c r="X2575" s="21"/>
      <c r="Y2575" s="21"/>
      <c r="Z2575" s="21"/>
      <c r="AA2575" s="21"/>
      <c r="AB2575" s="21"/>
      <c r="AC2575" s="21"/>
      <c r="AD2575" s="21"/>
      <c r="AE2575" s="21"/>
      <c r="AF2575" s="21"/>
      <c r="AG2575" s="21"/>
      <c r="AH2575" s="21">
        <v>5</v>
      </c>
      <c r="AI2575" s="21"/>
      <c r="AJ2575" s="21"/>
      <c r="AK2575" s="21"/>
      <c r="AL2575" s="21"/>
      <c r="AM2575" s="21"/>
      <c r="AN2575" s="21"/>
      <c r="AO2575" s="21">
        <v>1</v>
      </c>
      <c r="AP2575" s="21">
        <v>2</v>
      </c>
      <c r="AQ2575" s="21"/>
      <c r="AR2575" s="21">
        <v>2</v>
      </c>
      <c r="AS2575" s="21"/>
      <c r="AT2575" s="12" t="str">
        <f>HYPERLINK("http://www.openstreetmap.org/?mlat=35.1637&amp;mlon=45.1611&amp;zoom=12#map=12/35.1637/45.1611","Maplink1")</f>
        <v>Maplink1</v>
      </c>
      <c r="AU2575" s="12" t="str">
        <f>HYPERLINK("https://www.google.iq/maps/search/+35.1637,45.1611/@35.1637,45.1611,14z?hl=en","Maplink2")</f>
        <v>Maplink2</v>
      </c>
      <c r="AV2575" s="12" t="str">
        <f>HYPERLINK("http://www.bing.com/maps/?lvl=14&amp;sty=h&amp;cp=35.1637~45.1611&amp;sp=point.35.1637_45.1611","Maplink3")</f>
        <v>Maplink3</v>
      </c>
    </row>
    <row r="2576" spans="1:48" ht="15" customHeight="1" x14ac:dyDescent="0.25">
      <c r="A2576" s="19">
        <v>4797</v>
      </c>
      <c r="B2576" s="20" t="s">
        <v>24</v>
      </c>
      <c r="C2576" s="20" t="s">
        <v>4489</v>
      </c>
      <c r="D2576" s="20" t="s">
        <v>4513</v>
      </c>
      <c r="E2576" s="20" t="s">
        <v>4514</v>
      </c>
      <c r="F2576" s="20">
        <v>35.183909999999997</v>
      </c>
      <c r="G2576" s="20">
        <v>45.325040000000001</v>
      </c>
      <c r="H2576" s="22">
        <v>12</v>
      </c>
      <c r="I2576" s="22">
        <v>72</v>
      </c>
      <c r="J2576" s="21"/>
      <c r="K2576" s="21"/>
      <c r="L2576" s="21"/>
      <c r="M2576" s="21"/>
      <c r="N2576" s="21"/>
      <c r="O2576" s="21">
        <v>9</v>
      </c>
      <c r="P2576" s="21"/>
      <c r="Q2576" s="21"/>
      <c r="R2576" s="21"/>
      <c r="S2576" s="21"/>
      <c r="T2576" s="21"/>
      <c r="U2576" s="21"/>
      <c r="V2576" s="21">
        <v>1</v>
      </c>
      <c r="W2576" s="21"/>
      <c r="X2576" s="21">
        <v>2</v>
      </c>
      <c r="Y2576" s="21"/>
      <c r="Z2576" s="21"/>
      <c r="AA2576" s="21"/>
      <c r="AB2576" s="21"/>
      <c r="AC2576" s="21"/>
      <c r="AD2576" s="21"/>
      <c r="AE2576" s="21"/>
      <c r="AF2576" s="21"/>
      <c r="AG2576" s="21"/>
      <c r="AH2576" s="21">
        <v>12</v>
      </c>
      <c r="AI2576" s="21"/>
      <c r="AJ2576" s="21"/>
      <c r="AK2576" s="21"/>
      <c r="AL2576" s="21"/>
      <c r="AM2576" s="21"/>
      <c r="AN2576" s="21">
        <v>2</v>
      </c>
      <c r="AO2576" s="21">
        <v>2</v>
      </c>
      <c r="AP2576" s="21">
        <v>1</v>
      </c>
      <c r="AQ2576" s="21">
        <v>2</v>
      </c>
      <c r="AR2576" s="21">
        <v>3</v>
      </c>
      <c r="AS2576" s="21">
        <v>2</v>
      </c>
      <c r="AT2576" s="12" t="str">
        <f>HYPERLINK("http://www.openstreetmap.org/?mlat=35.1839&amp;mlon=45.325&amp;zoom=12#map=12/35.1839/45.325","Maplink1")</f>
        <v>Maplink1</v>
      </c>
      <c r="AU2576" s="12" t="str">
        <f>HYPERLINK("https://www.google.iq/maps/search/+35.1839,45.325/@35.1839,45.325,14z?hl=en","Maplink2")</f>
        <v>Maplink2</v>
      </c>
      <c r="AV2576" s="12" t="str">
        <f>HYPERLINK("http://www.bing.com/maps/?lvl=14&amp;sty=h&amp;cp=35.1839~45.325&amp;sp=point.35.1839_45.325","Maplink3")</f>
        <v>Maplink3</v>
      </c>
    </row>
    <row r="2577" spans="1:48" ht="15" customHeight="1" x14ac:dyDescent="0.25">
      <c r="A2577" s="19">
        <v>4805</v>
      </c>
      <c r="B2577" s="20" t="s">
        <v>24</v>
      </c>
      <c r="C2577" s="20" t="s">
        <v>4489</v>
      </c>
      <c r="D2577" s="20" t="s">
        <v>4515</v>
      </c>
      <c r="E2577" s="20" t="s">
        <v>4516</v>
      </c>
      <c r="F2577" s="20">
        <v>35.812190000000001</v>
      </c>
      <c r="G2577" s="20">
        <v>44.797179999999997</v>
      </c>
      <c r="H2577" s="22">
        <v>3</v>
      </c>
      <c r="I2577" s="22">
        <v>18</v>
      </c>
      <c r="J2577" s="21"/>
      <c r="K2577" s="21"/>
      <c r="L2577" s="21"/>
      <c r="M2577" s="21"/>
      <c r="N2577" s="21"/>
      <c r="O2577" s="21"/>
      <c r="P2577" s="21"/>
      <c r="Q2577" s="21"/>
      <c r="R2577" s="21"/>
      <c r="S2577" s="21"/>
      <c r="T2577" s="21"/>
      <c r="U2577" s="21"/>
      <c r="V2577" s="21">
        <v>3</v>
      </c>
      <c r="W2577" s="21"/>
      <c r="X2577" s="21"/>
      <c r="Y2577" s="21"/>
      <c r="Z2577" s="21"/>
      <c r="AA2577" s="21"/>
      <c r="AB2577" s="21"/>
      <c r="AC2577" s="21"/>
      <c r="AD2577" s="21"/>
      <c r="AE2577" s="21"/>
      <c r="AF2577" s="21"/>
      <c r="AG2577" s="21"/>
      <c r="AH2577" s="21">
        <v>3</v>
      </c>
      <c r="AI2577" s="21"/>
      <c r="AJ2577" s="21"/>
      <c r="AK2577" s="21"/>
      <c r="AL2577" s="21"/>
      <c r="AM2577" s="21"/>
      <c r="AN2577" s="21"/>
      <c r="AO2577" s="21"/>
      <c r="AP2577" s="21"/>
      <c r="AQ2577" s="21"/>
      <c r="AR2577" s="21"/>
      <c r="AS2577" s="21">
        <v>3</v>
      </c>
      <c r="AT2577" s="12" t="str">
        <f>HYPERLINK("http://www.openstreetmap.org/?mlat=35.8122&amp;mlon=44.7972&amp;zoom=12#map=12/35.8122/44.7972","Maplink1")</f>
        <v>Maplink1</v>
      </c>
      <c r="AU2577" s="12" t="str">
        <f>HYPERLINK("https://www.google.iq/maps/search/+35.8122,44.7972/@35.8122,44.7972,14z?hl=en","Maplink2")</f>
        <v>Maplink2</v>
      </c>
      <c r="AV2577" s="12" t="str">
        <f>HYPERLINK("http://www.bing.com/maps/?lvl=14&amp;sty=h&amp;cp=35.8122~44.7972&amp;sp=point.35.8122_44.7972","Maplink3")</f>
        <v>Maplink3</v>
      </c>
    </row>
    <row r="2578" spans="1:48" ht="15" customHeight="1" x14ac:dyDescent="0.25">
      <c r="A2578" s="19">
        <v>4809</v>
      </c>
      <c r="B2578" s="20" t="s">
        <v>24</v>
      </c>
      <c r="C2578" s="20" t="s">
        <v>4489</v>
      </c>
      <c r="D2578" s="20" t="s">
        <v>5891</v>
      </c>
      <c r="E2578" s="20" t="s">
        <v>5892</v>
      </c>
      <c r="F2578" s="20">
        <v>35.126539999999999</v>
      </c>
      <c r="G2578" s="20">
        <v>45.241439999999997</v>
      </c>
      <c r="H2578" s="22">
        <v>3</v>
      </c>
      <c r="I2578" s="22">
        <v>18</v>
      </c>
      <c r="J2578" s="21"/>
      <c r="K2578" s="21"/>
      <c r="L2578" s="21"/>
      <c r="M2578" s="21"/>
      <c r="N2578" s="21"/>
      <c r="O2578" s="21">
        <v>2</v>
      </c>
      <c r="P2578" s="21"/>
      <c r="Q2578" s="21"/>
      <c r="R2578" s="21"/>
      <c r="S2578" s="21"/>
      <c r="T2578" s="21"/>
      <c r="U2578" s="21"/>
      <c r="V2578" s="21"/>
      <c r="W2578" s="21"/>
      <c r="X2578" s="21">
        <v>1</v>
      </c>
      <c r="Y2578" s="21"/>
      <c r="Z2578" s="21"/>
      <c r="AA2578" s="21"/>
      <c r="AB2578" s="21"/>
      <c r="AC2578" s="21"/>
      <c r="AD2578" s="21"/>
      <c r="AE2578" s="21"/>
      <c r="AF2578" s="21"/>
      <c r="AG2578" s="21"/>
      <c r="AH2578" s="21">
        <v>3</v>
      </c>
      <c r="AI2578" s="21"/>
      <c r="AJ2578" s="21"/>
      <c r="AK2578" s="21"/>
      <c r="AL2578" s="21"/>
      <c r="AM2578" s="21"/>
      <c r="AN2578" s="21"/>
      <c r="AO2578" s="21"/>
      <c r="AP2578" s="21"/>
      <c r="AQ2578" s="21">
        <v>1</v>
      </c>
      <c r="AR2578" s="21">
        <v>2</v>
      </c>
      <c r="AS2578" s="21"/>
      <c r="AT2578" s="12" t="str">
        <f>HYPERLINK("http://www.openstreetmap.org/?mlat=35.1265&amp;mlon=45.2414&amp;zoom=12#map=12/35.1265/45.2414","Maplink1")</f>
        <v>Maplink1</v>
      </c>
      <c r="AU2578" s="12" t="str">
        <f>HYPERLINK("https://www.google.iq/maps/search/+35.1265,45.2414/@35.1265,45.2414,14z?hl=en","Maplink2")</f>
        <v>Maplink2</v>
      </c>
      <c r="AV2578" s="12" t="str">
        <f>HYPERLINK("http://www.bing.com/maps/?lvl=14&amp;sty=h&amp;cp=35.1265~45.2414&amp;sp=point.35.1265_45.2414","Maplink3")</f>
        <v>Maplink3</v>
      </c>
    </row>
    <row r="2579" spans="1:48" ht="15" customHeight="1" x14ac:dyDescent="0.25">
      <c r="A2579" s="19">
        <v>24216</v>
      </c>
      <c r="B2579" s="20" t="s">
        <v>24</v>
      </c>
      <c r="C2579" s="20" t="s">
        <v>4489</v>
      </c>
      <c r="D2579" s="20" t="s">
        <v>4517</v>
      </c>
      <c r="E2579" s="20" t="s">
        <v>4518</v>
      </c>
      <c r="F2579" s="20">
        <v>35.519543839999997</v>
      </c>
      <c r="G2579" s="20">
        <v>44.834792610000001</v>
      </c>
      <c r="H2579" s="22">
        <v>41</v>
      </c>
      <c r="I2579" s="22">
        <v>246</v>
      </c>
      <c r="J2579" s="21">
        <v>14</v>
      </c>
      <c r="K2579" s="21">
        <v>1</v>
      </c>
      <c r="L2579" s="21">
        <v>4</v>
      </c>
      <c r="M2579" s="21"/>
      <c r="N2579" s="21"/>
      <c r="O2579" s="21">
        <v>2</v>
      </c>
      <c r="P2579" s="21"/>
      <c r="Q2579" s="21"/>
      <c r="R2579" s="21">
        <v>4</v>
      </c>
      <c r="S2579" s="21"/>
      <c r="T2579" s="21"/>
      <c r="U2579" s="21"/>
      <c r="V2579" s="21">
        <v>2</v>
      </c>
      <c r="W2579" s="21"/>
      <c r="X2579" s="21">
        <v>14</v>
      </c>
      <c r="Y2579" s="21"/>
      <c r="Z2579" s="21"/>
      <c r="AA2579" s="21"/>
      <c r="AB2579" s="21"/>
      <c r="AC2579" s="21"/>
      <c r="AD2579" s="21"/>
      <c r="AE2579" s="21"/>
      <c r="AF2579" s="21"/>
      <c r="AG2579" s="21"/>
      <c r="AH2579" s="21">
        <v>41</v>
      </c>
      <c r="AI2579" s="21"/>
      <c r="AJ2579" s="21"/>
      <c r="AK2579" s="21"/>
      <c r="AL2579" s="21">
        <v>2</v>
      </c>
      <c r="AM2579" s="21">
        <v>13</v>
      </c>
      <c r="AN2579" s="21">
        <v>11</v>
      </c>
      <c r="AO2579" s="21">
        <v>4</v>
      </c>
      <c r="AP2579" s="21">
        <v>3</v>
      </c>
      <c r="AQ2579" s="21">
        <v>2</v>
      </c>
      <c r="AR2579" s="21"/>
      <c r="AS2579" s="21">
        <v>6</v>
      </c>
      <c r="AT2579" s="12" t="str">
        <f>HYPERLINK("http://www.openstreetmap.org/?mlat=35.5195&amp;mlon=44.8348&amp;zoom=12#map=12/35.5195/44.8348","Maplink1")</f>
        <v>Maplink1</v>
      </c>
      <c r="AU2579" s="12" t="str">
        <f>HYPERLINK("https://www.google.iq/maps/search/+35.5195,44.8348/@35.5195,44.8348,14z?hl=en","Maplink2")</f>
        <v>Maplink2</v>
      </c>
      <c r="AV2579" s="12" t="str">
        <f>HYPERLINK("http://www.bing.com/maps/?lvl=14&amp;sty=h&amp;cp=35.5195~44.8348&amp;sp=point.35.5195_44.8348","Maplink3")</f>
        <v>Maplink3</v>
      </c>
    </row>
    <row r="2580" spans="1:48" ht="15" customHeight="1" x14ac:dyDescent="0.25">
      <c r="A2580" s="19">
        <v>31935</v>
      </c>
      <c r="B2580" s="20" t="s">
        <v>24</v>
      </c>
      <c r="C2580" s="20" t="s">
        <v>4489</v>
      </c>
      <c r="D2580" s="20" t="s">
        <v>4519</v>
      </c>
      <c r="E2580" s="20" t="s">
        <v>4520</v>
      </c>
      <c r="F2580" s="20">
        <v>35.355179999999997</v>
      </c>
      <c r="G2580" s="20">
        <v>45.168320000000001</v>
      </c>
      <c r="H2580" s="22">
        <v>2</v>
      </c>
      <c r="I2580" s="22">
        <v>12</v>
      </c>
      <c r="J2580" s="21"/>
      <c r="K2580" s="21"/>
      <c r="L2580" s="21"/>
      <c r="M2580" s="21"/>
      <c r="N2580" s="21"/>
      <c r="O2580" s="21"/>
      <c r="P2580" s="21"/>
      <c r="Q2580" s="21"/>
      <c r="R2580" s="21"/>
      <c r="S2580" s="21"/>
      <c r="T2580" s="21"/>
      <c r="U2580" s="21"/>
      <c r="V2580" s="21">
        <v>2</v>
      </c>
      <c r="W2580" s="21"/>
      <c r="X2580" s="21"/>
      <c r="Y2580" s="21"/>
      <c r="Z2580" s="21"/>
      <c r="AA2580" s="21"/>
      <c r="AB2580" s="21"/>
      <c r="AC2580" s="21"/>
      <c r="AD2580" s="21"/>
      <c r="AE2580" s="21"/>
      <c r="AF2580" s="21"/>
      <c r="AG2580" s="21"/>
      <c r="AH2580" s="21">
        <v>2</v>
      </c>
      <c r="AI2580" s="21"/>
      <c r="AJ2580" s="21"/>
      <c r="AK2580" s="21"/>
      <c r="AL2580" s="21"/>
      <c r="AM2580" s="21"/>
      <c r="AN2580" s="21"/>
      <c r="AO2580" s="21"/>
      <c r="AP2580" s="21"/>
      <c r="AQ2580" s="21">
        <v>1</v>
      </c>
      <c r="AR2580" s="21">
        <v>1</v>
      </c>
      <c r="AS2580" s="21"/>
      <c r="AT2580" s="12" t="str">
        <f>HYPERLINK("http://www.openstreetmap.org/?mlat=35.3552&amp;mlon=45.1683&amp;zoom=12#map=12/35.3552/45.1683","Maplink1")</f>
        <v>Maplink1</v>
      </c>
      <c r="AU2580" s="12" t="str">
        <f>HYPERLINK("https://www.google.iq/maps/search/+35.3552,45.1683/@35.3552,45.1683,14z?hl=en","Maplink2")</f>
        <v>Maplink2</v>
      </c>
      <c r="AV2580" s="12" t="str">
        <f>HYPERLINK("http://www.bing.com/maps/?lvl=14&amp;sty=h&amp;cp=35.3552~45.1683&amp;sp=point.35.3552_45.1683","Maplink3")</f>
        <v>Maplink3</v>
      </c>
    </row>
    <row r="2581" spans="1:48" ht="15" customHeight="1" x14ac:dyDescent="0.25">
      <c r="A2581" s="19">
        <v>3513</v>
      </c>
      <c r="B2581" s="20" t="s">
        <v>24</v>
      </c>
      <c r="C2581" s="20" t="s">
        <v>4489</v>
      </c>
      <c r="D2581" s="20" t="s">
        <v>4521</v>
      </c>
      <c r="E2581" s="20" t="s">
        <v>4522</v>
      </c>
      <c r="F2581" s="20">
        <v>35.693849999999998</v>
      </c>
      <c r="G2581" s="20">
        <v>44.890860000000004</v>
      </c>
      <c r="H2581" s="22">
        <v>1</v>
      </c>
      <c r="I2581" s="22">
        <v>6</v>
      </c>
      <c r="J2581" s="21"/>
      <c r="K2581" s="21"/>
      <c r="L2581" s="21"/>
      <c r="M2581" s="21"/>
      <c r="N2581" s="21"/>
      <c r="O2581" s="21"/>
      <c r="P2581" s="21"/>
      <c r="Q2581" s="21"/>
      <c r="R2581" s="21"/>
      <c r="S2581" s="21"/>
      <c r="T2581" s="21"/>
      <c r="U2581" s="21"/>
      <c r="V2581" s="21"/>
      <c r="W2581" s="21"/>
      <c r="X2581" s="21">
        <v>1</v>
      </c>
      <c r="Y2581" s="21"/>
      <c r="Z2581" s="21"/>
      <c r="AA2581" s="21"/>
      <c r="AB2581" s="21"/>
      <c r="AC2581" s="21"/>
      <c r="AD2581" s="21"/>
      <c r="AE2581" s="21"/>
      <c r="AF2581" s="21"/>
      <c r="AG2581" s="21"/>
      <c r="AH2581" s="21">
        <v>1</v>
      </c>
      <c r="AI2581" s="21"/>
      <c r="AJ2581" s="21"/>
      <c r="AK2581" s="21"/>
      <c r="AL2581" s="21"/>
      <c r="AM2581" s="21">
        <v>1</v>
      </c>
      <c r="AN2581" s="21"/>
      <c r="AO2581" s="21"/>
      <c r="AP2581" s="21"/>
      <c r="AQ2581" s="21"/>
      <c r="AR2581" s="21"/>
      <c r="AS2581" s="21"/>
      <c r="AT2581" s="12" t="str">
        <f>HYPERLINK("http://www.openstreetmap.org/?mlat=35.6938&amp;mlon=44.8909&amp;zoom=12#map=12/35.6938/44.8909","Maplink1")</f>
        <v>Maplink1</v>
      </c>
      <c r="AU2581" s="12" t="str">
        <f>HYPERLINK("https://www.google.iq/maps/search/+35.6938,44.8909/@35.6938,44.8909,14z?hl=en","Maplink2")</f>
        <v>Maplink2</v>
      </c>
      <c r="AV2581" s="12" t="str">
        <f>HYPERLINK("http://www.bing.com/maps/?lvl=14&amp;sty=h&amp;cp=35.6938~44.8909&amp;sp=point.35.6938_44.8909","Maplink3")</f>
        <v>Maplink3</v>
      </c>
    </row>
    <row r="2582" spans="1:48" ht="15" customHeight="1" x14ac:dyDescent="0.25">
      <c r="A2582" s="19">
        <v>3519</v>
      </c>
      <c r="B2582" s="20" t="s">
        <v>24</v>
      </c>
      <c r="C2582" s="20" t="s">
        <v>4489</v>
      </c>
      <c r="D2582" s="20" t="s">
        <v>5858</v>
      </c>
      <c r="E2582" s="20" t="s">
        <v>5859</v>
      </c>
      <c r="F2582" s="20">
        <v>35.683979999999998</v>
      </c>
      <c r="G2582" s="20">
        <v>44.964689999999997</v>
      </c>
      <c r="H2582" s="22">
        <v>2</v>
      </c>
      <c r="I2582" s="22">
        <v>12</v>
      </c>
      <c r="J2582" s="21"/>
      <c r="K2582" s="21"/>
      <c r="L2582" s="21">
        <v>1</v>
      </c>
      <c r="M2582" s="21"/>
      <c r="N2582" s="21"/>
      <c r="O2582" s="21">
        <v>1</v>
      </c>
      <c r="P2582" s="21"/>
      <c r="Q2582" s="21"/>
      <c r="R2582" s="21"/>
      <c r="S2582" s="21"/>
      <c r="T2582" s="21"/>
      <c r="U2582" s="21"/>
      <c r="V2582" s="21"/>
      <c r="W2582" s="21"/>
      <c r="X2582" s="21"/>
      <c r="Y2582" s="21"/>
      <c r="Z2582" s="21"/>
      <c r="AA2582" s="21"/>
      <c r="AB2582" s="21"/>
      <c r="AC2582" s="21"/>
      <c r="AD2582" s="21"/>
      <c r="AE2582" s="21"/>
      <c r="AF2582" s="21"/>
      <c r="AG2582" s="21"/>
      <c r="AH2582" s="21">
        <v>2</v>
      </c>
      <c r="AI2582" s="21"/>
      <c r="AJ2582" s="21"/>
      <c r="AK2582" s="21"/>
      <c r="AL2582" s="21">
        <v>1</v>
      </c>
      <c r="AM2582" s="21">
        <v>1</v>
      </c>
      <c r="AN2582" s="21"/>
      <c r="AO2582" s="21"/>
      <c r="AP2582" s="21"/>
      <c r="AQ2582" s="21"/>
      <c r="AR2582" s="21"/>
      <c r="AS2582" s="21"/>
      <c r="AT2582" s="12" t="str">
        <f>HYPERLINK("http://www.openstreetmap.org/?mlat=35.684&amp;mlon=44.9647&amp;zoom=12#map=12/35.684/44.9647","Maplink1")</f>
        <v>Maplink1</v>
      </c>
      <c r="AU2582" s="12" t="str">
        <f>HYPERLINK("https://www.google.iq/maps/search/+35.684,44.9647/@35.684,44.9647,14z?hl=en","Maplink2")</f>
        <v>Maplink2</v>
      </c>
      <c r="AV2582" s="12" t="str">
        <f>HYPERLINK("http://www.bing.com/maps/?lvl=14&amp;sty=h&amp;cp=35.684~44.9647&amp;sp=point.35.684_44.9647","Maplink3")</f>
        <v>Maplink3</v>
      </c>
    </row>
    <row r="2583" spans="1:48" ht="15" customHeight="1" x14ac:dyDescent="0.25">
      <c r="A2583" s="19">
        <v>3452</v>
      </c>
      <c r="B2583" s="20" t="s">
        <v>24</v>
      </c>
      <c r="C2583" s="20" t="s">
        <v>4489</v>
      </c>
      <c r="D2583" s="20" t="s">
        <v>4523</v>
      </c>
      <c r="E2583" s="20" t="s">
        <v>4524</v>
      </c>
      <c r="F2583" s="20">
        <v>35.297809999999998</v>
      </c>
      <c r="G2583" s="20">
        <v>45.178910000000002</v>
      </c>
      <c r="H2583" s="22">
        <v>3</v>
      </c>
      <c r="I2583" s="22">
        <v>18</v>
      </c>
      <c r="J2583" s="21"/>
      <c r="K2583" s="21"/>
      <c r="L2583" s="21"/>
      <c r="M2583" s="21"/>
      <c r="N2583" s="21"/>
      <c r="O2583" s="21">
        <v>3</v>
      </c>
      <c r="P2583" s="21"/>
      <c r="Q2583" s="21"/>
      <c r="R2583" s="21"/>
      <c r="S2583" s="21"/>
      <c r="T2583" s="21"/>
      <c r="U2583" s="21"/>
      <c r="V2583" s="21"/>
      <c r="W2583" s="21"/>
      <c r="X2583" s="21"/>
      <c r="Y2583" s="21"/>
      <c r="Z2583" s="21"/>
      <c r="AA2583" s="21"/>
      <c r="AB2583" s="21"/>
      <c r="AC2583" s="21"/>
      <c r="AD2583" s="21"/>
      <c r="AE2583" s="21"/>
      <c r="AF2583" s="21"/>
      <c r="AG2583" s="21"/>
      <c r="AH2583" s="21">
        <v>3</v>
      </c>
      <c r="AI2583" s="21"/>
      <c r="AJ2583" s="21"/>
      <c r="AK2583" s="21"/>
      <c r="AL2583" s="21"/>
      <c r="AM2583" s="21"/>
      <c r="AN2583" s="21"/>
      <c r="AO2583" s="21">
        <v>1</v>
      </c>
      <c r="AP2583" s="21"/>
      <c r="AQ2583" s="21">
        <v>2</v>
      </c>
      <c r="AR2583" s="21"/>
      <c r="AS2583" s="21"/>
      <c r="AT2583" s="12" t="str">
        <f>HYPERLINK("http://www.openstreetmap.org/?mlat=35.2978&amp;mlon=45.1789&amp;zoom=12#map=12/35.2978/45.1789","Maplink1")</f>
        <v>Maplink1</v>
      </c>
      <c r="AU2583" s="12" t="str">
        <f>HYPERLINK("https://www.google.iq/maps/search/+35.2978,45.1789/@35.2978,45.1789,14z?hl=en","Maplink2")</f>
        <v>Maplink2</v>
      </c>
      <c r="AV2583" s="12" t="str">
        <f>HYPERLINK("http://www.bing.com/maps/?lvl=14&amp;sty=h&amp;cp=35.2978~45.1789&amp;sp=point.35.2978_45.1789","Maplink3")</f>
        <v>Maplink3</v>
      </c>
    </row>
    <row r="2584" spans="1:48" ht="15" customHeight="1" x14ac:dyDescent="0.25">
      <c r="A2584" s="19">
        <v>3416</v>
      </c>
      <c r="B2584" s="20" t="s">
        <v>24</v>
      </c>
      <c r="C2584" s="20" t="s">
        <v>4489</v>
      </c>
      <c r="D2584" s="20" t="s">
        <v>4525</v>
      </c>
      <c r="E2584" s="20" t="s">
        <v>4526</v>
      </c>
      <c r="F2584" s="20">
        <v>35.225610000000003</v>
      </c>
      <c r="G2584" s="20">
        <v>45.239989999999999</v>
      </c>
      <c r="H2584" s="22">
        <v>8</v>
      </c>
      <c r="I2584" s="22">
        <v>48</v>
      </c>
      <c r="J2584" s="21"/>
      <c r="K2584" s="21"/>
      <c r="L2584" s="21"/>
      <c r="M2584" s="21"/>
      <c r="N2584" s="21"/>
      <c r="O2584" s="21">
        <v>6</v>
      </c>
      <c r="P2584" s="21"/>
      <c r="Q2584" s="21"/>
      <c r="R2584" s="21"/>
      <c r="S2584" s="21"/>
      <c r="T2584" s="21"/>
      <c r="U2584" s="21"/>
      <c r="V2584" s="21"/>
      <c r="W2584" s="21"/>
      <c r="X2584" s="21">
        <v>2</v>
      </c>
      <c r="Y2584" s="21"/>
      <c r="Z2584" s="21"/>
      <c r="AA2584" s="21"/>
      <c r="AB2584" s="21"/>
      <c r="AC2584" s="21"/>
      <c r="AD2584" s="21"/>
      <c r="AE2584" s="21"/>
      <c r="AF2584" s="21"/>
      <c r="AG2584" s="21"/>
      <c r="AH2584" s="21">
        <v>8</v>
      </c>
      <c r="AI2584" s="21"/>
      <c r="AJ2584" s="21"/>
      <c r="AK2584" s="21"/>
      <c r="AL2584" s="21">
        <v>1</v>
      </c>
      <c r="AM2584" s="21"/>
      <c r="AN2584" s="21"/>
      <c r="AO2584" s="21">
        <v>2</v>
      </c>
      <c r="AP2584" s="21"/>
      <c r="AQ2584" s="21">
        <v>4</v>
      </c>
      <c r="AR2584" s="21">
        <v>1</v>
      </c>
      <c r="AS2584" s="21"/>
      <c r="AT2584" s="12" t="str">
        <f>HYPERLINK("http://www.openstreetmap.org/?mlat=35.2256&amp;mlon=45.24&amp;zoom=12#map=12/35.2256/45.24","Maplink1")</f>
        <v>Maplink1</v>
      </c>
      <c r="AU2584" s="12" t="str">
        <f>HYPERLINK("https://www.google.iq/maps/search/+35.2256,45.24/@35.2256,45.24,14z?hl=en","Maplink2")</f>
        <v>Maplink2</v>
      </c>
      <c r="AV2584" s="12" t="str">
        <f>HYPERLINK("http://www.bing.com/maps/?lvl=14&amp;sty=h&amp;cp=35.2256~45.24&amp;sp=point.35.2256_45.24","Maplink3")</f>
        <v>Maplink3</v>
      </c>
    </row>
    <row r="2585" spans="1:48" ht="15" customHeight="1" x14ac:dyDescent="0.25">
      <c r="A2585" s="19">
        <v>3415</v>
      </c>
      <c r="B2585" s="20" t="s">
        <v>24</v>
      </c>
      <c r="C2585" s="20" t="s">
        <v>4489</v>
      </c>
      <c r="D2585" s="20" t="s">
        <v>4527</v>
      </c>
      <c r="E2585" s="20" t="s">
        <v>4528</v>
      </c>
      <c r="F2585" s="20">
        <v>35.283439999999999</v>
      </c>
      <c r="G2585" s="20">
        <v>45.277639999999998</v>
      </c>
      <c r="H2585" s="22">
        <v>8</v>
      </c>
      <c r="I2585" s="22">
        <v>48</v>
      </c>
      <c r="J2585" s="21"/>
      <c r="K2585" s="21"/>
      <c r="L2585" s="21">
        <v>1</v>
      </c>
      <c r="M2585" s="21"/>
      <c r="N2585" s="21"/>
      <c r="O2585" s="21">
        <v>5</v>
      </c>
      <c r="P2585" s="21"/>
      <c r="Q2585" s="21"/>
      <c r="R2585" s="21"/>
      <c r="S2585" s="21"/>
      <c r="T2585" s="21"/>
      <c r="U2585" s="21"/>
      <c r="V2585" s="21">
        <v>1</v>
      </c>
      <c r="W2585" s="21"/>
      <c r="X2585" s="21">
        <v>1</v>
      </c>
      <c r="Y2585" s="21"/>
      <c r="Z2585" s="21"/>
      <c r="AA2585" s="21"/>
      <c r="AB2585" s="21"/>
      <c r="AC2585" s="21"/>
      <c r="AD2585" s="21"/>
      <c r="AE2585" s="21"/>
      <c r="AF2585" s="21"/>
      <c r="AG2585" s="21"/>
      <c r="AH2585" s="21">
        <v>8</v>
      </c>
      <c r="AI2585" s="21"/>
      <c r="AJ2585" s="21"/>
      <c r="AK2585" s="21"/>
      <c r="AL2585" s="21">
        <v>1</v>
      </c>
      <c r="AM2585" s="21"/>
      <c r="AN2585" s="21"/>
      <c r="AO2585" s="21"/>
      <c r="AP2585" s="21"/>
      <c r="AQ2585" s="21">
        <v>2</v>
      </c>
      <c r="AR2585" s="21">
        <v>2</v>
      </c>
      <c r="AS2585" s="21">
        <v>3</v>
      </c>
      <c r="AT2585" s="12" t="str">
        <f>HYPERLINK("http://www.openstreetmap.org/?mlat=35.2834&amp;mlon=45.2776&amp;zoom=12#map=12/35.2834/45.2776","Maplink1")</f>
        <v>Maplink1</v>
      </c>
      <c r="AU2585" s="12" t="str">
        <f>HYPERLINK("https://www.google.iq/maps/search/+35.2834,45.2776/@35.2834,45.2776,14z?hl=en","Maplink2")</f>
        <v>Maplink2</v>
      </c>
      <c r="AV2585" s="12" t="str">
        <f>HYPERLINK("http://www.bing.com/maps/?lvl=14&amp;sty=h&amp;cp=35.2834~45.2776&amp;sp=point.35.2834_45.2776","Maplink3")</f>
        <v>Maplink3</v>
      </c>
    </row>
    <row r="2586" spans="1:48" ht="15" customHeight="1" x14ac:dyDescent="0.25">
      <c r="A2586" s="19">
        <v>4902</v>
      </c>
      <c r="B2586" s="20" t="s">
        <v>24</v>
      </c>
      <c r="C2586" s="20" t="s">
        <v>4489</v>
      </c>
      <c r="D2586" s="20" t="s">
        <v>4529</v>
      </c>
      <c r="E2586" s="20" t="s">
        <v>4530</v>
      </c>
      <c r="F2586" s="20">
        <v>35.80151</v>
      </c>
      <c r="G2586" s="20">
        <v>44.907719999999998</v>
      </c>
      <c r="H2586" s="22">
        <v>4</v>
      </c>
      <c r="I2586" s="22">
        <v>24</v>
      </c>
      <c r="J2586" s="21">
        <v>1</v>
      </c>
      <c r="K2586" s="21"/>
      <c r="L2586" s="21">
        <v>1</v>
      </c>
      <c r="M2586" s="21"/>
      <c r="N2586" s="21"/>
      <c r="O2586" s="21"/>
      <c r="P2586" s="21"/>
      <c r="Q2586" s="21"/>
      <c r="R2586" s="21">
        <v>1</v>
      </c>
      <c r="S2586" s="21"/>
      <c r="T2586" s="21"/>
      <c r="U2586" s="21"/>
      <c r="V2586" s="21"/>
      <c r="W2586" s="21"/>
      <c r="X2586" s="21">
        <v>1</v>
      </c>
      <c r="Y2586" s="21"/>
      <c r="Z2586" s="21"/>
      <c r="AA2586" s="21"/>
      <c r="AB2586" s="21"/>
      <c r="AC2586" s="21"/>
      <c r="AD2586" s="21"/>
      <c r="AE2586" s="21"/>
      <c r="AF2586" s="21"/>
      <c r="AG2586" s="21"/>
      <c r="AH2586" s="21">
        <v>4</v>
      </c>
      <c r="AI2586" s="21"/>
      <c r="AJ2586" s="21"/>
      <c r="AK2586" s="21"/>
      <c r="AL2586" s="21"/>
      <c r="AM2586" s="21"/>
      <c r="AN2586" s="21"/>
      <c r="AO2586" s="21"/>
      <c r="AP2586" s="21"/>
      <c r="AQ2586" s="21">
        <v>1</v>
      </c>
      <c r="AR2586" s="21">
        <v>1</v>
      </c>
      <c r="AS2586" s="21">
        <v>2</v>
      </c>
      <c r="AT2586" s="12" t="str">
        <f>HYPERLINK("http://www.openstreetmap.org/?mlat=35.8015&amp;mlon=44.9077&amp;zoom=12#map=12/35.8015/44.9077","Maplink1")</f>
        <v>Maplink1</v>
      </c>
      <c r="AU2586" s="12" t="str">
        <f>HYPERLINK("https://www.google.iq/maps/search/+35.8015,44.9077/@35.8015,44.9077,14z?hl=en","Maplink2")</f>
        <v>Maplink2</v>
      </c>
      <c r="AV2586" s="12" t="str">
        <f>HYPERLINK("http://www.bing.com/maps/?lvl=14&amp;sty=h&amp;cp=35.8015~44.9077&amp;sp=point.35.8015_44.9077","Maplink3")</f>
        <v>Maplink3</v>
      </c>
    </row>
    <row r="2587" spans="1:48" ht="15" customHeight="1" x14ac:dyDescent="0.25">
      <c r="A2587" s="19">
        <v>20815</v>
      </c>
      <c r="B2587" s="20" t="s">
        <v>24</v>
      </c>
      <c r="C2587" s="20" t="s">
        <v>4489</v>
      </c>
      <c r="D2587" s="20" t="s">
        <v>4531</v>
      </c>
      <c r="E2587" s="20" t="s">
        <v>4532</v>
      </c>
      <c r="F2587" s="20">
        <v>35.507101110000001</v>
      </c>
      <c r="G2587" s="20">
        <v>44.825677409999997</v>
      </c>
      <c r="H2587" s="22">
        <v>8</v>
      </c>
      <c r="I2587" s="22">
        <v>48</v>
      </c>
      <c r="J2587" s="21">
        <v>8</v>
      </c>
      <c r="K2587" s="21"/>
      <c r="L2587" s="21"/>
      <c r="M2587" s="21"/>
      <c r="N2587" s="21"/>
      <c r="O2587" s="21"/>
      <c r="P2587" s="21"/>
      <c r="Q2587" s="21"/>
      <c r="R2587" s="21"/>
      <c r="S2587" s="21"/>
      <c r="T2587" s="21"/>
      <c r="U2587" s="21"/>
      <c r="V2587" s="21"/>
      <c r="W2587" s="21"/>
      <c r="X2587" s="21"/>
      <c r="Y2587" s="21"/>
      <c r="Z2587" s="21"/>
      <c r="AA2587" s="21"/>
      <c r="AB2587" s="21"/>
      <c r="AC2587" s="21"/>
      <c r="AD2587" s="21"/>
      <c r="AE2587" s="21"/>
      <c r="AF2587" s="21"/>
      <c r="AG2587" s="21"/>
      <c r="AH2587" s="21">
        <v>8</v>
      </c>
      <c r="AI2587" s="21"/>
      <c r="AJ2587" s="21"/>
      <c r="AK2587" s="21"/>
      <c r="AL2587" s="21">
        <v>3</v>
      </c>
      <c r="AM2587" s="21">
        <v>3</v>
      </c>
      <c r="AN2587" s="21"/>
      <c r="AO2587" s="21">
        <v>2</v>
      </c>
      <c r="AP2587" s="21"/>
      <c r="AQ2587" s="21"/>
      <c r="AR2587" s="21"/>
      <c r="AS2587" s="21"/>
      <c r="AT2587" s="12" t="str">
        <f>HYPERLINK("http://www.openstreetmap.org/?mlat=35.5071&amp;mlon=44.8257&amp;zoom=12#map=12/35.5071/44.8257","Maplink1")</f>
        <v>Maplink1</v>
      </c>
      <c r="AU2587" s="12" t="str">
        <f>HYPERLINK("https://www.google.iq/maps/search/+35.5071,44.8257/@35.5071,44.8257,14z?hl=en","Maplink2")</f>
        <v>Maplink2</v>
      </c>
      <c r="AV2587" s="12" t="str">
        <f>HYPERLINK("http://www.bing.com/maps/?lvl=14&amp;sty=h&amp;cp=35.5071~44.8257&amp;sp=point.35.5071_44.8257","Maplink3")</f>
        <v>Maplink3</v>
      </c>
    </row>
    <row r="2588" spans="1:48" ht="15" customHeight="1" x14ac:dyDescent="0.25">
      <c r="A2588" s="19">
        <v>4933</v>
      </c>
      <c r="B2588" s="20" t="s">
        <v>24</v>
      </c>
      <c r="C2588" s="20" t="s">
        <v>4489</v>
      </c>
      <c r="D2588" s="20" t="s">
        <v>4533</v>
      </c>
      <c r="E2588" s="20" t="s">
        <v>4534</v>
      </c>
      <c r="F2588" s="20">
        <v>35.516376149999999</v>
      </c>
      <c r="G2588" s="20">
        <v>44.849944909999998</v>
      </c>
      <c r="H2588" s="22">
        <v>79</v>
      </c>
      <c r="I2588" s="22">
        <v>474</v>
      </c>
      <c r="J2588" s="21">
        <v>4</v>
      </c>
      <c r="K2588" s="21">
        <v>6</v>
      </c>
      <c r="L2588" s="21">
        <v>4</v>
      </c>
      <c r="M2588" s="21"/>
      <c r="N2588" s="21"/>
      <c r="O2588" s="21">
        <v>6</v>
      </c>
      <c r="P2588" s="21"/>
      <c r="Q2588" s="21"/>
      <c r="R2588" s="21">
        <v>18</v>
      </c>
      <c r="S2588" s="21"/>
      <c r="T2588" s="21"/>
      <c r="U2588" s="21"/>
      <c r="V2588" s="21">
        <v>13</v>
      </c>
      <c r="W2588" s="21"/>
      <c r="X2588" s="21">
        <v>28</v>
      </c>
      <c r="Y2588" s="21"/>
      <c r="Z2588" s="21"/>
      <c r="AA2588" s="21"/>
      <c r="AB2588" s="21"/>
      <c r="AC2588" s="21"/>
      <c r="AD2588" s="21"/>
      <c r="AE2588" s="21"/>
      <c r="AF2588" s="21"/>
      <c r="AG2588" s="21"/>
      <c r="AH2588" s="21">
        <v>79</v>
      </c>
      <c r="AI2588" s="21"/>
      <c r="AJ2588" s="21"/>
      <c r="AK2588" s="21"/>
      <c r="AL2588" s="21">
        <v>6</v>
      </c>
      <c r="AM2588" s="21">
        <v>11</v>
      </c>
      <c r="AN2588" s="21">
        <v>3</v>
      </c>
      <c r="AO2588" s="21">
        <v>8</v>
      </c>
      <c r="AP2588" s="21">
        <v>1</v>
      </c>
      <c r="AQ2588" s="21"/>
      <c r="AR2588" s="21"/>
      <c r="AS2588" s="21">
        <v>50</v>
      </c>
      <c r="AT2588" s="12" t="str">
        <f>HYPERLINK("http://www.openstreetmap.org/?mlat=35.5164&amp;mlon=44.8499&amp;zoom=12#map=12/35.5164/44.8499","Maplink1")</f>
        <v>Maplink1</v>
      </c>
      <c r="AU2588" s="12" t="str">
        <f>HYPERLINK("https://www.google.iq/maps/search/+35.5164,44.8499/@35.5164,44.8499,14z?hl=en","Maplink2")</f>
        <v>Maplink2</v>
      </c>
      <c r="AV2588" s="12" t="str">
        <f>HYPERLINK("http://www.bing.com/maps/?lvl=14&amp;sty=h&amp;cp=35.5164~44.8499&amp;sp=point.35.5164_44.8499","Maplink3")</f>
        <v>Maplink3</v>
      </c>
    </row>
    <row r="2589" spans="1:48" ht="15" customHeight="1" x14ac:dyDescent="0.25">
      <c r="A2589" s="19">
        <v>24888</v>
      </c>
      <c r="B2589" s="20" t="s">
        <v>24</v>
      </c>
      <c r="C2589" s="20" t="s">
        <v>4489</v>
      </c>
      <c r="D2589" s="20" t="s">
        <v>4535</v>
      </c>
      <c r="E2589" s="20" t="s">
        <v>4536</v>
      </c>
      <c r="F2589" s="20">
        <v>35.541359129999996</v>
      </c>
      <c r="G2589" s="20">
        <v>44.835635629999999</v>
      </c>
      <c r="H2589" s="22">
        <v>50</v>
      </c>
      <c r="I2589" s="22">
        <v>300</v>
      </c>
      <c r="J2589" s="21">
        <v>12</v>
      </c>
      <c r="K2589" s="21">
        <v>15</v>
      </c>
      <c r="L2589" s="21">
        <v>4</v>
      </c>
      <c r="M2589" s="21"/>
      <c r="N2589" s="21"/>
      <c r="O2589" s="21">
        <v>3</v>
      </c>
      <c r="P2589" s="21"/>
      <c r="Q2589" s="21"/>
      <c r="R2589" s="21">
        <v>3</v>
      </c>
      <c r="S2589" s="21"/>
      <c r="T2589" s="21"/>
      <c r="U2589" s="21"/>
      <c r="V2589" s="21">
        <v>1</v>
      </c>
      <c r="W2589" s="21"/>
      <c r="X2589" s="21">
        <v>12</v>
      </c>
      <c r="Y2589" s="21"/>
      <c r="Z2589" s="21"/>
      <c r="AA2589" s="21"/>
      <c r="AB2589" s="21"/>
      <c r="AC2589" s="21"/>
      <c r="AD2589" s="21"/>
      <c r="AE2589" s="21"/>
      <c r="AF2589" s="21"/>
      <c r="AG2589" s="21"/>
      <c r="AH2589" s="21">
        <v>50</v>
      </c>
      <c r="AI2589" s="21"/>
      <c r="AJ2589" s="21"/>
      <c r="AK2589" s="21"/>
      <c r="AL2589" s="21">
        <v>12</v>
      </c>
      <c r="AM2589" s="21">
        <v>1</v>
      </c>
      <c r="AN2589" s="21"/>
      <c r="AO2589" s="21">
        <v>9</v>
      </c>
      <c r="AP2589" s="21">
        <v>3</v>
      </c>
      <c r="AQ2589" s="21">
        <v>11</v>
      </c>
      <c r="AR2589" s="21">
        <v>10</v>
      </c>
      <c r="AS2589" s="21">
        <v>4</v>
      </c>
      <c r="AT2589" s="12" t="str">
        <f>HYPERLINK("http://www.openstreetmap.org/?mlat=35.5414&amp;mlon=44.8356&amp;zoom=12#map=12/35.5414/44.8356","Maplink1")</f>
        <v>Maplink1</v>
      </c>
      <c r="AU2589" s="12" t="str">
        <f>HYPERLINK("https://www.google.iq/maps/search/+35.5414,44.8356/@35.5414,44.8356,14z?hl=en","Maplink2")</f>
        <v>Maplink2</v>
      </c>
      <c r="AV2589" s="12" t="str">
        <f>HYPERLINK("http://www.bing.com/maps/?lvl=14&amp;sty=h&amp;cp=35.5414~44.8356&amp;sp=point.35.5414_44.8356","Maplink3")</f>
        <v>Maplink3</v>
      </c>
    </row>
    <row r="2590" spans="1:48" ht="15" customHeight="1" x14ac:dyDescent="0.25">
      <c r="A2590" s="19">
        <v>21717</v>
      </c>
      <c r="B2590" s="20" t="s">
        <v>24</v>
      </c>
      <c r="C2590" s="20" t="s">
        <v>4489</v>
      </c>
      <c r="D2590" s="20" t="s">
        <v>4537</v>
      </c>
      <c r="E2590" s="20" t="s">
        <v>4538</v>
      </c>
      <c r="F2590" s="20">
        <v>35.503748850000001</v>
      </c>
      <c r="G2590" s="20">
        <v>44.85225269</v>
      </c>
      <c r="H2590" s="22">
        <v>43</v>
      </c>
      <c r="I2590" s="22">
        <v>258</v>
      </c>
      <c r="J2590" s="21">
        <v>12</v>
      </c>
      <c r="K2590" s="21">
        <v>1</v>
      </c>
      <c r="L2590" s="21">
        <v>4</v>
      </c>
      <c r="M2590" s="21"/>
      <c r="N2590" s="21"/>
      <c r="O2590" s="21"/>
      <c r="P2590" s="21"/>
      <c r="Q2590" s="21"/>
      <c r="R2590" s="21">
        <v>9</v>
      </c>
      <c r="S2590" s="21"/>
      <c r="T2590" s="21"/>
      <c r="U2590" s="21"/>
      <c r="V2590" s="21">
        <v>1</v>
      </c>
      <c r="W2590" s="21"/>
      <c r="X2590" s="21">
        <v>16</v>
      </c>
      <c r="Y2590" s="21"/>
      <c r="Z2590" s="21"/>
      <c r="AA2590" s="21"/>
      <c r="AB2590" s="21"/>
      <c r="AC2590" s="21"/>
      <c r="AD2590" s="21"/>
      <c r="AE2590" s="21"/>
      <c r="AF2590" s="21"/>
      <c r="AG2590" s="21"/>
      <c r="AH2590" s="21">
        <v>43</v>
      </c>
      <c r="AI2590" s="21"/>
      <c r="AJ2590" s="21"/>
      <c r="AK2590" s="21"/>
      <c r="AL2590" s="21">
        <v>4</v>
      </c>
      <c r="AM2590" s="21">
        <v>10</v>
      </c>
      <c r="AN2590" s="21"/>
      <c r="AO2590" s="21">
        <v>8</v>
      </c>
      <c r="AP2590" s="21"/>
      <c r="AQ2590" s="21">
        <v>1</v>
      </c>
      <c r="AR2590" s="21">
        <v>2</v>
      </c>
      <c r="AS2590" s="21">
        <v>18</v>
      </c>
      <c r="AT2590" s="12" t="str">
        <f>HYPERLINK("http://www.openstreetmap.org/?mlat=35.5037&amp;mlon=44.8523&amp;zoom=12#map=12/35.5037/44.8523","Maplink1")</f>
        <v>Maplink1</v>
      </c>
      <c r="AU2590" s="12" t="str">
        <f>HYPERLINK("https://www.google.iq/maps/search/+35.5037,44.8523/@35.5037,44.8523,14z?hl=en","Maplink2")</f>
        <v>Maplink2</v>
      </c>
      <c r="AV2590" s="12" t="str">
        <f>HYPERLINK("http://www.bing.com/maps/?lvl=14&amp;sty=h&amp;cp=35.5037~44.8523&amp;sp=point.35.5037_44.8523","Maplink3")</f>
        <v>Maplink3</v>
      </c>
    </row>
    <row r="2591" spans="1:48" ht="15" customHeight="1" x14ac:dyDescent="0.25">
      <c r="A2591" s="19">
        <v>24250</v>
      </c>
      <c r="B2591" s="20" t="s">
        <v>24</v>
      </c>
      <c r="C2591" s="20" t="s">
        <v>4489</v>
      </c>
      <c r="D2591" s="20" t="s">
        <v>4539</v>
      </c>
      <c r="E2591" s="20" t="s">
        <v>4540</v>
      </c>
      <c r="F2591" s="20">
        <v>35.502995409999997</v>
      </c>
      <c r="G2591" s="20">
        <v>44.841294750000003</v>
      </c>
      <c r="H2591" s="22">
        <v>16</v>
      </c>
      <c r="I2591" s="22">
        <v>96</v>
      </c>
      <c r="J2591" s="21">
        <v>5</v>
      </c>
      <c r="K2591" s="21">
        <v>1</v>
      </c>
      <c r="L2591" s="21"/>
      <c r="M2591" s="21"/>
      <c r="N2591" s="21"/>
      <c r="O2591" s="21">
        <v>1</v>
      </c>
      <c r="P2591" s="21"/>
      <c r="Q2591" s="21"/>
      <c r="R2591" s="21">
        <v>4</v>
      </c>
      <c r="S2591" s="21"/>
      <c r="T2591" s="21"/>
      <c r="U2591" s="21"/>
      <c r="V2591" s="21"/>
      <c r="W2591" s="21"/>
      <c r="X2591" s="21">
        <v>5</v>
      </c>
      <c r="Y2591" s="21"/>
      <c r="Z2591" s="21"/>
      <c r="AA2591" s="21"/>
      <c r="AB2591" s="21"/>
      <c r="AC2591" s="21"/>
      <c r="AD2591" s="21"/>
      <c r="AE2591" s="21"/>
      <c r="AF2591" s="21"/>
      <c r="AG2591" s="21"/>
      <c r="AH2591" s="21">
        <v>16</v>
      </c>
      <c r="AI2591" s="21"/>
      <c r="AJ2591" s="21"/>
      <c r="AK2591" s="21"/>
      <c r="AL2591" s="21">
        <v>1</v>
      </c>
      <c r="AM2591" s="21">
        <v>5</v>
      </c>
      <c r="AN2591" s="21"/>
      <c r="AO2591" s="21">
        <v>3</v>
      </c>
      <c r="AP2591" s="21"/>
      <c r="AQ2591" s="21"/>
      <c r="AR2591" s="21"/>
      <c r="AS2591" s="21">
        <v>7</v>
      </c>
      <c r="AT2591" s="12" t="str">
        <f>HYPERLINK("http://www.openstreetmap.org/?mlat=35.503&amp;mlon=44.8413&amp;zoom=12#map=12/35.503/44.8413","Maplink1")</f>
        <v>Maplink1</v>
      </c>
      <c r="AU2591" s="12" t="str">
        <f>HYPERLINK("https://www.google.iq/maps/search/+35.503,44.8413/@35.503,44.8413,14z?hl=en","Maplink2")</f>
        <v>Maplink2</v>
      </c>
      <c r="AV2591" s="12" t="str">
        <f>HYPERLINK("http://www.bing.com/maps/?lvl=14&amp;sty=h&amp;cp=35.503~44.8413&amp;sp=point.35.503_44.8413","Maplink3")</f>
        <v>Maplink3</v>
      </c>
    </row>
    <row r="2592" spans="1:48" ht="15" customHeight="1" x14ac:dyDescent="0.25">
      <c r="A2592" s="19">
        <v>31933</v>
      </c>
      <c r="B2592" s="20" t="s">
        <v>24</v>
      </c>
      <c r="C2592" s="20" t="s">
        <v>4489</v>
      </c>
      <c r="D2592" s="20" t="s">
        <v>4541</v>
      </c>
      <c r="E2592" s="20" t="s">
        <v>4542</v>
      </c>
      <c r="F2592" s="20">
        <v>35.285209999999999</v>
      </c>
      <c r="G2592" s="20">
        <v>45.172359999999998</v>
      </c>
      <c r="H2592" s="22">
        <v>16</v>
      </c>
      <c r="I2592" s="22">
        <v>96</v>
      </c>
      <c r="J2592" s="21"/>
      <c r="K2592" s="21"/>
      <c r="L2592" s="21"/>
      <c r="M2592" s="21"/>
      <c r="N2592" s="21"/>
      <c r="O2592" s="21">
        <v>8</v>
      </c>
      <c r="P2592" s="21"/>
      <c r="Q2592" s="21"/>
      <c r="R2592" s="21"/>
      <c r="S2592" s="21"/>
      <c r="T2592" s="21"/>
      <c r="U2592" s="21"/>
      <c r="V2592" s="21">
        <v>1</v>
      </c>
      <c r="W2592" s="21"/>
      <c r="X2592" s="21">
        <v>7</v>
      </c>
      <c r="Y2592" s="21"/>
      <c r="Z2592" s="21"/>
      <c r="AA2592" s="21"/>
      <c r="AB2592" s="21"/>
      <c r="AC2592" s="21"/>
      <c r="AD2592" s="21"/>
      <c r="AE2592" s="21"/>
      <c r="AF2592" s="21"/>
      <c r="AG2592" s="21"/>
      <c r="AH2592" s="21">
        <v>16</v>
      </c>
      <c r="AI2592" s="21"/>
      <c r="AJ2592" s="21"/>
      <c r="AK2592" s="21"/>
      <c r="AL2592" s="21"/>
      <c r="AM2592" s="21">
        <v>2</v>
      </c>
      <c r="AN2592" s="21">
        <v>3</v>
      </c>
      <c r="AO2592" s="21"/>
      <c r="AP2592" s="21">
        <v>4</v>
      </c>
      <c r="AQ2592" s="21">
        <v>2</v>
      </c>
      <c r="AR2592" s="21"/>
      <c r="AS2592" s="21">
        <v>5</v>
      </c>
      <c r="AT2592" s="12" t="str">
        <f>HYPERLINK("http://www.openstreetmap.org/?mlat=35.2852&amp;mlon=45.1724&amp;zoom=12#map=12/35.2852/45.1724","Maplink1")</f>
        <v>Maplink1</v>
      </c>
      <c r="AU2592" s="12" t="str">
        <f>HYPERLINK("https://www.google.iq/maps/search/+35.2852,45.1724/@35.2852,45.1724,14z?hl=en","Maplink2")</f>
        <v>Maplink2</v>
      </c>
      <c r="AV2592" s="12" t="str">
        <f>HYPERLINK("http://www.bing.com/maps/?lvl=14&amp;sty=h&amp;cp=35.2852~45.1724&amp;sp=point.35.2852_45.1724","Maplink3")</f>
        <v>Maplink3</v>
      </c>
    </row>
    <row r="2593" spans="1:48" ht="15" customHeight="1" x14ac:dyDescent="0.25">
      <c r="A2593" s="19">
        <v>20813</v>
      </c>
      <c r="B2593" s="20" t="s">
        <v>24</v>
      </c>
      <c r="C2593" s="20" t="s">
        <v>4489</v>
      </c>
      <c r="D2593" s="20" t="s">
        <v>4543</v>
      </c>
      <c r="E2593" s="20" t="s">
        <v>4544</v>
      </c>
      <c r="F2593" s="20">
        <v>35.510929249999997</v>
      </c>
      <c r="G2593" s="20">
        <v>44.838729129999997</v>
      </c>
      <c r="H2593" s="22">
        <v>33</v>
      </c>
      <c r="I2593" s="22">
        <v>198</v>
      </c>
      <c r="J2593" s="21">
        <v>14</v>
      </c>
      <c r="K2593" s="21">
        <v>1</v>
      </c>
      <c r="L2593" s="21">
        <v>1</v>
      </c>
      <c r="M2593" s="21"/>
      <c r="N2593" s="21"/>
      <c r="O2593" s="21">
        <v>1</v>
      </c>
      <c r="P2593" s="21"/>
      <c r="Q2593" s="21"/>
      <c r="R2593" s="21">
        <v>3</v>
      </c>
      <c r="S2593" s="21"/>
      <c r="T2593" s="21"/>
      <c r="U2593" s="21"/>
      <c r="V2593" s="21">
        <v>1</v>
      </c>
      <c r="W2593" s="21"/>
      <c r="X2593" s="21">
        <v>12</v>
      </c>
      <c r="Y2593" s="21"/>
      <c r="Z2593" s="21"/>
      <c r="AA2593" s="21"/>
      <c r="AB2593" s="21"/>
      <c r="AC2593" s="21"/>
      <c r="AD2593" s="21"/>
      <c r="AE2593" s="21"/>
      <c r="AF2593" s="21"/>
      <c r="AG2593" s="21"/>
      <c r="AH2593" s="21">
        <v>33</v>
      </c>
      <c r="AI2593" s="21"/>
      <c r="AJ2593" s="21"/>
      <c r="AK2593" s="21"/>
      <c r="AL2593" s="21">
        <v>2</v>
      </c>
      <c r="AM2593" s="21">
        <v>7</v>
      </c>
      <c r="AN2593" s="21">
        <v>3</v>
      </c>
      <c r="AO2593" s="21">
        <v>2</v>
      </c>
      <c r="AP2593" s="21">
        <v>2</v>
      </c>
      <c r="AQ2593" s="21"/>
      <c r="AR2593" s="21">
        <v>2</v>
      </c>
      <c r="AS2593" s="21">
        <v>15</v>
      </c>
      <c r="AT2593" s="12" t="str">
        <f>HYPERLINK("http://www.openstreetmap.org/?mlat=35.5109&amp;mlon=44.8387&amp;zoom=12#map=12/35.5109/44.8387","Maplink1")</f>
        <v>Maplink1</v>
      </c>
      <c r="AU2593" s="12" t="str">
        <f>HYPERLINK("https://www.google.iq/maps/search/+35.5109,44.8387/@35.5109,44.8387,14z?hl=en","Maplink2")</f>
        <v>Maplink2</v>
      </c>
      <c r="AV2593" s="12" t="str">
        <f>HYPERLINK("http://www.bing.com/maps/?lvl=14&amp;sty=h&amp;cp=35.5109~44.8387&amp;sp=point.35.5109_44.8387","Maplink3")</f>
        <v>Maplink3</v>
      </c>
    </row>
    <row r="2594" spans="1:48" ht="15" customHeight="1" x14ac:dyDescent="0.25">
      <c r="A2594" s="19">
        <v>3410</v>
      </c>
      <c r="B2594" s="20" t="s">
        <v>24</v>
      </c>
      <c r="C2594" s="20" t="s">
        <v>4489</v>
      </c>
      <c r="D2594" s="20" t="s">
        <v>5893</v>
      </c>
      <c r="E2594" s="20" t="s">
        <v>5894</v>
      </c>
      <c r="F2594" s="20">
        <v>35.24691</v>
      </c>
      <c r="G2594" s="20">
        <v>45.155859999999997</v>
      </c>
      <c r="H2594" s="22">
        <v>5</v>
      </c>
      <c r="I2594" s="22">
        <v>30</v>
      </c>
      <c r="J2594" s="21"/>
      <c r="K2594" s="21"/>
      <c r="L2594" s="21"/>
      <c r="M2594" s="21"/>
      <c r="N2594" s="21"/>
      <c r="O2594" s="21">
        <v>2</v>
      </c>
      <c r="P2594" s="21"/>
      <c r="Q2594" s="21"/>
      <c r="R2594" s="21">
        <v>1</v>
      </c>
      <c r="S2594" s="21"/>
      <c r="T2594" s="21"/>
      <c r="U2594" s="21"/>
      <c r="V2594" s="21">
        <v>2</v>
      </c>
      <c r="W2594" s="21"/>
      <c r="X2594" s="21"/>
      <c r="Y2594" s="21"/>
      <c r="Z2594" s="21"/>
      <c r="AA2594" s="21"/>
      <c r="AB2594" s="21"/>
      <c r="AC2594" s="21"/>
      <c r="AD2594" s="21"/>
      <c r="AE2594" s="21"/>
      <c r="AF2594" s="21"/>
      <c r="AG2594" s="21"/>
      <c r="AH2594" s="21">
        <v>5</v>
      </c>
      <c r="AI2594" s="21"/>
      <c r="AJ2594" s="21"/>
      <c r="AK2594" s="21"/>
      <c r="AL2594" s="21"/>
      <c r="AM2594" s="21">
        <v>1</v>
      </c>
      <c r="AN2594" s="21"/>
      <c r="AO2594" s="21"/>
      <c r="AP2594" s="21">
        <v>1</v>
      </c>
      <c r="AQ2594" s="21">
        <v>1</v>
      </c>
      <c r="AR2594" s="21">
        <v>2</v>
      </c>
      <c r="AS2594" s="21"/>
      <c r="AT2594" s="12" t="str">
        <f>HYPERLINK("http://www.openstreetmap.org/?mlat=35.2469&amp;mlon=45.1559&amp;zoom=12#map=12/35.2469/45.1559","Maplink1")</f>
        <v>Maplink1</v>
      </c>
      <c r="AU2594" s="12" t="str">
        <f>HYPERLINK("https://www.google.iq/maps/search/+35.2469,45.1559/@35.2469,45.1559,14z?hl=en","Maplink2")</f>
        <v>Maplink2</v>
      </c>
      <c r="AV2594" s="12" t="str">
        <f>HYPERLINK("http://www.bing.com/maps/?lvl=14&amp;sty=h&amp;cp=35.2469~45.1559&amp;sp=point.35.2469_45.1559","Maplink3")</f>
        <v>Maplink3</v>
      </c>
    </row>
    <row r="2595" spans="1:48" ht="15" customHeight="1" x14ac:dyDescent="0.25">
      <c r="A2595" s="19">
        <v>21719</v>
      </c>
      <c r="B2595" s="20" t="s">
        <v>24</v>
      </c>
      <c r="C2595" s="20" t="s">
        <v>4489</v>
      </c>
      <c r="D2595" s="20" t="s">
        <v>2064</v>
      </c>
      <c r="E2595" s="20" t="s">
        <v>2065</v>
      </c>
      <c r="F2595" s="20">
        <v>35.745570000000001</v>
      </c>
      <c r="G2595" s="20">
        <v>44.89913</v>
      </c>
      <c r="H2595" s="22">
        <v>3</v>
      </c>
      <c r="I2595" s="22">
        <v>18</v>
      </c>
      <c r="J2595" s="21"/>
      <c r="K2595" s="21"/>
      <c r="L2595" s="21">
        <v>2</v>
      </c>
      <c r="M2595" s="21"/>
      <c r="N2595" s="21"/>
      <c r="O2595" s="21"/>
      <c r="P2595" s="21"/>
      <c r="Q2595" s="21"/>
      <c r="R2595" s="21"/>
      <c r="S2595" s="21"/>
      <c r="T2595" s="21"/>
      <c r="U2595" s="21"/>
      <c r="V2595" s="21"/>
      <c r="W2595" s="21"/>
      <c r="X2595" s="21">
        <v>1</v>
      </c>
      <c r="Y2595" s="21"/>
      <c r="Z2595" s="21"/>
      <c r="AA2595" s="21"/>
      <c r="AB2595" s="21"/>
      <c r="AC2595" s="21"/>
      <c r="AD2595" s="21"/>
      <c r="AE2595" s="21"/>
      <c r="AF2595" s="21"/>
      <c r="AG2595" s="21"/>
      <c r="AH2595" s="21">
        <v>3</v>
      </c>
      <c r="AI2595" s="21"/>
      <c r="AJ2595" s="21"/>
      <c r="AK2595" s="21"/>
      <c r="AL2595" s="21"/>
      <c r="AM2595" s="21">
        <v>3</v>
      </c>
      <c r="AN2595" s="21"/>
      <c r="AO2595" s="21"/>
      <c r="AP2595" s="21"/>
      <c r="AQ2595" s="21"/>
      <c r="AR2595" s="21"/>
      <c r="AS2595" s="21"/>
      <c r="AT2595" s="12" t="str">
        <f>HYPERLINK("http://www.openstreetmap.org/?mlat=35.7456&amp;mlon=44.8991&amp;zoom=12#map=12/35.7456/44.8991","Maplink1")</f>
        <v>Maplink1</v>
      </c>
      <c r="AU2595" s="12" t="str">
        <f>HYPERLINK("https://www.google.iq/maps/search/+35.7456,44.8991/@35.7456,44.8991,14z?hl=en","Maplink2")</f>
        <v>Maplink2</v>
      </c>
      <c r="AV2595" s="12" t="str">
        <f>HYPERLINK("http://www.bing.com/maps/?lvl=14&amp;sty=h&amp;cp=35.7456~44.8991&amp;sp=point.35.7456_44.8991","Maplink3")</f>
        <v>Maplink3</v>
      </c>
    </row>
    <row r="2596" spans="1:48" ht="15" customHeight="1" x14ac:dyDescent="0.25">
      <c r="A2596" s="19">
        <v>31934</v>
      </c>
      <c r="B2596" s="20" t="s">
        <v>24</v>
      </c>
      <c r="C2596" s="20" t="s">
        <v>4489</v>
      </c>
      <c r="D2596" s="20" t="s">
        <v>4545</v>
      </c>
      <c r="E2596" s="20" t="s">
        <v>2740</v>
      </c>
      <c r="F2596" s="20">
        <v>35.285110000000003</v>
      </c>
      <c r="G2596" s="20">
        <v>45.183750000000003</v>
      </c>
      <c r="H2596" s="22">
        <v>2</v>
      </c>
      <c r="I2596" s="22">
        <v>12</v>
      </c>
      <c r="J2596" s="21"/>
      <c r="K2596" s="21"/>
      <c r="L2596" s="21"/>
      <c r="M2596" s="21"/>
      <c r="N2596" s="21"/>
      <c r="O2596" s="21"/>
      <c r="P2596" s="21"/>
      <c r="Q2596" s="21"/>
      <c r="R2596" s="21">
        <v>1</v>
      </c>
      <c r="S2596" s="21"/>
      <c r="T2596" s="21"/>
      <c r="U2596" s="21"/>
      <c r="V2596" s="21"/>
      <c r="W2596" s="21"/>
      <c r="X2596" s="21">
        <v>1</v>
      </c>
      <c r="Y2596" s="21"/>
      <c r="Z2596" s="21"/>
      <c r="AA2596" s="21"/>
      <c r="AB2596" s="21"/>
      <c r="AC2596" s="21"/>
      <c r="AD2596" s="21"/>
      <c r="AE2596" s="21"/>
      <c r="AF2596" s="21"/>
      <c r="AG2596" s="21"/>
      <c r="AH2596" s="21">
        <v>2</v>
      </c>
      <c r="AI2596" s="21"/>
      <c r="AJ2596" s="21"/>
      <c r="AK2596" s="21"/>
      <c r="AL2596" s="21"/>
      <c r="AM2596" s="21"/>
      <c r="AN2596" s="21"/>
      <c r="AO2596" s="21"/>
      <c r="AP2596" s="21"/>
      <c r="AQ2596" s="21"/>
      <c r="AR2596" s="21"/>
      <c r="AS2596" s="21">
        <v>2</v>
      </c>
      <c r="AT2596" s="12" t="str">
        <f>HYPERLINK("http://www.openstreetmap.org/?mlat=35.2851&amp;mlon=45.1838&amp;zoom=12#map=12/35.2851/45.1838","Maplink1")</f>
        <v>Maplink1</v>
      </c>
      <c r="AU2596" s="12" t="str">
        <f>HYPERLINK("https://www.google.iq/maps/search/+35.2851,45.1838/@35.2851,45.1838,14z?hl=en","Maplink2")</f>
        <v>Maplink2</v>
      </c>
      <c r="AV2596" s="12" t="str">
        <f>HYPERLINK("http://www.bing.com/maps/?lvl=14&amp;sty=h&amp;cp=35.2851~45.1838&amp;sp=point.35.2851_45.1838","Maplink3")</f>
        <v>Maplink3</v>
      </c>
    </row>
    <row r="2597" spans="1:48" ht="15" customHeight="1" x14ac:dyDescent="0.25">
      <c r="A2597" s="19">
        <v>5012</v>
      </c>
      <c r="B2597" s="20" t="s">
        <v>24</v>
      </c>
      <c r="C2597" s="20" t="s">
        <v>4489</v>
      </c>
      <c r="D2597" s="20" t="s">
        <v>4546</v>
      </c>
      <c r="E2597" s="20" t="s">
        <v>4547</v>
      </c>
      <c r="F2597" s="20">
        <v>35.748690000000003</v>
      </c>
      <c r="G2597" s="20">
        <v>44.879649999999998</v>
      </c>
      <c r="H2597" s="22">
        <v>8</v>
      </c>
      <c r="I2597" s="22">
        <v>48</v>
      </c>
      <c r="J2597" s="21">
        <v>1</v>
      </c>
      <c r="K2597" s="21">
        <v>1</v>
      </c>
      <c r="L2597" s="21">
        <v>1</v>
      </c>
      <c r="M2597" s="21"/>
      <c r="N2597" s="21"/>
      <c r="O2597" s="21"/>
      <c r="P2597" s="21"/>
      <c r="Q2597" s="21"/>
      <c r="R2597" s="21"/>
      <c r="S2597" s="21"/>
      <c r="T2597" s="21"/>
      <c r="U2597" s="21"/>
      <c r="V2597" s="21">
        <v>2</v>
      </c>
      <c r="W2597" s="21"/>
      <c r="X2597" s="21">
        <v>3</v>
      </c>
      <c r="Y2597" s="21"/>
      <c r="Z2597" s="21"/>
      <c r="AA2597" s="21"/>
      <c r="AB2597" s="21"/>
      <c r="AC2597" s="21"/>
      <c r="AD2597" s="21"/>
      <c r="AE2597" s="21"/>
      <c r="AF2597" s="21"/>
      <c r="AG2597" s="21"/>
      <c r="AH2597" s="21">
        <v>8</v>
      </c>
      <c r="AI2597" s="21"/>
      <c r="AJ2597" s="21"/>
      <c r="AK2597" s="21"/>
      <c r="AL2597" s="21"/>
      <c r="AM2597" s="21"/>
      <c r="AN2597" s="21">
        <v>2</v>
      </c>
      <c r="AO2597" s="21">
        <v>2</v>
      </c>
      <c r="AP2597" s="21"/>
      <c r="AQ2597" s="21">
        <v>1</v>
      </c>
      <c r="AR2597" s="21">
        <v>2</v>
      </c>
      <c r="AS2597" s="21">
        <v>1</v>
      </c>
      <c r="AT2597" s="12" t="str">
        <f>HYPERLINK("http://www.openstreetmap.org/?mlat=35.7487&amp;mlon=44.8796&amp;zoom=12#map=12/35.7487/44.8796","Maplink1")</f>
        <v>Maplink1</v>
      </c>
      <c r="AU2597" s="12" t="str">
        <f>HYPERLINK("https://www.google.iq/maps/search/+35.7487,44.8796/@35.7487,44.8796,14z?hl=en","Maplink2")</f>
        <v>Maplink2</v>
      </c>
      <c r="AV2597" s="12" t="str">
        <f>HYPERLINK("http://www.bing.com/maps/?lvl=14&amp;sty=h&amp;cp=35.7487~44.8796&amp;sp=point.35.7487_44.8796","Maplink3")</f>
        <v>Maplink3</v>
      </c>
    </row>
    <row r="2598" spans="1:48" ht="15" customHeight="1" x14ac:dyDescent="0.25">
      <c r="A2598" s="19">
        <v>25573</v>
      </c>
      <c r="B2598" s="20" t="s">
        <v>24</v>
      </c>
      <c r="C2598" s="20" t="s">
        <v>4489</v>
      </c>
      <c r="D2598" s="20" t="s">
        <v>4548</v>
      </c>
      <c r="E2598" s="20" t="s">
        <v>4549</v>
      </c>
      <c r="F2598" s="20">
        <v>35.514957129999999</v>
      </c>
      <c r="G2598" s="20">
        <v>44.840086130000003</v>
      </c>
      <c r="H2598" s="22">
        <v>2</v>
      </c>
      <c r="I2598" s="22">
        <v>12</v>
      </c>
      <c r="J2598" s="21">
        <v>1</v>
      </c>
      <c r="K2598" s="21"/>
      <c r="L2598" s="21">
        <v>1</v>
      </c>
      <c r="M2598" s="21"/>
      <c r="N2598" s="21"/>
      <c r="O2598" s="21"/>
      <c r="P2598" s="21"/>
      <c r="Q2598" s="21"/>
      <c r="R2598" s="21"/>
      <c r="S2598" s="21"/>
      <c r="T2598" s="21"/>
      <c r="U2598" s="21"/>
      <c r="V2598" s="21"/>
      <c r="W2598" s="21"/>
      <c r="X2598" s="21"/>
      <c r="Y2598" s="21"/>
      <c r="Z2598" s="21"/>
      <c r="AA2598" s="21"/>
      <c r="AB2598" s="21"/>
      <c r="AC2598" s="21"/>
      <c r="AD2598" s="21"/>
      <c r="AE2598" s="21"/>
      <c r="AF2598" s="21"/>
      <c r="AG2598" s="21"/>
      <c r="AH2598" s="21">
        <v>2</v>
      </c>
      <c r="AI2598" s="21"/>
      <c r="AJ2598" s="21"/>
      <c r="AK2598" s="21"/>
      <c r="AL2598" s="21">
        <v>1</v>
      </c>
      <c r="AM2598" s="21">
        <v>1</v>
      </c>
      <c r="AN2598" s="21"/>
      <c r="AO2598" s="21"/>
      <c r="AP2598" s="21"/>
      <c r="AQ2598" s="21"/>
      <c r="AR2598" s="21"/>
      <c r="AS2598" s="21"/>
      <c r="AT2598" s="12" t="str">
        <f>HYPERLINK("http://www.openstreetmap.org/?mlat=35.515&amp;mlon=44.8401&amp;zoom=12#map=12/35.515/44.8401","Maplink1")</f>
        <v>Maplink1</v>
      </c>
      <c r="AU2598" s="12" t="str">
        <f>HYPERLINK("https://www.google.iq/maps/search/+35.515,44.8401/@35.515,44.8401,14z?hl=en","Maplink2")</f>
        <v>Maplink2</v>
      </c>
      <c r="AV2598" s="12" t="str">
        <f>HYPERLINK("http://www.bing.com/maps/?lvl=14&amp;sty=h&amp;cp=35.515~44.8401&amp;sp=point.35.515_44.8401","Maplink3")</f>
        <v>Maplink3</v>
      </c>
    </row>
    <row r="2599" spans="1:48" ht="15" customHeight="1" x14ac:dyDescent="0.25">
      <c r="A2599" s="19">
        <v>24811</v>
      </c>
      <c r="B2599" s="20" t="s">
        <v>24</v>
      </c>
      <c r="C2599" s="20" t="s">
        <v>4489</v>
      </c>
      <c r="D2599" s="20" t="s">
        <v>4550</v>
      </c>
      <c r="E2599" s="20" t="s">
        <v>4551</v>
      </c>
      <c r="F2599" s="20">
        <v>35.62101268</v>
      </c>
      <c r="G2599" s="20">
        <v>44.965688810000003</v>
      </c>
      <c r="H2599" s="22">
        <v>22</v>
      </c>
      <c r="I2599" s="22">
        <v>132</v>
      </c>
      <c r="J2599" s="21">
        <v>1</v>
      </c>
      <c r="K2599" s="21">
        <v>1</v>
      </c>
      <c r="L2599" s="21">
        <v>1</v>
      </c>
      <c r="M2599" s="21"/>
      <c r="N2599" s="21"/>
      <c r="O2599" s="21"/>
      <c r="P2599" s="21"/>
      <c r="Q2599" s="21"/>
      <c r="R2599" s="21">
        <v>10</v>
      </c>
      <c r="S2599" s="21"/>
      <c r="T2599" s="21"/>
      <c r="U2599" s="21"/>
      <c r="V2599" s="21">
        <v>5</v>
      </c>
      <c r="W2599" s="21"/>
      <c r="X2599" s="21">
        <v>4</v>
      </c>
      <c r="Y2599" s="21"/>
      <c r="Z2599" s="21"/>
      <c r="AA2599" s="21"/>
      <c r="AB2599" s="21"/>
      <c r="AC2599" s="21"/>
      <c r="AD2599" s="21"/>
      <c r="AE2599" s="21"/>
      <c r="AF2599" s="21"/>
      <c r="AG2599" s="21"/>
      <c r="AH2599" s="21">
        <v>22</v>
      </c>
      <c r="AI2599" s="21"/>
      <c r="AJ2599" s="21"/>
      <c r="AK2599" s="21"/>
      <c r="AL2599" s="21"/>
      <c r="AM2599" s="21"/>
      <c r="AN2599" s="21">
        <v>3</v>
      </c>
      <c r="AO2599" s="21">
        <v>5</v>
      </c>
      <c r="AP2599" s="21">
        <v>1</v>
      </c>
      <c r="AQ2599" s="21">
        <v>2</v>
      </c>
      <c r="AR2599" s="21">
        <v>2</v>
      </c>
      <c r="AS2599" s="21">
        <v>9</v>
      </c>
      <c r="AT2599" s="12" t="str">
        <f>HYPERLINK("http://www.openstreetmap.org/?mlat=35.621&amp;mlon=44.9657&amp;zoom=12#map=12/35.621/44.9657","Maplink1")</f>
        <v>Maplink1</v>
      </c>
      <c r="AU2599" s="12" t="str">
        <f>HYPERLINK("https://www.google.iq/maps/search/+35.621,44.9657/@35.621,44.9657,14z?hl=en","Maplink2")</f>
        <v>Maplink2</v>
      </c>
      <c r="AV2599" s="12" t="str">
        <f>HYPERLINK("http://www.bing.com/maps/?lvl=14&amp;sty=h&amp;cp=35.621~44.9657&amp;sp=point.35.621_44.9657","Maplink3")</f>
        <v>Maplink3</v>
      </c>
    </row>
    <row r="2600" spans="1:48" ht="15" customHeight="1" x14ac:dyDescent="0.25">
      <c r="A2600" s="19">
        <v>24813</v>
      </c>
      <c r="B2600" s="20" t="s">
        <v>24</v>
      </c>
      <c r="C2600" s="20" t="s">
        <v>4489</v>
      </c>
      <c r="D2600" s="20" t="s">
        <v>4552</v>
      </c>
      <c r="E2600" s="20" t="s">
        <v>4553</v>
      </c>
      <c r="F2600" s="20">
        <v>35.625428290000002</v>
      </c>
      <c r="G2600" s="20">
        <v>44.954243150000003</v>
      </c>
      <c r="H2600" s="22">
        <v>40</v>
      </c>
      <c r="I2600" s="22">
        <v>240</v>
      </c>
      <c r="J2600" s="21">
        <v>4</v>
      </c>
      <c r="K2600" s="21"/>
      <c r="L2600" s="21">
        <v>8</v>
      </c>
      <c r="M2600" s="21"/>
      <c r="N2600" s="21"/>
      <c r="O2600" s="21">
        <v>3</v>
      </c>
      <c r="P2600" s="21"/>
      <c r="Q2600" s="21"/>
      <c r="R2600" s="21"/>
      <c r="S2600" s="21"/>
      <c r="T2600" s="21"/>
      <c r="U2600" s="21"/>
      <c r="V2600" s="21">
        <v>10</v>
      </c>
      <c r="W2600" s="21"/>
      <c r="X2600" s="21">
        <v>15</v>
      </c>
      <c r="Y2600" s="21"/>
      <c r="Z2600" s="21"/>
      <c r="AA2600" s="21"/>
      <c r="AB2600" s="21"/>
      <c r="AC2600" s="21"/>
      <c r="AD2600" s="21"/>
      <c r="AE2600" s="21"/>
      <c r="AF2600" s="21"/>
      <c r="AG2600" s="21"/>
      <c r="AH2600" s="21">
        <v>40</v>
      </c>
      <c r="AI2600" s="21"/>
      <c r="AJ2600" s="21"/>
      <c r="AK2600" s="21"/>
      <c r="AL2600" s="21"/>
      <c r="AM2600" s="21">
        <v>1</v>
      </c>
      <c r="AN2600" s="21">
        <v>4</v>
      </c>
      <c r="AO2600" s="21">
        <v>2</v>
      </c>
      <c r="AP2600" s="21">
        <v>3</v>
      </c>
      <c r="AQ2600" s="21">
        <v>7</v>
      </c>
      <c r="AR2600" s="21">
        <v>17</v>
      </c>
      <c r="AS2600" s="21">
        <v>6</v>
      </c>
      <c r="AT2600" s="12" t="str">
        <f>HYPERLINK("http://www.openstreetmap.org/?mlat=35.6254&amp;mlon=44.9542&amp;zoom=12#map=12/35.6254/44.9542","Maplink1")</f>
        <v>Maplink1</v>
      </c>
      <c r="AU2600" s="12" t="str">
        <f>HYPERLINK("https://www.google.iq/maps/search/+35.6254,44.9542/@35.6254,44.9542,14z?hl=en","Maplink2")</f>
        <v>Maplink2</v>
      </c>
      <c r="AV2600" s="12" t="str">
        <f>HYPERLINK("http://www.bing.com/maps/?lvl=14&amp;sty=h&amp;cp=35.6254~44.9542&amp;sp=point.35.6254_44.9542","Maplink3")</f>
        <v>Maplink3</v>
      </c>
    </row>
    <row r="2601" spans="1:48" ht="15" customHeight="1" x14ac:dyDescent="0.25">
      <c r="A2601" s="19">
        <v>24810</v>
      </c>
      <c r="B2601" s="20" t="s">
        <v>24</v>
      </c>
      <c r="C2601" s="20" t="s">
        <v>4489</v>
      </c>
      <c r="D2601" s="20" t="s">
        <v>4554</v>
      </c>
      <c r="E2601" s="20" t="s">
        <v>4555</v>
      </c>
      <c r="F2601" s="20">
        <v>35.623248619999998</v>
      </c>
      <c r="G2601" s="20">
        <v>44.961905119999997</v>
      </c>
      <c r="H2601" s="22">
        <v>16</v>
      </c>
      <c r="I2601" s="22">
        <v>96</v>
      </c>
      <c r="J2601" s="21">
        <v>3</v>
      </c>
      <c r="K2601" s="21"/>
      <c r="L2601" s="21">
        <v>2</v>
      </c>
      <c r="M2601" s="21"/>
      <c r="N2601" s="21"/>
      <c r="O2601" s="21">
        <v>1</v>
      </c>
      <c r="P2601" s="21"/>
      <c r="Q2601" s="21"/>
      <c r="R2601" s="21">
        <v>1</v>
      </c>
      <c r="S2601" s="21"/>
      <c r="T2601" s="21"/>
      <c r="U2601" s="21"/>
      <c r="V2601" s="21">
        <v>5</v>
      </c>
      <c r="W2601" s="21"/>
      <c r="X2601" s="21">
        <v>4</v>
      </c>
      <c r="Y2601" s="21"/>
      <c r="Z2601" s="21"/>
      <c r="AA2601" s="21"/>
      <c r="AB2601" s="21"/>
      <c r="AC2601" s="21"/>
      <c r="AD2601" s="21"/>
      <c r="AE2601" s="21"/>
      <c r="AF2601" s="21"/>
      <c r="AG2601" s="21"/>
      <c r="AH2601" s="21">
        <v>16</v>
      </c>
      <c r="AI2601" s="21"/>
      <c r="AJ2601" s="21"/>
      <c r="AK2601" s="21"/>
      <c r="AL2601" s="21"/>
      <c r="AM2601" s="21"/>
      <c r="AN2601" s="21">
        <v>4</v>
      </c>
      <c r="AO2601" s="21">
        <v>4</v>
      </c>
      <c r="AP2601" s="21">
        <v>6</v>
      </c>
      <c r="AQ2601" s="21"/>
      <c r="AR2601" s="21"/>
      <c r="AS2601" s="21">
        <v>2</v>
      </c>
      <c r="AT2601" s="12" t="str">
        <f>HYPERLINK("http://www.openstreetmap.org/?mlat=35.6232&amp;mlon=44.9619&amp;zoom=12#map=12/35.6232/44.9619","Maplink1")</f>
        <v>Maplink1</v>
      </c>
      <c r="AU2601" s="12" t="str">
        <f>HYPERLINK("https://www.google.iq/maps/search/+35.6232,44.9619/@35.6232,44.9619,14z?hl=en","Maplink2")</f>
        <v>Maplink2</v>
      </c>
      <c r="AV2601" s="12" t="str">
        <f>HYPERLINK("http://www.bing.com/maps/?lvl=14&amp;sty=h&amp;cp=35.6232~44.9619&amp;sp=point.35.6232_44.9619","Maplink3")</f>
        <v>Maplink3</v>
      </c>
    </row>
    <row r="2602" spans="1:48" ht="15" customHeight="1" x14ac:dyDescent="0.25">
      <c r="A2602" s="19">
        <v>24812</v>
      </c>
      <c r="B2602" s="20" t="s">
        <v>24</v>
      </c>
      <c r="C2602" s="20" t="s">
        <v>4489</v>
      </c>
      <c r="D2602" s="20" t="s">
        <v>4556</v>
      </c>
      <c r="E2602" s="20" t="s">
        <v>4557</v>
      </c>
      <c r="F2602" s="20">
        <v>35.626188859999999</v>
      </c>
      <c r="G2602" s="20">
        <v>44.957473370000002</v>
      </c>
      <c r="H2602" s="22">
        <v>9</v>
      </c>
      <c r="I2602" s="22">
        <v>54</v>
      </c>
      <c r="J2602" s="21"/>
      <c r="K2602" s="21"/>
      <c r="L2602" s="21">
        <v>2</v>
      </c>
      <c r="M2602" s="21"/>
      <c r="N2602" s="21"/>
      <c r="O2602" s="21">
        <v>1</v>
      </c>
      <c r="P2602" s="21"/>
      <c r="Q2602" s="21"/>
      <c r="R2602" s="21"/>
      <c r="S2602" s="21"/>
      <c r="T2602" s="21"/>
      <c r="U2602" s="21"/>
      <c r="V2602" s="21">
        <v>5</v>
      </c>
      <c r="W2602" s="21"/>
      <c r="X2602" s="21">
        <v>1</v>
      </c>
      <c r="Y2602" s="21"/>
      <c r="Z2602" s="21"/>
      <c r="AA2602" s="21"/>
      <c r="AB2602" s="21"/>
      <c r="AC2602" s="21"/>
      <c r="AD2602" s="21"/>
      <c r="AE2602" s="21"/>
      <c r="AF2602" s="21"/>
      <c r="AG2602" s="21"/>
      <c r="AH2602" s="21">
        <v>9</v>
      </c>
      <c r="AI2602" s="21"/>
      <c r="AJ2602" s="21"/>
      <c r="AK2602" s="21"/>
      <c r="AL2602" s="21"/>
      <c r="AM2602" s="21">
        <v>2</v>
      </c>
      <c r="AN2602" s="21">
        <v>1</v>
      </c>
      <c r="AO2602" s="21">
        <v>6</v>
      </c>
      <c r="AP2602" s="21"/>
      <c r="AQ2602" s="21"/>
      <c r="AR2602" s="21"/>
      <c r="AS2602" s="21"/>
      <c r="AT2602" s="12" t="str">
        <f>HYPERLINK("http://www.openstreetmap.org/?mlat=35.6262&amp;mlon=44.9575&amp;zoom=12#map=12/35.6262/44.9575","Maplink1")</f>
        <v>Maplink1</v>
      </c>
      <c r="AU2602" s="12" t="str">
        <f>HYPERLINK("https://www.google.iq/maps/search/+35.6262,44.9575/@35.6262,44.9575,14z?hl=en","Maplink2")</f>
        <v>Maplink2</v>
      </c>
      <c r="AV2602" s="12" t="str">
        <f>HYPERLINK("http://www.bing.com/maps/?lvl=14&amp;sty=h&amp;cp=35.6262~44.9575&amp;sp=point.35.6262_44.9575","Maplink3")</f>
        <v>Maplink3</v>
      </c>
    </row>
    <row r="2603" spans="1:48" ht="15" customHeight="1" x14ac:dyDescent="0.25">
      <c r="A2603" s="19">
        <v>5189</v>
      </c>
      <c r="B2603" s="20" t="s">
        <v>24</v>
      </c>
      <c r="C2603" s="20" t="s">
        <v>4489</v>
      </c>
      <c r="D2603" s="20" t="s">
        <v>4558</v>
      </c>
      <c r="E2603" s="20" t="s">
        <v>4559</v>
      </c>
      <c r="F2603" s="20">
        <v>35.724200000000003</v>
      </c>
      <c r="G2603" s="20">
        <v>44.874740000000003</v>
      </c>
      <c r="H2603" s="22">
        <v>5</v>
      </c>
      <c r="I2603" s="22">
        <v>30</v>
      </c>
      <c r="J2603" s="21"/>
      <c r="K2603" s="21"/>
      <c r="L2603" s="21">
        <v>3</v>
      </c>
      <c r="M2603" s="21"/>
      <c r="N2603" s="21"/>
      <c r="O2603" s="21"/>
      <c r="P2603" s="21"/>
      <c r="Q2603" s="21"/>
      <c r="R2603" s="21"/>
      <c r="S2603" s="21"/>
      <c r="T2603" s="21"/>
      <c r="U2603" s="21"/>
      <c r="V2603" s="21">
        <v>2</v>
      </c>
      <c r="W2603" s="21"/>
      <c r="X2603" s="21"/>
      <c r="Y2603" s="21"/>
      <c r="Z2603" s="21"/>
      <c r="AA2603" s="21"/>
      <c r="AB2603" s="21"/>
      <c r="AC2603" s="21"/>
      <c r="AD2603" s="21"/>
      <c r="AE2603" s="21"/>
      <c r="AF2603" s="21"/>
      <c r="AG2603" s="21"/>
      <c r="AH2603" s="21">
        <v>5</v>
      </c>
      <c r="AI2603" s="21"/>
      <c r="AJ2603" s="21"/>
      <c r="AK2603" s="21"/>
      <c r="AL2603" s="21"/>
      <c r="AM2603" s="21">
        <v>2</v>
      </c>
      <c r="AN2603" s="21"/>
      <c r="AO2603" s="21"/>
      <c r="AP2603" s="21">
        <v>1</v>
      </c>
      <c r="AQ2603" s="21"/>
      <c r="AR2603" s="21">
        <v>2</v>
      </c>
      <c r="AS2603" s="21"/>
      <c r="AT2603" s="12" t="str">
        <f>HYPERLINK("http://www.openstreetmap.org/?mlat=35.7242&amp;mlon=44.8747&amp;zoom=12#map=12/35.7242/44.8747","Maplink1")</f>
        <v>Maplink1</v>
      </c>
      <c r="AU2603" s="12" t="str">
        <f>HYPERLINK("https://www.google.iq/maps/search/+35.7242,44.8747/@35.7242,44.8747,14z?hl=en","Maplink2")</f>
        <v>Maplink2</v>
      </c>
      <c r="AV2603" s="12" t="str">
        <f>HYPERLINK("http://www.bing.com/maps/?lvl=14&amp;sty=h&amp;cp=35.7242~44.8747&amp;sp=point.35.7242_44.8747","Maplink3")</f>
        <v>Maplink3</v>
      </c>
    </row>
    <row r="2604" spans="1:48" ht="15" customHeight="1" x14ac:dyDescent="0.25">
      <c r="A2604" s="19">
        <v>5128</v>
      </c>
      <c r="B2604" s="20" t="s">
        <v>24</v>
      </c>
      <c r="C2604" s="20" t="s">
        <v>4560</v>
      </c>
      <c r="D2604" s="20" t="s">
        <v>6000</v>
      </c>
      <c r="E2604" s="20" t="s">
        <v>6001</v>
      </c>
      <c r="F2604" s="20">
        <v>35.203989999999997</v>
      </c>
      <c r="G2604" s="20">
        <v>45.724559999999997</v>
      </c>
      <c r="H2604" s="22">
        <v>5</v>
      </c>
      <c r="I2604" s="22">
        <v>30</v>
      </c>
      <c r="J2604" s="21"/>
      <c r="K2604" s="21"/>
      <c r="L2604" s="21"/>
      <c r="M2604" s="21"/>
      <c r="N2604" s="21"/>
      <c r="O2604" s="21">
        <v>5</v>
      </c>
      <c r="P2604" s="21"/>
      <c r="Q2604" s="21"/>
      <c r="R2604" s="21"/>
      <c r="S2604" s="21"/>
      <c r="T2604" s="21"/>
      <c r="U2604" s="21"/>
      <c r="V2604" s="21"/>
      <c r="W2604" s="21"/>
      <c r="X2604" s="21"/>
      <c r="Y2604" s="21"/>
      <c r="Z2604" s="21"/>
      <c r="AA2604" s="21"/>
      <c r="AB2604" s="21"/>
      <c r="AC2604" s="21"/>
      <c r="AD2604" s="21"/>
      <c r="AE2604" s="21"/>
      <c r="AF2604" s="21"/>
      <c r="AG2604" s="21"/>
      <c r="AH2604" s="21">
        <v>5</v>
      </c>
      <c r="AI2604" s="21"/>
      <c r="AJ2604" s="21"/>
      <c r="AK2604" s="21"/>
      <c r="AL2604" s="21"/>
      <c r="AM2604" s="21">
        <v>3</v>
      </c>
      <c r="AN2604" s="21"/>
      <c r="AO2604" s="21">
        <v>2</v>
      </c>
      <c r="AP2604" s="21"/>
      <c r="AQ2604" s="21"/>
      <c r="AR2604" s="21"/>
      <c r="AS2604" s="21"/>
      <c r="AT2604" s="12" t="str">
        <f>HYPERLINK("http://www.openstreetmap.org/?mlat=35.204&amp;mlon=45.7246&amp;zoom=12#map=12/35.204/45.7246","Maplink1")</f>
        <v>Maplink1</v>
      </c>
      <c r="AU2604" s="12" t="str">
        <f>HYPERLINK("https://www.google.iq/maps/search/+35.204,45.7246/@35.204,45.7246,14z?hl=en","Maplink2")</f>
        <v>Maplink2</v>
      </c>
      <c r="AV2604" s="12" t="str">
        <f>HYPERLINK("http://www.bing.com/maps/?lvl=14&amp;sty=h&amp;cp=35.204~45.7246&amp;sp=point.35.204_45.7246","Maplink3")</f>
        <v>Maplink3</v>
      </c>
    </row>
    <row r="2605" spans="1:48" ht="15" customHeight="1" x14ac:dyDescent="0.25">
      <c r="A2605" s="19">
        <v>33464</v>
      </c>
      <c r="B2605" s="20" t="s">
        <v>24</v>
      </c>
      <c r="C2605" s="20" t="s">
        <v>4560</v>
      </c>
      <c r="D2605" s="20" t="s">
        <v>6002</v>
      </c>
      <c r="E2605" s="20" t="s">
        <v>6003</v>
      </c>
      <c r="F2605" s="20">
        <v>35.018859999999997</v>
      </c>
      <c r="G2605" s="20">
        <v>45.589820000000003</v>
      </c>
      <c r="H2605" s="22">
        <v>6</v>
      </c>
      <c r="I2605" s="22">
        <v>36</v>
      </c>
      <c r="J2605" s="21"/>
      <c r="K2605" s="21"/>
      <c r="L2605" s="21"/>
      <c r="M2605" s="21"/>
      <c r="N2605" s="21"/>
      <c r="O2605" s="21">
        <v>5</v>
      </c>
      <c r="P2605" s="21"/>
      <c r="Q2605" s="21"/>
      <c r="R2605" s="21"/>
      <c r="S2605" s="21"/>
      <c r="T2605" s="21"/>
      <c r="U2605" s="21"/>
      <c r="V2605" s="21"/>
      <c r="W2605" s="21"/>
      <c r="X2605" s="21">
        <v>1</v>
      </c>
      <c r="Y2605" s="21"/>
      <c r="Z2605" s="21"/>
      <c r="AA2605" s="21"/>
      <c r="AB2605" s="21"/>
      <c r="AC2605" s="21"/>
      <c r="AD2605" s="21"/>
      <c r="AE2605" s="21"/>
      <c r="AF2605" s="21"/>
      <c r="AG2605" s="21"/>
      <c r="AH2605" s="21">
        <v>6</v>
      </c>
      <c r="AI2605" s="21"/>
      <c r="AJ2605" s="21"/>
      <c r="AK2605" s="21"/>
      <c r="AL2605" s="21"/>
      <c r="AM2605" s="21">
        <v>2</v>
      </c>
      <c r="AN2605" s="21"/>
      <c r="AO2605" s="21">
        <v>3</v>
      </c>
      <c r="AP2605" s="21"/>
      <c r="AQ2605" s="21"/>
      <c r="AR2605" s="21"/>
      <c r="AS2605" s="21">
        <v>1</v>
      </c>
      <c r="AT2605" s="12" t="str">
        <f>HYPERLINK("http://www.openstreetmap.org/?mlat=35.0189&amp;mlon=45.5898&amp;zoom=12#map=12/35.0189/45.5898","Maplink1")</f>
        <v>Maplink1</v>
      </c>
      <c r="AU2605" s="12" t="str">
        <f>HYPERLINK("https://www.google.iq/maps/search/+35.0189,45.5898/@35.0189,45.5898,14z?hl=en","Maplink2")</f>
        <v>Maplink2</v>
      </c>
      <c r="AV2605" s="12" t="str">
        <f>HYPERLINK("http://www.bing.com/maps/?lvl=14&amp;sty=h&amp;cp=35.0189~45.5898&amp;sp=point.35.0189_45.5898","Maplink3")</f>
        <v>Maplink3</v>
      </c>
    </row>
    <row r="2606" spans="1:48" ht="15" customHeight="1" x14ac:dyDescent="0.25">
      <c r="A2606" s="19">
        <v>24253</v>
      </c>
      <c r="B2606" s="20" t="s">
        <v>24</v>
      </c>
      <c r="C2606" s="20" t="s">
        <v>4560</v>
      </c>
      <c r="D2606" s="20" t="s">
        <v>4561</v>
      </c>
      <c r="E2606" s="20" t="s">
        <v>4562</v>
      </c>
      <c r="F2606" s="20">
        <v>35.099727119999997</v>
      </c>
      <c r="G2606" s="20">
        <v>45.695953529999997</v>
      </c>
      <c r="H2606" s="22">
        <v>34</v>
      </c>
      <c r="I2606" s="22">
        <v>204</v>
      </c>
      <c r="J2606" s="21">
        <v>7</v>
      </c>
      <c r="K2606" s="21"/>
      <c r="L2606" s="21">
        <v>6</v>
      </c>
      <c r="M2606" s="21"/>
      <c r="N2606" s="21"/>
      <c r="O2606" s="21">
        <v>20</v>
      </c>
      <c r="P2606" s="21"/>
      <c r="Q2606" s="21"/>
      <c r="R2606" s="21"/>
      <c r="S2606" s="21"/>
      <c r="T2606" s="21"/>
      <c r="U2606" s="21"/>
      <c r="V2606" s="21"/>
      <c r="W2606" s="21"/>
      <c r="X2606" s="21">
        <v>1</v>
      </c>
      <c r="Y2606" s="21"/>
      <c r="Z2606" s="21"/>
      <c r="AA2606" s="21"/>
      <c r="AB2606" s="21"/>
      <c r="AC2606" s="21"/>
      <c r="AD2606" s="21"/>
      <c r="AE2606" s="21"/>
      <c r="AF2606" s="21"/>
      <c r="AG2606" s="21"/>
      <c r="AH2606" s="21">
        <v>34</v>
      </c>
      <c r="AI2606" s="21"/>
      <c r="AJ2606" s="21"/>
      <c r="AK2606" s="21"/>
      <c r="AL2606" s="21"/>
      <c r="AM2606" s="21">
        <v>19</v>
      </c>
      <c r="AN2606" s="21">
        <v>1</v>
      </c>
      <c r="AO2606" s="21">
        <v>8</v>
      </c>
      <c r="AP2606" s="21">
        <v>4</v>
      </c>
      <c r="AQ2606" s="21"/>
      <c r="AR2606" s="21">
        <v>2</v>
      </c>
      <c r="AS2606" s="21"/>
      <c r="AT2606" s="12" t="str">
        <f>HYPERLINK("http://www.openstreetmap.org/?mlat=35.0997&amp;mlon=45.696&amp;zoom=12#map=12/35.0997/45.696","Maplink1")</f>
        <v>Maplink1</v>
      </c>
      <c r="AU2606" s="12" t="str">
        <f>HYPERLINK("https://www.google.iq/maps/search/+35.0997,45.696/@35.0997,45.696,14z?hl=en","Maplink2")</f>
        <v>Maplink2</v>
      </c>
      <c r="AV2606" s="12" t="str">
        <f>HYPERLINK("http://www.bing.com/maps/?lvl=14&amp;sty=h&amp;cp=35.0997~45.696&amp;sp=point.35.0997_45.696","Maplink3")</f>
        <v>Maplink3</v>
      </c>
    </row>
    <row r="2607" spans="1:48" ht="15" customHeight="1" x14ac:dyDescent="0.25">
      <c r="A2607" s="19">
        <v>3565</v>
      </c>
      <c r="B2607" s="20" t="s">
        <v>24</v>
      </c>
      <c r="C2607" s="20" t="s">
        <v>4560</v>
      </c>
      <c r="D2607" s="20" t="s">
        <v>6004</v>
      </c>
      <c r="E2607" s="20" t="s">
        <v>6005</v>
      </c>
      <c r="F2607" s="20">
        <v>35.178339999999999</v>
      </c>
      <c r="G2607" s="20">
        <v>45.572510000000001</v>
      </c>
      <c r="H2607" s="22">
        <v>9</v>
      </c>
      <c r="I2607" s="22">
        <v>54</v>
      </c>
      <c r="J2607" s="21"/>
      <c r="K2607" s="21"/>
      <c r="L2607" s="21"/>
      <c r="M2607" s="21"/>
      <c r="N2607" s="21"/>
      <c r="O2607" s="21">
        <v>1</v>
      </c>
      <c r="P2607" s="21"/>
      <c r="Q2607" s="21"/>
      <c r="R2607" s="21"/>
      <c r="S2607" s="21"/>
      <c r="T2607" s="21"/>
      <c r="U2607" s="21"/>
      <c r="V2607" s="21"/>
      <c r="W2607" s="21"/>
      <c r="X2607" s="21">
        <v>8</v>
      </c>
      <c r="Y2607" s="21"/>
      <c r="Z2607" s="21"/>
      <c r="AA2607" s="21"/>
      <c r="AB2607" s="21"/>
      <c r="AC2607" s="21"/>
      <c r="AD2607" s="21"/>
      <c r="AE2607" s="21"/>
      <c r="AF2607" s="21"/>
      <c r="AG2607" s="21"/>
      <c r="AH2607" s="21">
        <v>9</v>
      </c>
      <c r="AI2607" s="21"/>
      <c r="AJ2607" s="21"/>
      <c r="AK2607" s="21"/>
      <c r="AL2607" s="21"/>
      <c r="AM2607" s="21">
        <v>7</v>
      </c>
      <c r="AN2607" s="21"/>
      <c r="AO2607" s="21"/>
      <c r="AP2607" s="21"/>
      <c r="AQ2607" s="21">
        <v>2</v>
      </c>
      <c r="AR2607" s="21"/>
      <c r="AS2607" s="21"/>
      <c r="AT2607" s="12" t="str">
        <f>HYPERLINK("http://www.openstreetmap.org/?mlat=35.1783&amp;mlon=45.5725&amp;zoom=12#map=12/35.1783/45.5725","Maplink1")</f>
        <v>Maplink1</v>
      </c>
      <c r="AU2607" s="12" t="str">
        <f>HYPERLINK("https://www.google.iq/maps/search/+35.1783,45.5725/@35.1783,45.5725,14z?hl=en","Maplink2")</f>
        <v>Maplink2</v>
      </c>
      <c r="AV2607" s="12" t="str">
        <f>HYPERLINK("http://www.bing.com/maps/?lvl=14&amp;sty=h&amp;cp=35.1783~45.5725&amp;sp=point.35.1783_45.5725","Maplink3")</f>
        <v>Maplink3</v>
      </c>
    </row>
    <row r="2608" spans="1:48" ht="15" customHeight="1" x14ac:dyDescent="0.25">
      <c r="A2608" s="19">
        <v>6301</v>
      </c>
      <c r="B2608" s="20" t="s">
        <v>24</v>
      </c>
      <c r="C2608" s="20" t="s">
        <v>4560</v>
      </c>
      <c r="D2608" s="20" t="s">
        <v>4563</v>
      </c>
      <c r="E2608" s="20" t="s">
        <v>4564</v>
      </c>
      <c r="F2608" s="20">
        <v>35.122664829999998</v>
      </c>
      <c r="G2608" s="20">
        <v>45.682921579999999</v>
      </c>
      <c r="H2608" s="22">
        <v>101</v>
      </c>
      <c r="I2608" s="22">
        <v>606</v>
      </c>
      <c r="J2608" s="21">
        <v>9</v>
      </c>
      <c r="K2608" s="21"/>
      <c r="L2608" s="21">
        <v>15</v>
      </c>
      <c r="M2608" s="21"/>
      <c r="N2608" s="21"/>
      <c r="O2608" s="21">
        <v>31</v>
      </c>
      <c r="P2608" s="21"/>
      <c r="Q2608" s="21"/>
      <c r="R2608" s="21">
        <v>1</v>
      </c>
      <c r="S2608" s="21"/>
      <c r="T2608" s="21"/>
      <c r="U2608" s="21"/>
      <c r="V2608" s="21">
        <v>1</v>
      </c>
      <c r="W2608" s="21"/>
      <c r="X2608" s="21">
        <v>44</v>
      </c>
      <c r="Y2608" s="21"/>
      <c r="Z2608" s="21"/>
      <c r="AA2608" s="21"/>
      <c r="AB2608" s="21"/>
      <c r="AC2608" s="21"/>
      <c r="AD2608" s="21"/>
      <c r="AE2608" s="21"/>
      <c r="AF2608" s="21"/>
      <c r="AG2608" s="21"/>
      <c r="AH2608" s="21">
        <v>101</v>
      </c>
      <c r="AI2608" s="21"/>
      <c r="AJ2608" s="21"/>
      <c r="AK2608" s="21"/>
      <c r="AL2608" s="21">
        <v>7</v>
      </c>
      <c r="AM2608" s="21">
        <v>40</v>
      </c>
      <c r="AN2608" s="21">
        <v>5</v>
      </c>
      <c r="AO2608" s="21">
        <v>29</v>
      </c>
      <c r="AP2608" s="21">
        <v>10</v>
      </c>
      <c r="AQ2608" s="21">
        <v>7</v>
      </c>
      <c r="AR2608" s="21">
        <v>2</v>
      </c>
      <c r="AS2608" s="21">
        <v>1</v>
      </c>
      <c r="AT2608" s="12" t="str">
        <f>HYPERLINK("http://www.openstreetmap.org/?mlat=35.1227&amp;mlon=45.6829&amp;zoom=12#map=12/35.1227/45.6829","Maplink1")</f>
        <v>Maplink1</v>
      </c>
      <c r="AU2608" s="12" t="str">
        <f>HYPERLINK("https://www.google.iq/maps/search/+35.1227,45.6829/@35.1227,45.6829,14z?hl=en","Maplink2")</f>
        <v>Maplink2</v>
      </c>
      <c r="AV2608" s="12" t="str">
        <f>HYPERLINK("http://www.bing.com/maps/?lvl=14&amp;sty=h&amp;cp=35.1227~45.6829&amp;sp=point.35.1227_45.6829","Maplink3")</f>
        <v>Maplink3</v>
      </c>
    </row>
    <row r="2609" spans="1:48" ht="15" customHeight="1" x14ac:dyDescent="0.25">
      <c r="A2609" s="19">
        <v>33463</v>
      </c>
      <c r="B2609" s="20" t="s">
        <v>24</v>
      </c>
      <c r="C2609" s="20" t="s">
        <v>4560</v>
      </c>
      <c r="D2609" s="20" t="s">
        <v>6006</v>
      </c>
      <c r="E2609" s="20" t="s">
        <v>6007</v>
      </c>
      <c r="F2609" s="20">
        <v>35.149520000000003</v>
      </c>
      <c r="G2609" s="20">
        <v>45.647410000000001</v>
      </c>
      <c r="H2609" s="22">
        <v>9</v>
      </c>
      <c r="I2609" s="22">
        <v>54</v>
      </c>
      <c r="J2609" s="21"/>
      <c r="K2609" s="21"/>
      <c r="L2609" s="21">
        <v>2</v>
      </c>
      <c r="M2609" s="21"/>
      <c r="N2609" s="21"/>
      <c r="O2609" s="21">
        <v>3</v>
      </c>
      <c r="P2609" s="21"/>
      <c r="Q2609" s="21"/>
      <c r="R2609" s="21"/>
      <c r="S2609" s="21"/>
      <c r="T2609" s="21"/>
      <c r="U2609" s="21"/>
      <c r="V2609" s="21"/>
      <c r="W2609" s="21"/>
      <c r="X2609" s="21">
        <v>4</v>
      </c>
      <c r="Y2609" s="21"/>
      <c r="Z2609" s="21"/>
      <c r="AA2609" s="21"/>
      <c r="AB2609" s="21"/>
      <c r="AC2609" s="21"/>
      <c r="AD2609" s="21"/>
      <c r="AE2609" s="21"/>
      <c r="AF2609" s="21"/>
      <c r="AG2609" s="21"/>
      <c r="AH2609" s="21">
        <v>9</v>
      </c>
      <c r="AI2609" s="21"/>
      <c r="AJ2609" s="21"/>
      <c r="AK2609" s="21"/>
      <c r="AL2609" s="21"/>
      <c r="AM2609" s="21">
        <v>5</v>
      </c>
      <c r="AN2609" s="21">
        <v>1</v>
      </c>
      <c r="AO2609" s="21">
        <v>1</v>
      </c>
      <c r="AP2609" s="21"/>
      <c r="AQ2609" s="21">
        <v>2</v>
      </c>
      <c r="AR2609" s="21"/>
      <c r="AS2609" s="21"/>
      <c r="AT2609" s="12" t="str">
        <f>HYPERLINK("http://www.openstreetmap.org/?mlat=35.1495&amp;mlon=45.6474&amp;zoom=12#map=12/35.1495/45.6474","Maplink1")</f>
        <v>Maplink1</v>
      </c>
      <c r="AU2609" s="12" t="str">
        <f>HYPERLINK("https://www.google.iq/maps/search/+35.1495,45.6474/@35.1495,45.6474,14z?hl=en","Maplink2")</f>
        <v>Maplink2</v>
      </c>
      <c r="AV2609" s="12" t="str">
        <f>HYPERLINK("http://www.bing.com/maps/?lvl=14&amp;sty=h&amp;cp=35.1495~45.6474&amp;sp=point.35.1495_45.6474","Maplink3")</f>
        <v>Maplink3</v>
      </c>
    </row>
    <row r="2610" spans="1:48" ht="15" customHeight="1" x14ac:dyDescent="0.25">
      <c r="A2610" s="19">
        <v>29693</v>
      </c>
      <c r="B2610" s="20" t="s">
        <v>24</v>
      </c>
      <c r="C2610" s="20" t="s">
        <v>4560</v>
      </c>
      <c r="D2610" s="20" t="s">
        <v>4565</v>
      </c>
      <c r="E2610" s="20" t="s">
        <v>4566</v>
      </c>
      <c r="F2610" s="20">
        <v>35.310589999999998</v>
      </c>
      <c r="G2610" s="20">
        <v>45.675330000000002</v>
      </c>
      <c r="H2610" s="22">
        <v>33</v>
      </c>
      <c r="I2610" s="22">
        <v>198</v>
      </c>
      <c r="J2610" s="21">
        <v>7</v>
      </c>
      <c r="K2610" s="21">
        <v>2</v>
      </c>
      <c r="L2610" s="21">
        <v>13</v>
      </c>
      <c r="M2610" s="21"/>
      <c r="N2610" s="21"/>
      <c r="O2610" s="21">
        <v>7</v>
      </c>
      <c r="P2610" s="21"/>
      <c r="Q2610" s="21"/>
      <c r="R2610" s="21"/>
      <c r="S2610" s="21"/>
      <c r="T2610" s="21"/>
      <c r="U2610" s="21"/>
      <c r="V2610" s="21"/>
      <c r="W2610" s="21"/>
      <c r="X2610" s="21">
        <v>4</v>
      </c>
      <c r="Y2610" s="21"/>
      <c r="Z2610" s="21"/>
      <c r="AA2610" s="21"/>
      <c r="AB2610" s="21"/>
      <c r="AC2610" s="21"/>
      <c r="AD2610" s="21"/>
      <c r="AE2610" s="21"/>
      <c r="AF2610" s="21"/>
      <c r="AG2610" s="21"/>
      <c r="AH2610" s="21">
        <v>33</v>
      </c>
      <c r="AI2610" s="21"/>
      <c r="AJ2610" s="21"/>
      <c r="AK2610" s="21"/>
      <c r="AL2610" s="21"/>
      <c r="AM2610" s="21">
        <v>7</v>
      </c>
      <c r="AN2610" s="21">
        <v>3</v>
      </c>
      <c r="AO2610" s="21">
        <v>6</v>
      </c>
      <c r="AP2610" s="21">
        <v>12</v>
      </c>
      <c r="AQ2610" s="21">
        <v>3</v>
      </c>
      <c r="AR2610" s="21">
        <v>1</v>
      </c>
      <c r="AS2610" s="21">
        <v>1</v>
      </c>
      <c r="AT2610" s="12" t="str">
        <f>HYPERLINK("http://www.openstreetmap.org/?mlat=35.3106&amp;mlon=45.6753&amp;zoom=12#map=12/35.3106/45.6753","Maplink1")</f>
        <v>Maplink1</v>
      </c>
      <c r="AU2610" s="12" t="str">
        <f>HYPERLINK("https://www.google.iq/maps/search/+35.3106,45.6753/@35.3106,45.6753,14z?hl=en","Maplink2")</f>
        <v>Maplink2</v>
      </c>
      <c r="AV2610" s="12" t="str">
        <f>HYPERLINK("http://www.bing.com/maps/?lvl=14&amp;sty=h&amp;cp=35.3106~45.6753&amp;sp=point.35.3106_45.6753","Maplink3")</f>
        <v>Maplink3</v>
      </c>
    </row>
    <row r="2611" spans="1:48" ht="15" customHeight="1" x14ac:dyDescent="0.25">
      <c r="A2611" s="19">
        <v>24252</v>
      </c>
      <c r="B2611" s="20" t="s">
        <v>24</v>
      </c>
      <c r="C2611" s="20" t="s">
        <v>4560</v>
      </c>
      <c r="D2611" s="20" t="s">
        <v>4567</v>
      </c>
      <c r="E2611" s="20" t="s">
        <v>4568</v>
      </c>
      <c r="F2611" s="20">
        <v>35.117623209999998</v>
      </c>
      <c r="G2611" s="20">
        <v>45.666414779999997</v>
      </c>
      <c r="H2611" s="22">
        <v>81</v>
      </c>
      <c r="I2611" s="22">
        <v>486</v>
      </c>
      <c r="J2611" s="21">
        <v>6</v>
      </c>
      <c r="K2611" s="21"/>
      <c r="L2611" s="21"/>
      <c r="M2611" s="21"/>
      <c r="N2611" s="21"/>
      <c r="O2611" s="21">
        <v>48</v>
      </c>
      <c r="P2611" s="21"/>
      <c r="Q2611" s="21"/>
      <c r="R2611" s="21"/>
      <c r="S2611" s="21"/>
      <c r="T2611" s="21"/>
      <c r="U2611" s="21"/>
      <c r="V2611" s="21"/>
      <c r="W2611" s="21"/>
      <c r="X2611" s="21">
        <v>27</v>
      </c>
      <c r="Y2611" s="21"/>
      <c r="Z2611" s="21"/>
      <c r="AA2611" s="21"/>
      <c r="AB2611" s="21"/>
      <c r="AC2611" s="21"/>
      <c r="AD2611" s="21"/>
      <c r="AE2611" s="21"/>
      <c r="AF2611" s="21"/>
      <c r="AG2611" s="21"/>
      <c r="AH2611" s="21">
        <v>81</v>
      </c>
      <c r="AI2611" s="21"/>
      <c r="AJ2611" s="21"/>
      <c r="AK2611" s="21"/>
      <c r="AL2611" s="21"/>
      <c r="AM2611" s="21">
        <v>26</v>
      </c>
      <c r="AN2611" s="21">
        <v>18</v>
      </c>
      <c r="AO2611" s="21">
        <v>24</v>
      </c>
      <c r="AP2611" s="21">
        <v>5</v>
      </c>
      <c r="AQ2611" s="21">
        <v>8</v>
      </c>
      <c r="AR2611" s="21"/>
      <c r="AS2611" s="21"/>
      <c r="AT2611" s="12" t="str">
        <f>HYPERLINK("http://www.openstreetmap.org/?mlat=35.1176&amp;mlon=45.6664&amp;zoom=12#map=12/35.1176/45.6664","Maplink1")</f>
        <v>Maplink1</v>
      </c>
      <c r="AU2611" s="12" t="str">
        <f>HYPERLINK("https://www.google.iq/maps/search/+35.1176,45.6664/@35.1176,45.6664,14z?hl=en","Maplink2")</f>
        <v>Maplink2</v>
      </c>
      <c r="AV2611" s="12" t="str">
        <f>HYPERLINK("http://www.bing.com/maps/?lvl=14&amp;sty=h&amp;cp=35.1176~45.6664&amp;sp=point.35.1176_45.6664","Maplink3")</f>
        <v>Maplink3</v>
      </c>
    </row>
    <row r="2612" spans="1:48" ht="15" customHeight="1" x14ac:dyDescent="0.25">
      <c r="A2612" s="19">
        <v>24251</v>
      </c>
      <c r="B2612" s="20" t="s">
        <v>24</v>
      </c>
      <c r="C2612" s="20" t="s">
        <v>4560</v>
      </c>
      <c r="D2612" s="20" t="s">
        <v>4569</v>
      </c>
      <c r="E2612" s="20" t="s">
        <v>4570</v>
      </c>
      <c r="F2612" s="20">
        <v>35.112946569999998</v>
      </c>
      <c r="G2612" s="20">
        <v>45.688712789999997</v>
      </c>
      <c r="H2612" s="22">
        <v>123</v>
      </c>
      <c r="I2612" s="22">
        <v>738</v>
      </c>
      <c r="J2612" s="21">
        <v>7</v>
      </c>
      <c r="K2612" s="21"/>
      <c r="L2612" s="21">
        <v>8</v>
      </c>
      <c r="M2612" s="21"/>
      <c r="N2612" s="21"/>
      <c r="O2612" s="21">
        <v>86</v>
      </c>
      <c r="P2612" s="21"/>
      <c r="Q2612" s="21"/>
      <c r="R2612" s="21"/>
      <c r="S2612" s="21"/>
      <c r="T2612" s="21"/>
      <c r="U2612" s="21"/>
      <c r="V2612" s="21"/>
      <c r="W2612" s="21"/>
      <c r="X2612" s="21">
        <v>22</v>
      </c>
      <c r="Y2612" s="21"/>
      <c r="Z2612" s="21"/>
      <c r="AA2612" s="21"/>
      <c r="AB2612" s="21"/>
      <c r="AC2612" s="21"/>
      <c r="AD2612" s="21"/>
      <c r="AE2612" s="21"/>
      <c r="AF2612" s="21"/>
      <c r="AG2612" s="21"/>
      <c r="AH2612" s="21">
        <v>123</v>
      </c>
      <c r="AI2612" s="21"/>
      <c r="AJ2612" s="21"/>
      <c r="AK2612" s="21"/>
      <c r="AL2612" s="21">
        <v>4</v>
      </c>
      <c r="AM2612" s="21">
        <v>34</v>
      </c>
      <c r="AN2612" s="21">
        <v>14</v>
      </c>
      <c r="AO2612" s="21">
        <v>37</v>
      </c>
      <c r="AP2612" s="21">
        <v>10</v>
      </c>
      <c r="AQ2612" s="21">
        <v>16</v>
      </c>
      <c r="AR2612" s="21">
        <v>6</v>
      </c>
      <c r="AS2612" s="21">
        <v>2</v>
      </c>
      <c r="AT2612" s="12" t="str">
        <f>HYPERLINK("http://www.openstreetmap.org/?mlat=35.1129&amp;mlon=45.6887&amp;zoom=12#map=12/35.1129/45.6887","Maplink1")</f>
        <v>Maplink1</v>
      </c>
      <c r="AU2612" s="12" t="str">
        <f>HYPERLINK("https://www.google.iq/maps/search/+35.1129,45.6887/@35.1129,45.6887,14z?hl=en","Maplink2")</f>
        <v>Maplink2</v>
      </c>
      <c r="AV2612" s="12" t="str">
        <f>HYPERLINK("http://www.bing.com/maps/?lvl=14&amp;sty=h&amp;cp=35.1129~45.6887&amp;sp=point.35.1129_45.6887","Maplink3")</f>
        <v>Maplink3</v>
      </c>
    </row>
    <row r="2613" spans="1:48" ht="15" customHeight="1" x14ac:dyDescent="0.25">
      <c r="A2613" s="19">
        <v>29517</v>
      </c>
      <c r="B2613" s="20" t="s">
        <v>24</v>
      </c>
      <c r="C2613" s="20" t="s">
        <v>4560</v>
      </c>
      <c r="D2613" s="20" t="s">
        <v>4571</v>
      </c>
      <c r="E2613" s="20" t="s">
        <v>4572</v>
      </c>
      <c r="F2613" s="20">
        <v>35.104580599999998</v>
      </c>
      <c r="G2613" s="20">
        <v>45.685002429999997</v>
      </c>
      <c r="H2613" s="22">
        <v>121</v>
      </c>
      <c r="I2613" s="22">
        <v>726</v>
      </c>
      <c r="J2613" s="21">
        <v>11</v>
      </c>
      <c r="K2613" s="21"/>
      <c r="L2613" s="21">
        <v>17</v>
      </c>
      <c r="M2613" s="21"/>
      <c r="N2613" s="21"/>
      <c r="O2613" s="21">
        <v>73</v>
      </c>
      <c r="P2613" s="21"/>
      <c r="Q2613" s="21"/>
      <c r="R2613" s="21"/>
      <c r="S2613" s="21"/>
      <c r="T2613" s="21"/>
      <c r="U2613" s="21"/>
      <c r="V2613" s="21"/>
      <c r="W2613" s="21"/>
      <c r="X2613" s="21">
        <v>20</v>
      </c>
      <c r="Y2613" s="21"/>
      <c r="Z2613" s="21"/>
      <c r="AA2613" s="21"/>
      <c r="AB2613" s="21"/>
      <c r="AC2613" s="21"/>
      <c r="AD2613" s="21"/>
      <c r="AE2613" s="21"/>
      <c r="AF2613" s="21"/>
      <c r="AG2613" s="21"/>
      <c r="AH2613" s="21">
        <v>121</v>
      </c>
      <c r="AI2613" s="21"/>
      <c r="AJ2613" s="21"/>
      <c r="AK2613" s="21"/>
      <c r="AL2613" s="21">
        <v>4</v>
      </c>
      <c r="AM2613" s="21">
        <v>25</v>
      </c>
      <c r="AN2613" s="21">
        <v>13</v>
      </c>
      <c r="AO2613" s="21">
        <v>30</v>
      </c>
      <c r="AP2613" s="21">
        <v>19</v>
      </c>
      <c r="AQ2613" s="21">
        <v>18</v>
      </c>
      <c r="AR2613" s="21">
        <v>11</v>
      </c>
      <c r="AS2613" s="21">
        <v>1</v>
      </c>
      <c r="AT2613" s="12" t="str">
        <f>HYPERLINK("http://www.openstreetmap.org/?mlat=35.1046&amp;mlon=45.685&amp;zoom=12#map=12/35.1046/45.685","Maplink1")</f>
        <v>Maplink1</v>
      </c>
      <c r="AU2613" s="12" t="str">
        <f>HYPERLINK("https://www.google.iq/maps/search/+35.1046,45.685/@35.1046,45.685,14z?hl=en","Maplink2")</f>
        <v>Maplink2</v>
      </c>
      <c r="AV2613" s="12" t="str">
        <f>HYPERLINK("http://www.bing.com/maps/?lvl=14&amp;sty=h&amp;cp=35.1046~45.685&amp;sp=point.35.1046_45.685","Maplink3")</f>
        <v>Maplink3</v>
      </c>
    </row>
    <row r="2614" spans="1:48" ht="15" customHeight="1" x14ac:dyDescent="0.25">
      <c r="A2614" s="19">
        <v>29704</v>
      </c>
      <c r="B2614" s="20" t="s">
        <v>24</v>
      </c>
      <c r="C2614" s="20" t="s">
        <v>4560</v>
      </c>
      <c r="D2614" s="20" t="s">
        <v>4573</v>
      </c>
      <c r="E2614" s="20" t="s">
        <v>2563</v>
      </c>
      <c r="F2614" s="20">
        <v>35.314349999999997</v>
      </c>
      <c r="G2614" s="20">
        <v>45.667870000000001</v>
      </c>
      <c r="H2614" s="22">
        <v>36</v>
      </c>
      <c r="I2614" s="22">
        <v>216</v>
      </c>
      <c r="J2614" s="21">
        <v>15</v>
      </c>
      <c r="K2614" s="21">
        <v>3</v>
      </c>
      <c r="L2614" s="21">
        <v>6</v>
      </c>
      <c r="M2614" s="21"/>
      <c r="N2614" s="21"/>
      <c r="O2614" s="21">
        <v>9</v>
      </c>
      <c r="P2614" s="21"/>
      <c r="Q2614" s="21"/>
      <c r="R2614" s="21"/>
      <c r="S2614" s="21"/>
      <c r="T2614" s="21"/>
      <c r="U2614" s="21"/>
      <c r="V2614" s="21">
        <v>1</v>
      </c>
      <c r="W2614" s="21"/>
      <c r="X2614" s="21">
        <v>2</v>
      </c>
      <c r="Y2614" s="21"/>
      <c r="Z2614" s="21"/>
      <c r="AA2614" s="21"/>
      <c r="AB2614" s="21"/>
      <c r="AC2614" s="21"/>
      <c r="AD2614" s="21"/>
      <c r="AE2614" s="21"/>
      <c r="AF2614" s="21"/>
      <c r="AG2614" s="21"/>
      <c r="AH2614" s="21">
        <v>36</v>
      </c>
      <c r="AI2614" s="21"/>
      <c r="AJ2614" s="21"/>
      <c r="AK2614" s="21"/>
      <c r="AL2614" s="21"/>
      <c r="AM2614" s="21">
        <v>6</v>
      </c>
      <c r="AN2614" s="21">
        <v>2</v>
      </c>
      <c r="AO2614" s="21">
        <v>11</v>
      </c>
      <c r="AP2614" s="21">
        <v>12</v>
      </c>
      <c r="AQ2614" s="21">
        <v>5</v>
      </c>
      <c r="AR2614" s="21"/>
      <c r="AS2614" s="21"/>
      <c r="AT2614" s="12" t="str">
        <f>HYPERLINK("http://www.openstreetmap.org/?mlat=35.3143&amp;mlon=45.6679&amp;zoom=12#map=12/35.3143/45.6679","Maplink1")</f>
        <v>Maplink1</v>
      </c>
      <c r="AU2614" s="12" t="str">
        <f>HYPERLINK("https://www.google.iq/maps/search/+35.3143,45.6679/@35.3143,45.6679,14z?hl=en","Maplink2")</f>
        <v>Maplink2</v>
      </c>
      <c r="AV2614" s="12" t="str">
        <f>HYPERLINK("http://www.bing.com/maps/?lvl=14&amp;sty=h&amp;cp=35.3143~45.6679&amp;sp=point.35.3143_45.6679","Maplink3")</f>
        <v>Maplink3</v>
      </c>
    </row>
    <row r="2615" spans="1:48" ht="15" customHeight="1" x14ac:dyDescent="0.25">
      <c r="A2615" s="19">
        <v>29705</v>
      </c>
      <c r="B2615" s="20" t="s">
        <v>24</v>
      </c>
      <c r="C2615" s="20" t="s">
        <v>4560</v>
      </c>
      <c r="D2615" s="20" t="s">
        <v>4574</v>
      </c>
      <c r="E2615" s="20" t="s">
        <v>4575</v>
      </c>
      <c r="F2615" s="20">
        <v>35.316690000000001</v>
      </c>
      <c r="G2615" s="20">
        <v>45.674610000000001</v>
      </c>
      <c r="H2615" s="22">
        <v>18</v>
      </c>
      <c r="I2615" s="22">
        <v>108</v>
      </c>
      <c r="J2615" s="21">
        <v>3</v>
      </c>
      <c r="K2615" s="21"/>
      <c r="L2615" s="21">
        <v>3</v>
      </c>
      <c r="M2615" s="21"/>
      <c r="N2615" s="21"/>
      <c r="O2615" s="21">
        <v>6</v>
      </c>
      <c r="P2615" s="21"/>
      <c r="Q2615" s="21"/>
      <c r="R2615" s="21"/>
      <c r="S2615" s="21"/>
      <c r="T2615" s="21"/>
      <c r="U2615" s="21"/>
      <c r="V2615" s="21"/>
      <c r="W2615" s="21"/>
      <c r="X2615" s="21">
        <v>6</v>
      </c>
      <c r="Y2615" s="21"/>
      <c r="Z2615" s="21"/>
      <c r="AA2615" s="21"/>
      <c r="AB2615" s="21"/>
      <c r="AC2615" s="21"/>
      <c r="AD2615" s="21"/>
      <c r="AE2615" s="21"/>
      <c r="AF2615" s="21"/>
      <c r="AG2615" s="21"/>
      <c r="AH2615" s="21">
        <v>18</v>
      </c>
      <c r="AI2615" s="21"/>
      <c r="AJ2615" s="21"/>
      <c r="AK2615" s="21"/>
      <c r="AL2615" s="21"/>
      <c r="AM2615" s="21">
        <v>5</v>
      </c>
      <c r="AN2615" s="21">
        <v>2</v>
      </c>
      <c r="AO2615" s="21">
        <v>7</v>
      </c>
      <c r="AP2615" s="21">
        <v>1</v>
      </c>
      <c r="AQ2615" s="21">
        <v>3</v>
      </c>
      <c r="AR2615" s="21"/>
      <c r="AS2615" s="21"/>
      <c r="AT2615" s="12" t="str">
        <f>HYPERLINK("http://www.openstreetmap.org/?mlat=35.3167&amp;mlon=45.6746&amp;zoom=12#map=12/35.3167/45.6746","Maplink1")</f>
        <v>Maplink1</v>
      </c>
      <c r="AU2615" s="12" t="str">
        <f>HYPERLINK("https://www.google.iq/maps/search/+35.3167,45.6746/@35.3167,45.6746,14z?hl=en","Maplink2")</f>
        <v>Maplink2</v>
      </c>
      <c r="AV2615" s="12" t="str">
        <f>HYPERLINK("http://www.bing.com/maps/?lvl=14&amp;sty=h&amp;cp=35.3167~45.6746&amp;sp=point.35.3167_45.6746","Maplink3")</f>
        <v>Maplink3</v>
      </c>
    </row>
    <row r="2616" spans="1:48" ht="15" customHeight="1" x14ac:dyDescent="0.25">
      <c r="A2616" s="19">
        <v>24670</v>
      </c>
      <c r="B2616" s="20" t="s">
        <v>24</v>
      </c>
      <c r="C2616" s="20" t="s">
        <v>4560</v>
      </c>
      <c r="D2616" s="20" t="s">
        <v>4576</v>
      </c>
      <c r="E2616" s="20" t="s">
        <v>4577</v>
      </c>
      <c r="F2616" s="20">
        <v>35.110199742900001</v>
      </c>
      <c r="G2616" s="20">
        <v>45.6889574223</v>
      </c>
      <c r="H2616" s="22">
        <v>90</v>
      </c>
      <c r="I2616" s="22">
        <v>540</v>
      </c>
      <c r="J2616" s="21">
        <v>5</v>
      </c>
      <c r="K2616" s="21"/>
      <c r="L2616" s="21">
        <v>11</v>
      </c>
      <c r="M2616" s="21"/>
      <c r="N2616" s="21"/>
      <c r="O2616" s="21">
        <v>51</v>
      </c>
      <c r="P2616" s="21"/>
      <c r="Q2616" s="21"/>
      <c r="R2616" s="21"/>
      <c r="S2616" s="21"/>
      <c r="T2616" s="21"/>
      <c r="U2616" s="21"/>
      <c r="V2616" s="21">
        <v>5</v>
      </c>
      <c r="W2616" s="21"/>
      <c r="X2616" s="21">
        <v>18</v>
      </c>
      <c r="Y2616" s="21"/>
      <c r="Z2616" s="21"/>
      <c r="AA2616" s="21"/>
      <c r="AB2616" s="21"/>
      <c r="AC2616" s="21"/>
      <c r="AD2616" s="21"/>
      <c r="AE2616" s="21"/>
      <c r="AF2616" s="21"/>
      <c r="AG2616" s="21"/>
      <c r="AH2616" s="21">
        <v>90</v>
      </c>
      <c r="AI2616" s="21"/>
      <c r="AJ2616" s="21"/>
      <c r="AK2616" s="21"/>
      <c r="AL2616" s="21"/>
      <c r="AM2616" s="21">
        <v>35</v>
      </c>
      <c r="AN2616" s="21">
        <v>16</v>
      </c>
      <c r="AO2616" s="21">
        <v>21</v>
      </c>
      <c r="AP2616" s="21">
        <v>8</v>
      </c>
      <c r="AQ2616" s="21">
        <v>6</v>
      </c>
      <c r="AR2616" s="21">
        <v>4</v>
      </c>
      <c r="AS2616" s="21"/>
      <c r="AT2616" s="12" t="str">
        <f>HYPERLINK("http://www.openstreetmap.org/?mlat=35.1102&amp;mlon=45.689&amp;zoom=12#map=12/35.1102/45.689","Maplink1")</f>
        <v>Maplink1</v>
      </c>
      <c r="AU2616" s="12" t="str">
        <f>HYPERLINK("https://www.google.iq/maps/search/+35.1102,45.689/@35.1102,45.689,14z?hl=en","Maplink2")</f>
        <v>Maplink2</v>
      </c>
      <c r="AV2616" s="12" t="str">
        <f>HYPERLINK("http://www.bing.com/maps/?lvl=14&amp;sty=h&amp;cp=35.1102~45.689&amp;sp=point.35.1102_45.689","Maplink3")</f>
        <v>Maplink3</v>
      </c>
    </row>
    <row r="2617" spans="1:48" ht="15" customHeight="1" x14ac:dyDescent="0.25">
      <c r="A2617" s="19">
        <v>29514</v>
      </c>
      <c r="B2617" s="20" t="s">
        <v>24</v>
      </c>
      <c r="C2617" s="20" t="s">
        <v>4560</v>
      </c>
      <c r="D2617" s="20" t="s">
        <v>2064</v>
      </c>
      <c r="E2617" s="20" t="s">
        <v>2065</v>
      </c>
      <c r="F2617" s="20">
        <v>35.112953050000002</v>
      </c>
      <c r="G2617" s="20">
        <v>45.676327899999997</v>
      </c>
      <c r="H2617" s="22">
        <v>9</v>
      </c>
      <c r="I2617" s="22">
        <v>54</v>
      </c>
      <c r="J2617" s="21"/>
      <c r="K2617" s="21"/>
      <c r="L2617" s="21">
        <v>2</v>
      </c>
      <c r="M2617" s="21"/>
      <c r="N2617" s="21"/>
      <c r="O2617" s="21">
        <v>6</v>
      </c>
      <c r="P2617" s="21"/>
      <c r="Q2617" s="21"/>
      <c r="R2617" s="21"/>
      <c r="S2617" s="21"/>
      <c r="T2617" s="21"/>
      <c r="U2617" s="21"/>
      <c r="V2617" s="21"/>
      <c r="W2617" s="21"/>
      <c r="X2617" s="21">
        <v>1</v>
      </c>
      <c r="Y2617" s="21"/>
      <c r="Z2617" s="21"/>
      <c r="AA2617" s="21"/>
      <c r="AB2617" s="21"/>
      <c r="AC2617" s="21"/>
      <c r="AD2617" s="21"/>
      <c r="AE2617" s="21"/>
      <c r="AF2617" s="21"/>
      <c r="AG2617" s="21"/>
      <c r="AH2617" s="21">
        <v>9</v>
      </c>
      <c r="AI2617" s="21"/>
      <c r="AJ2617" s="21"/>
      <c r="AK2617" s="21"/>
      <c r="AL2617" s="21">
        <v>2</v>
      </c>
      <c r="AM2617" s="21">
        <v>3</v>
      </c>
      <c r="AN2617" s="21"/>
      <c r="AO2617" s="21">
        <v>1</v>
      </c>
      <c r="AP2617" s="21"/>
      <c r="AQ2617" s="21">
        <v>3</v>
      </c>
      <c r="AR2617" s="21"/>
      <c r="AS2617" s="21"/>
      <c r="AT2617" s="12" t="str">
        <f>HYPERLINK("http://www.openstreetmap.org/?mlat=35.113&amp;mlon=45.6763&amp;zoom=12#map=12/35.113/45.6763","Maplink1")</f>
        <v>Maplink1</v>
      </c>
      <c r="AU2617" s="12" t="str">
        <f>HYPERLINK("https://www.google.iq/maps/search/+35.113,45.6763/@35.113,45.6763,14z?hl=en","Maplink2")</f>
        <v>Maplink2</v>
      </c>
      <c r="AV2617" s="12" t="str">
        <f>HYPERLINK("http://www.bing.com/maps/?lvl=14&amp;sty=h&amp;cp=35.113~45.6763&amp;sp=point.35.113_45.6763","Maplink3")</f>
        <v>Maplink3</v>
      </c>
    </row>
    <row r="2618" spans="1:48" ht="15" customHeight="1" x14ac:dyDescent="0.25">
      <c r="A2618" s="19">
        <v>29516</v>
      </c>
      <c r="B2618" s="20" t="s">
        <v>24</v>
      </c>
      <c r="C2618" s="20" t="s">
        <v>4560</v>
      </c>
      <c r="D2618" s="20" t="s">
        <v>4545</v>
      </c>
      <c r="E2618" s="20" t="s">
        <v>2740</v>
      </c>
      <c r="F2618" s="20">
        <v>35.120916915000002</v>
      </c>
      <c r="G2618" s="20">
        <v>45.686166820899999</v>
      </c>
      <c r="H2618" s="22">
        <v>86</v>
      </c>
      <c r="I2618" s="22">
        <v>516</v>
      </c>
      <c r="J2618" s="21">
        <v>4</v>
      </c>
      <c r="K2618" s="21"/>
      <c r="L2618" s="21">
        <v>16</v>
      </c>
      <c r="M2618" s="21"/>
      <c r="N2618" s="21"/>
      <c r="O2618" s="21">
        <v>31</v>
      </c>
      <c r="P2618" s="21"/>
      <c r="Q2618" s="21"/>
      <c r="R2618" s="21"/>
      <c r="S2618" s="21"/>
      <c r="T2618" s="21"/>
      <c r="U2618" s="21"/>
      <c r="V2618" s="21">
        <v>1</v>
      </c>
      <c r="W2618" s="21"/>
      <c r="X2618" s="21">
        <v>34</v>
      </c>
      <c r="Y2618" s="21"/>
      <c r="Z2618" s="21"/>
      <c r="AA2618" s="21"/>
      <c r="AB2618" s="21"/>
      <c r="AC2618" s="21"/>
      <c r="AD2618" s="21"/>
      <c r="AE2618" s="21"/>
      <c r="AF2618" s="21"/>
      <c r="AG2618" s="21"/>
      <c r="AH2618" s="21">
        <v>86</v>
      </c>
      <c r="AI2618" s="21"/>
      <c r="AJ2618" s="21"/>
      <c r="AK2618" s="21"/>
      <c r="AL2618" s="21"/>
      <c r="AM2618" s="21">
        <v>21</v>
      </c>
      <c r="AN2618" s="21">
        <v>8</v>
      </c>
      <c r="AO2618" s="21">
        <v>14</v>
      </c>
      <c r="AP2618" s="21">
        <v>17</v>
      </c>
      <c r="AQ2618" s="21">
        <v>7</v>
      </c>
      <c r="AR2618" s="21">
        <v>11</v>
      </c>
      <c r="AS2618" s="21">
        <v>8</v>
      </c>
      <c r="AT2618" s="12" t="str">
        <f>HYPERLINK("http://www.openstreetmap.org/?mlat=35.1209&amp;mlon=45.6862&amp;zoom=12#map=12/35.1209/45.6862","Maplink1")</f>
        <v>Maplink1</v>
      </c>
      <c r="AU2618" s="12" t="str">
        <f>HYPERLINK("https://www.google.iq/maps/search/+35.1209,45.6862/@35.1209,45.6862,14z?hl=en","Maplink2")</f>
        <v>Maplink2</v>
      </c>
      <c r="AV2618" s="12" t="str">
        <f>HYPERLINK("http://www.bing.com/maps/?lvl=14&amp;sty=h&amp;cp=35.1209~45.6862&amp;sp=point.35.1209_45.6862","Maplink3")</f>
        <v>Maplink3</v>
      </c>
    </row>
    <row r="2619" spans="1:48" ht="15" customHeight="1" x14ac:dyDescent="0.25">
      <c r="A2619" s="19">
        <v>29515</v>
      </c>
      <c r="B2619" s="20" t="s">
        <v>24</v>
      </c>
      <c r="C2619" s="20" t="s">
        <v>4560</v>
      </c>
      <c r="D2619" s="20" t="s">
        <v>4578</v>
      </c>
      <c r="E2619" s="20" t="s">
        <v>2161</v>
      </c>
      <c r="F2619" s="20">
        <v>35.113206779999999</v>
      </c>
      <c r="G2619" s="20">
        <v>45.679101289999998</v>
      </c>
      <c r="H2619" s="22">
        <v>23</v>
      </c>
      <c r="I2619" s="22">
        <v>138</v>
      </c>
      <c r="J2619" s="21">
        <v>2</v>
      </c>
      <c r="K2619" s="21">
        <v>2</v>
      </c>
      <c r="L2619" s="21">
        <v>2</v>
      </c>
      <c r="M2619" s="21"/>
      <c r="N2619" s="21"/>
      <c r="O2619" s="21">
        <v>11</v>
      </c>
      <c r="P2619" s="21"/>
      <c r="Q2619" s="21"/>
      <c r="R2619" s="21"/>
      <c r="S2619" s="21"/>
      <c r="T2619" s="21"/>
      <c r="U2619" s="21"/>
      <c r="V2619" s="21"/>
      <c r="W2619" s="21"/>
      <c r="X2619" s="21">
        <v>6</v>
      </c>
      <c r="Y2619" s="21"/>
      <c r="Z2619" s="21"/>
      <c r="AA2619" s="21"/>
      <c r="AB2619" s="21"/>
      <c r="AC2619" s="21"/>
      <c r="AD2619" s="21"/>
      <c r="AE2619" s="21"/>
      <c r="AF2619" s="21"/>
      <c r="AG2619" s="21"/>
      <c r="AH2619" s="21">
        <v>23</v>
      </c>
      <c r="AI2619" s="21"/>
      <c r="AJ2619" s="21"/>
      <c r="AK2619" s="21"/>
      <c r="AL2619" s="21"/>
      <c r="AM2619" s="21">
        <v>10</v>
      </c>
      <c r="AN2619" s="21">
        <v>3</v>
      </c>
      <c r="AO2619" s="21">
        <v>4</v>
      </c>
      <c r="AP2619" s="21">
        <v>2</v>
      </c>
      <c r="AQ2619" s="21">
        <v>3</v>
      </c>
      <c r="AR2619" s="21">
        <v>1</v>
      </c>
      <c r="AS2619" s="21"/>
      <c r="AT2619" s="12" t="str">
        <f>HYPERLINK("http://www.openstreetmap.org/?mlat=35.1132&amp;mlon=45.6791&amp;zoom=12#map=12/35.1132/45.6791","Maplink1")</f>
        <v>Maplink1</v>
      </c>
      <c r="AU2619" s="12" t="str">
        <f>HYPERLINK("https://www.google.iq/maps/search/+35.1132,45.6791/@35.1132,45.6791,14z?hl=en","Maplink2")</f>
        <v>Maplink2</v>
      </c>
      <c r="AV2619" s="12" t="str">
        <f>HYPERLINK("http://www.bing.com/maps/?lvl=14&amp;sty=h&amp;cp=35.1132~45.6791&amp;sp=point.35.1132_45.6791","Maplink3")</f>
        <v>Maplink3</v>
      </c>
    </row>
    <row r="2620" spans="1:48" ht="15" customHeight="1" x14ac:dyDescent="0.25">
      <c r="A2620" s="19">
        <v>5093</v>
      </c>
      <c r="B2620" s="20" t="s">
        <v>24</v>
      </c>
      <c r="C2620" s="20" t="s">
        <v>4560</v>
      </c>
      <c r="D2620" s="20" t="s">
        <v>4579</v>
      </c>
      <c r="E2620" s="20" t="s">
        <v>4580</v>
      </c>
      <c r="F2620" s="20">
        <v>35.300579999999997</v>
      </c>
      <c r="G2620" s="20">
        <v>45.68186</v>
      </c>
      <c r="H2620" s="22">
        <v>23</v>
      </c>
      <c r="I2620" s="22">
        <v>138</v>
      </c>
      <c r="J2620" s="21">
        <v>10</v>
      </c>
      <c r="K2620" s="21"/>
      <c r="L2620" s="21">
        <v>7</v>
      </c>
      <c r="M2620" s="21"/>
      <c r="N2620" s="21"/>
      <c r="O2620" s="21">
        <v>6</v>
      </c>
      <c r="P2620" s="21"/>
      <c r="Q2620" s="21"/>
      <c r="R2620" s="21"/>
      <c r="S2620" s="21"/>
      <c r="T2620" s="21"/>
      <c r="U2620" s="21"/>
      <c r="V2620" s="21"/>
      <c r="W2620" s="21"/>
      <c r="X2620" s="21"/>
      <c r="Y2620" s="21"/>
      <c r="Z2620" s="21"/>
      <c r="AA2620" s="21"/>
      <c r="AB2620" s="21"/>
      <c r="AC2620" s="21"/>
      <c r="AD2620" s="21"/>
      <c r="AE2620" s="21"/>
      <c r="AF2620" s="21"/>
      <c r="AG2620" s="21"/>
      <c r="AH2620" s="21">
        <v>23</v>
      </c>
      <c r="AI2620" s="21"/>
      <c r="AJ2620" s="21"/>
      <c r="AK2620" s="21"/>
      <c r="AL2620" s="21"/>
      <c r="AM2620" s="21">
        <v>6</v>
      </c>
      <c r="AN2620" s="21">
        <v>5</v>
      </c>
      <c r="AO2620" s="21">
        <v>5</v>
      </c>
      <c r="AP2620" s="21">
        <v>3</v>
      </c>
      <c r="AQ2620" s="21">
        <v>4</v>
      </c>
      <c r="AR2620" s="21"/>
      <c r="AS2620" s="21"/>
      <c r="AT2620" s="12" t="str">
        <f>HYPERLINK("http://www.openstreetmap.org/?mlat=35.3006&amp;mlon=45.6819&amp;zoom=12#map=12/35.3006/45.6819","Maplink1")</f>
        <v>Maplink1</v>
      </c>
      <c r="AU2620" s="12" t="str">
        <f>HYPERLINK("https://www.google.iq/maps/search/+35.3006,45.6819/@35.3006,45.6819,14z?hl=en","Maplink2")</f>
        <v>Maplink2</v>
      </c>
      <c r="AV2620" s="12" t="str">
        <f>HYPERLINK("http://www.bing.com/maps/?lvl=14&amp;sty=h&amp;cp=35.3006~45.6819&amp;sp=point.35.3006_45.6819","Maplink3")</f>
        <v>Maplink3</v>
      </c>
    </row>
    <row r="2621" spans="1:48" ht="15" customHeight="1" x14ac:dyDescent="0.25">
      <c r="A2621" s="19">
        <v>32091</v>
      </c>
      <c r="B2621" s="20" t="s">
        <v>24</v>
      </c>
      <c r="C2621" s="20" t="s">
        <v>4581</v>
      </c>
      <c r="D2621" s="20" t="s">
        <v>4582</v>
      </c>
      <c r="E2621" s="20" t="s">
        <v>4583</v>
      </c>
      <c r="F2621" s="20">
        <v>35.727350000000001</v>
      </c>
      <c r="G2621" s="20">
        <v>45.142470000000003</v>
      </c>
      <c r="H2621" s="22">
        <v>59</v>
      </c>
      <c r="I2621" s="22">
        <v>354</v>
      </c>
      <c r="J2621" s="21">
        <v>6</v>
      </c>
      <c r="K2621" s="21">
        <v>31</v>
      </c>
      <c r="L2621" s="21">
        <v>4</v>
      </c>
      <c r="M2621" s="21"/>
      <c r="N2621" s="21"/>
      <c r="O2621" s="21">
        <v>12</v>
      </c>
      <c r="P2621" s="21"/>
      <c r="Q2621" s="21"/>
      <c r="R2621" s="21"/>
      <c r="S2621" s="21"/>
      <c r="T2621" s="21"/>
      <c r="U2621" s="21"/>
      <c r="V2621" s="21">
        <v>1</v>
      </c>
      <c r="W2621" s="21"/>
      <c r="X2621" s="21">
        <v>5</v>
      </c>
      <c r="Y2621" s="21"/>
      <c r="Z2621" s="21"/>
      <c r="AA2621" s="21"/>
      <c r="AB2621" s="21"/>
      <c r="AC2621" s="21"/>
      <c r="AD2621" s="21"/>
      <c r="AE2621" s="21"/>
      <c r="AF2621" s="21"/>
      <c r="AG2621" s="21"/>
      <c r="AH2621" s="21">
        <v>59</v>
      </c>
      <c r="AI2621" s="21"/>
      <c r="AJ2621" s="21"/>
      <c r="AK2621" s="21"/>
      <c r="AL2621" s="21">
        <v>14</v>
      </c>
      <c r="AM2621" s="21">
        <v>26</v>
      </c>
      <c r="AN2621" s="21">
        <v>1</v>
      </c>
      <c r="AO2621" s="21">
        <v>15</v>
      </c>
      <c r="AP2621" s="21"/>
      <c r="AQ2621" s="21"/>
      <c r="AR2621" s="21"/>
      <c r="AS2621" s="21">
        <v>3</v>
      </c>
      <c r="AT2621" s="12" t="str">
        <f>HYPERLINK("http://www.openstreetmap.org/?mlat=35.7274&amp;mlon=45.1425&amp;zoom=12#map=12/35.7274/45.1425","Maplink1")</f>
        <v>Maplink1</v>
      </c>
      <c r="AU2621" s="12" t="str">
        <f>HYPERLINK("https://www.google.iq/maps/search/+35.7274,45.1425/@35.7274,45.1425,14z?hl=en","Maplink2")</f>
        <v>Maplink2</v>
      </c>
      <c r="AV2621" s="12" t="str">
        <f>HYPERLINK("http://www.bing.com/maps/?lvl=14&amp;sty=h&amp;cp=35.7274~45.1425&amp;sp=point.35.7274_45.1425","Maplink3")</f>
        <v>Maplink3</v>
      </c>
    </row>
    <row r="2622" spans="1:48" ht="15" customHeight="1" x14ac:dyDescent="0.25">
      <c r="A2622" s="19">
        <v>23924</v>
      </c>
      <c r="B2622" s="20" t="s">
        <v>24</v>
      </c>
      <c r="C2622" s="20" t="s">
        <v>4581</v>
      </c>
      <c r="D2622" s="20" t="s">
        <v>4584</v>
      </c>
      <c r="E2622" s="20" t="s">
        <v>4585</v>
      </c>
      <c r="F2622" s="20">
        <v>35.93094928</v>
      </c>
      <c r="G2622" s="20">
        <v>44.964473220000002</v>
      </c>
      <c r="H2622" s="22">
        <v>66</v>
      </c>
      <c r="I2622" s="22">
        <v>396</v>
      </c>
      <c r="J2622" s="21">
        <v>27</v>
      </c>
      <c r="K2622" s="21">
        <v>10</v>
      </c>
      <c r="L2622" s="21"/>
      <c r="M2622" s="21"/>
      <c r="N2622" s="21"/>
      <c r="O2622" s="21">
        <v>13</v>
      </c>
      <c r="P2622" s="21"/>
      <c r="Q2622" s="21"/>
      <c r="R2622" s="21">
        <v>4</v>
      </c>
      <c r="S2622" s="21"/>
      <c r="T2622" s="21"/>
      <c r="U2622" s="21"/>
      <c r="V2622" s="21">
        <v>8</v>
      </c>
      <c r="W2622" s="21"/>
      <c r="X2622" s="21">
        <v>4</v>
      </c>
      <c r="Y2622" s="21"/>
      <c r="Z2622" s="21"/>
      <c r="AA2622" s="21"/>
      <c r="AB2622" s="21"/>
      <c r="AC2622" s="21"/>
      <c r="AD2622" s="21"/>
      <c r="AE2622" s="21"/>
      <c r="AF2622" s="21"/>
      <c r="AG2622" s="21"/>
      <c r="AH2622" s="21">
        <v>66</v>
      </c>
      <c r="AI2622" s="21"/>
      <c r="AJ2622" s="21"/>
      <c r="AK2622" s="21"/>
      <c r="AL2622" s="21">
        <v>13</v>
      </c>
      <c r="AM2622" s="21">
        <v>19</v>
      </c>
      <c r="AN2622" s="21">
        <v>11</v>
      </c>
      <c r="AO2622" s="21">
        <v>12</v>
      </c>
      <c r="AP2622" s="21">
        <v>6</v>
      </c>
      <c r="AQ2622" s="21"/>
      <c r="AR2622" s="21"/>
      <c r="AS2622" s="21">
        <v>5</v>
      </c>
      <c r="AT2622" s="12" t="str">
        <f>HYPERLINK("http://www.openstreetmap.org/?mlat=35.9309&amp;mlon=44.9645&amp;zoom=12#map=12/35.9309/44.9645","Maplink1")</f>
        <v>Maplink1</v>
      </c>
      <c r="AU2622" s="12" t="str">
        <f>HYPERLINK("https://www.google.iq/maps/search/+35.9309,44.9645/@35.9309,44.9645,14z?hl=en","Maplink2")</f>
        <v>Maplink2</v>
      </c>
      <c r="AV2622" s="12" t="str">
        <f>HYPERLINK("http://www.bing.com/maps/?lvl=14&amp;sty=h&amp;cp=35.9309~44.9645&amp;sp=point.35.9309_44.9645","Maplink3")</f>
        <v>Maplink3</v>
      </c>
    </row>
    <row r="2623" spans="1:48" ht="15" customHeight="1" x14ac:dyDescent="0.25">
      <c r="A2623" s="19">
        <v>31968</v>
      </c>
      <c r="B2623" s="20" t="s">
        <v>24</v>
      </c>
      <c r="C2623" s="20" t="s">
        <v>4581</v>
      </c>
      <c r="D2623" s="20" t="s">
        <v>4586</v>
      </c>
      <c r="E2623" s="20" t="s">
        <v>4587</v>
      </c>
      <c r="F2623" s="20">
        <v>36.022779999999997</v>
      </c>
      <c r="G2623" s="20">
        <v>44.834009999999999</v>
      </c>
      <c r="H2623" s="22">
        <v>6</v>
      </c>
      <c r="I2623" s="22">
        <v>36</v>
      </c>
      <c r="J2623" s="21"/>
      <c r="K2623" s="21">
        <v>1</v>
      </c>
      <c r="L2623" s="21">
        <v>2</v>
      </c>
      <c r="M2623" s="21"/>
      <c r="N2623" s="21"/>
      <c r="O2623" s="21"/>
      <c r="P2623" s="21"/>
      <c r="Q2623" s="21"/>
      <c r="R2623" s="21"/>
      <c r="S2623" s="21"/>
      <c r="T2623" s="21"/>
      <c r="U2623" s="21"/>
      <c r="V2623" s="21">
        <v>3</v>
      </c>
      <c r="W2623" s="21"/>
      <c r="X2623" s="21"/>
      <c r="Y2623" s="21"/>
      <c r="Z2623" s="21"/>
      <c r="AA2623" s="21"/>
      <c r="AB2623" s="21"/>
      <c r="AC2623" s="21"/>
      <c r="AD2623" s="21"/>
      <c r="AE2623" s="21"/>
      <c r="AF2623" s="21"/>
      <c r="AG2623" s="21"/>
      <c r="AH2623" s="21">
        <v>6</v>
      </c>
      <c r="AI2623" s="21"/>
      <c r="AJ2623" s="21"/>
      <c r="AK2623" s="21"/>
      <c r="AL2623" s="21"/>
      <c r="AM2623" s="21">
        <v>4</v>
      </c>
      <c r="AN2623" s="21">
        <v>1</v>
      </c>
      <c r="AO2623" s="21">
        <v>1</v>
      </c>
      <c r="AP2623" s="21"/>
      <c r="AQ2623" s="21"/>
      <c r="AR2623" s="21"/>
      <c r="AS2623" s="21"/>
      <c r="AT2623" s="12" t="str">
        <f>HYPERLINK("http://www.openstreetmap.org/?mlat=36.0228&amp;mlon=44.834&amp;zoom=12#map=12/36.0228/44.834","Maplink1")</f>
        <v>Maplink1</v>
      </c>
      <c r="AU2623" s="12" t="str">
        <f>HYPERLINK("https://www.google.iq/maps/search/+36.0228,44.834/@36.0228,44.834,14z?hl=en","Maplink2")</f>
        <v>Maplink2</v>
      </c>
      <c r="AV2623" s="12" t="str">
        <f>HYPERLINK("http://www.bing.com/maps/?lvl=14&amp;sty=h&amp;cp=36.0228~44.834&amp;sp=point.36.0228_44.834","Maplink3")</f>
        <v>Maplink3</v>
      </c>
    </row>
    <row r="2624" spans="1:48" ht="15" customHeight="1" x14ac:dyDescent="0.25">
      <c r="A2624" s="19">
        <v>4714</v>
      </c>
      <c r="B2624" s="20" t="s">
        <v>24</v>
      </c>
      <c r="C2624" s="20" t="s">
        <v>4581</v>
      </c>
      <c r="D2624" s="20" t="s">
        <v>4588</v>
      </c>
      <c r="E2624" s="20" t="s">
        <v>4589</v>
      </c>
      <c r="F2624" s="20">
        <v>35.721490000000003</v>
      </c>
      <c r="G2624" s="20">
        <v>45.140352999999998</v>
      </c>
      <c r="H2624" s="22">
        <v>18</v>
      </c>
      <c r="I2624" s="22">
        <v>108</v>
      </c>
      <c r="J2624" s="21"/>
      <c r="K2624" s="21"/>
      <c r="L2624" s="21">
        <v>3</v>
      </c>
      <c r="M2624" s="21"/>
      <c r="N2624" s="21"/>
      <c r="O2624" s="21"/>
      <c r="P2624" s="21"/>
      <c r="Q2624" s="21"/>
      <c r="R2624" s="21"/>
      <c r="S2624" s="21"/>
      <c r="T2624" s="21"/>
      <c r="U2624" s="21"/>
      <c r="V2624" s="21">
        <v>15</v>
      </c>
      <c r="W2624" s="21"/>
      <c r="X2624" s="21"/>
      <c r="Y2624" s="21"/>
      <c r="Z2624" s="21"/>
      <c r="AA2624" s="21"/>
      <c r="AB2624" s="21"/>
      <c r="AC2624" s="21"/>
      <c r="AD2624" s="21"/>
      <c r="AE2624" s="21"/>
      <c r="AF2624" s="21"/>
      <c r="AG2624" s="21"/>
      <c r="AH2624" s="21">
        <v>18</v>
      </c>
      <c r="AI2624" s="21"/>
      <c r="AJ2624" s="21"/>
      <c r="AK2624" s="21"/>
      <c r="AL2624" s="21"/>
      <c r="AM2624" s="21">
        <v>5</v>
      </c>
      <c r="AN2624" s="21">
        <v>12</v>
      </c>
      <c r="AO2624" s="21">
        <v>1</v>
      </c>
      <c r="AP2624" s="21"/>
      <c r="AQ2624" s="21"/>
      <c r="AR2624" s="21"/>
      <c r="AS2624" s="21"/>
      <c r="AT2624" s="12" t="str">
        <f>HYPERLINK("http://www.openstreetmap.org/?mlat=35.7215&amp;mlon=45.1404&amp;zoom=12#map=12/35.7215/45.1404","Maplink1")</f>
        <v>Maplink1</v>
      </c>
      <c r="AU2624" s="12" t="str">
        <f>HYPERLINK("https://www.google.iq/maps/search/+35.7215,45.1404/@35.7215,45.1404,14z?hl=en","Maplink2")</f>
        <v>Maplink2</v>
      </c>
      <c r="AV2624" s="12" t="str">
        <f>HYPERLINK("http://www.bing.com/maps/?lvl=14&amp;sty=h&amp;cp=35.7215~45.1404&amp;sp=point.35.7215_45.1404","Maplink3")</f>
        <v>Maplink3</v>
      </c>
    </row>
    <row r="2625" spans="1:48" ht="15" customHeight="1" x14ac:dyDescent="0.25">
      <c r="A2625" s="19">
        <v>23721</v>
      </c>
      <c r="B2625" s="20" t="s">
        <v>24</v>
      </c>
      <c r="C2625" s="20" t="s">
        <v>4581</v>
      </c>
      <c r="D2625" s="20" t="s">
        <v>4590</v>
      </c>
      <c r="E2625" s="20" t="s">
        <v>4591</v>
      </c>
      <c r="F2625" s="20">
        <v>35.936062163899997</v>
      </c>
      <c r="G2625" s="20">
        <v>44.977277630899998</v>
      </c>
      <c r="H2625" s="22">
        <v>30</v>
      </c>
      <c r="I2625" s="22">
        <v>180</v>
      </c>
      <c r="J2625" s="21">
        <v>18</v>
      </c>
      <c r="K2625" s="21">
        <v>2</v>
      </c>
      <c r="L2625" s="21">
        <v>4</v>
      </c>
      <c r="M2625" s="21"/>
      <c r="N2625" s="21"/>
      <c r="O2625" s="21">
        <v>2</v>
      </c>
      <c r="P2625" s="21"/>
      <c r="Q2625" s="21"/>
      <c r="R2625" s="21">
        <v>4</v>
      </c>
      <c r="S2625" s="21"/>
      <c r="T2625" s="21"/>
      <c r="U2625" s="21"/>
      <c r="V2625" s="21"/>
      <c r="W2625" s="21"/>
      <c r="X2625" s="21"/>
      <c r="Y2625" s="21"/>
      <c r="Z2625" s="21"/>
      <c r="AA2625" s="21"/>
      <c r="AB2625" s="21"/>
      <c r="AC2625" s="21"/>
      <c r="AD2625" s="21"/>
      <c r="AE2625" s="21"/>
      <c r="AF2625" s="21"/>
      <c r="AG2625" s="21"/>
      <c r="AH2625" s="21">
        <v>30</v>
      </c>
      <c r="AI2625" s="21"/>
      <c r="AJ2625" s="21"/>
      <c r="AK2625" s="21"/>
      <c r="AL2625" s="21">
        <v>4</v>
      </c>
      <c r="AM2625" s="21">
        <v>4</v>
      </c>
      <c r="AN2625" s="21">
        <v>5</v>
      </c>
      <c r="AO2625" s="21">
        <v>8</v>
      </c>
      <c r="AP2625" s="21">
        <v>4</v>
      </c>
      <c r="AQ2625" s="21"/>
      <c r="AR2625" s="21"/>
      <c r="AS2625" s="21">
        <v>5</v>
      </c>
      <c r="AT2625" s="12" t="str">
        <f>HYPERLINK("http://www.openstreetmap.org/?mlat=35.9361&amp;mlon=44.9773&amp;zoom=12#map=12/35.9361/44.9773","Maplink1")</f>
        <v>Maplink1</v>
      </c>
      <c r="AU2625" s="12" t="str">
        <f>HYPERLINK("https://www.google.iq/maps/search/+35.9361,44.9773/@35.9361,44.9773,14z?hl=en","Maplink2")</f>
        <v>Maplink2</v>
      </c>
      <c r="AV2625" s="12" t="str">
        <f>HYPERLINK("http://www.bing.com/maps/?lvl=14&amp;sty=h&amp;cp=35.9361~44.9773&amp;sp=point.35.9361_44.9773","Maplink3")</f>
        <v>Maplink3</v>
      </c>
    </row>
    <row r="2626" spans="1:48" ht="15" customHeight="1" x14ac:dyDescent="0.25">
      <c r="A2626" s="19">
        <v>23162</v>
      </c>
      <c r="B2626" s="20" t="s">
        <v>24</v>
      </c>
      <c r="C2626" s="20" t="s">
        <v>4581</v>
      </c>
      <c r="D2626" s="20" t="s">
        <v>4592</v>
      </c>
      <c r="E2626" s="20" t="s">
        <v>4593</v>
      </c>
      <c r="F2626" s="20">
        <v>35.948116409999997</v>
      </c>
      <c r="G2626" s="20">
        <v>44.969750009999998</v>
      </c>
      <c r="H2626" s="22">
        <v>7</v>
      </c>
      <c r="I2626" s="22">
        <v>42</v>
      </c>
      <c r="J2626" s="21">
        <v>2</v>
      </c>
      <c r="K2626" s="21"/>
      <c r="L2626" s="21">
        <v>1</v>
      </c>
      <c r="M2626" s="21"/>
      <c r="N2626" s="21"/>
      <c r="O2626" s="21"/>
      <c r="P2626" s="21"/>
      <c r="Q2626" s="21"/>
      <c r="R2626" s="21"/>
      <c r="S2626" s="21"/>
      <c r="T2626" s="21"/>
      <c r="U2626" s="21"/>
      <c r="V2626" s="21">
        <v>4</v>
      </c>
      <c r="W2626" s="21"/>
      <c r="X2626" s="21"/>
      <c r="Y2626" s="21"/>
      <c r="Z2626" s="21"/>
      <c r="AA2626" s="21"/>
      <c r="AB2626" s="21"/>
      <c r="AC2626" s="21"/>
      <c r="AD2626" s="21"/>
      <c r="AE2626" s="21"/>
      <c r="AF2626" s="21"/>
      <c r="AG2626" s="21"/>
      <c r="AH2626" s="21">
        <v>7</v>
      </c>
      <c r="AI2626" s="21"/>
      <c r="AJ2626" s="21"/>
      <c r="AK2626" s="21"/>
      <c r="AL2626" s="21">
        <v>2</v>
      </c>
      <c r="AM2626" s="21"/>
      <c r="AN2626" s="21">
        <v>5</v>
      </c>
      <c r="AO2626" s="21"/>
      <c r="AP2626" s="21"/>
      <c r="AQ2626" s="21"/>
      <c r="AR2626" s="21"/>
      <c r="AS2626" s="21"/>
      <c r="AT2626" s="12" t="str">
        <f>HYPERLINK("http://www.openstreetmap.org/?mlat=35.9481&amp;mlon=44.9698&amp;zoom=12#map=12/35.9481/44.9698","Maplink1")</f>
        <v>Maplink1</v>
      </c>
      <c r="AU2626" s="12" t="str">
        <f>HYPERLINK("https://www.google.iq/maps/search/+35.9481,44.9698/@35.9481,44.9698,14z?hl=en","Maplink2")</f>
        <v>Maplink2</v>
      </c>
      <c r="AV2626" s="12" t="str">
        <f>HYPERLINK("http://www.bing.com/maps/?lvl=14&amp;sty=h&amp;cp=35.9481~44.9698&amp;sp=point.35.9481_44.9698","Maplink3")</f>
        <v>Maplink3</v>
      </c>
    </row>
    <row r="2627" spans="1:48" ht="15" customHeight="1" x14ac:dyDescent="0.25">
      <c r="A2627" s="19">
        <v>32093</v>
      </c>
      <c r="B2627" s="20" t="s">
        <v>24</v>
      </c>
      <c r="C2627" s="20" t="s">
        <v>4581</v>
      </c>
      <c r="D2627" s="20" t="s">
        <v>4594</v>
      </c>
      <c r="E2627" s="20" t="s">
        <v>4595</v>
      </c>
      <c r="F2627" s="20">
        <v>35.688020000000002</v>
      </c>
      <c r="G2627" s="20">
        <v>45.236710000000002</v>
      </c>
      <c r="H2627" s="22">
        <v>7</v>
      </c>
      <c r="I2627" s="22">
        <v>42</v>
      </c>
      <c r="J2627" s="21"/>
      <c r="K2627" s="21">
        <v>3</v>
      </c>
      <c r="L2627" s="21"/>
      <c r="M2627" s="21"/>
      <c r="N2627" s="21"/>
      <c r="O2627" s="21"/>
      <c r="P2627" s="21"/>
      <c r="Q2627" s="21"/>
      <c r="R2627" s="21"/>
      <c r="S2627" s="21"/>
      <c r="T2627" s="21"/>
      <c r="U2627" s="21"/>
      <c r="V2627" s="21">
        <v>4</v>
      </c>
      <c r="W2627" s="21"/>
      <c r="X2627" s="21"/>
      <c r="Y2627" s="21"/>
      <c r="Z2627" s="21"/>
      <c r="AA2627" s="21"/>
      <c r="AB2627" s="21"/>
      <c r="AC2627" s="21"/>
      <c r="AD2627" s="21"/>
      <c r="AE2627" s="21"/>
      <c r="AF2627" s="21"/>
      <c r="AG2627" s="21"/>
      <c r="AH2627" s="21">
        <v>7</v>
      </c>
      <c r="AI2627" s="21"/>
      <c r="AJ2627" s="21"/>
      <c r="AK2627" s="21"/>
      <c r="AL2627" s="21"/>
      <c r="AM2627" s="21">
        <v>3</v>
      </c>
      <c r="AN2627" s="21">
        <v>4</v>
      </c>
      <c r="AO2627" s="21"/>
      <c r="AP2627" s="21"/>
      <c r="AQ2627" s="21"/>
      <c r="AR2627" s="21"/>
      <c r="AS2627" s="21"/>
      <c r="AT2627" s="12" t="str">
        <f>HYPERLINK("http://www.openstreetmap.org/?mlat=35.688&amp;mlon=45.2367&amp;zoom=12#map=12/35.688/45.2367","Maplink1")</f>
        <v>Maplink1</v>
      </c>
      <c r="AU2627" s="12" t="str">
        <f>HYPERLINK("https://www.google.iq/maps/search/+35.688,45.2367/@35.688,45.2367,14z?hl=en","Maplink2")</f>
        <v>Maplink2</v>
      </c>
      <c r="AV2627" s="12" t="str">
        <f>HYPERLINK("http://www.bing.com/maps/?lvl=14&amp;sty=h&amp;cp=35.688~45.2367&amp;sp=point.35.688_45.2367","Maplink3")</f>
        <v>Maplink3</v>
      </c>
    </row>
    <row r="2628" spans="1:48" ht="15" customHeight="1" x14ac:dyDescent="0.25">
      <c r="A2628" s="19">
        <v>24553</v>
      </c>
      <c r="B2628" s="20" t="s">
        <v>24</v>
      </c>
      <c r="C2628" s="20" t="s">
        <v>4581</v>
      </c>
      <c r="D2628" s="20" t="s">
        <v>4596</v>
      </c>
      <c r="E2628" s="20" t="s">
        <v>4597</v>
      </c>
      <c r="F2628" s="20">
        <v>35.935202519999997</v>
      </c>
      <c r="G2628" s="20">
        <v>44.957066500000003</v>
      </c>
      <c r="H2628" s="22">
        <v>40</v>
      </c>
      <c r="I2628" s="22">
        <v>240</v>
      </c>
      <c r="J2628" s="21">
        <v>10</v>
      </c>
      <c r="K2628" s="21">
        <v>2</v>
      </c>
      <c r="L2628" s="21">
        <v>3</v>
      </c>
      <c r="M2628" s="21"/>
      <c r="N2628" s="21"/>
      <c r="O2628" s="21">
        <v>15</v>
      </c>
      <c r="P2628" s="21"/>
      <c r="Q2628" s="21"/>
      <c r="R2628" s="21"/>
      <c r="S2628" s="21"/>
      <c r="T2628" s="21"/>
      <c r="U2628" s="21"/>
      <c r="V2628" s="21">
        <v>3</v>
      </c>
      <c r="W2628" s="21"/>
      <c r="X2628" s="21">
        <v>7</v>
      </c>
      <c r="Y2628" s="21"/>
      <c r="Z2628" s="21"/>
      <c r="AA2628" s="21"/>
      <c r="AB2628" s="21"/>
      <c r="AC2628" s="21"/>
      <c r="AD2628" s="21"/>
      <c r="AE2628" s="21"/>
      <c r="AF2628" s="21"/>
      <c r="AG2628" s="21"/>
      <c r="AH2628" s="21">
        <v>40</v>
      </c>
      <c r="AI2628" s="21"/>
      <c r="AJ2628" s="21"/>
      <c r="AK2628" s="21"/>
      <c r="AL2628" s="21">
        <v>10</v>
      </c>
      <c r="AM2628" s="21">
        <v>11</v>
      </c>
      <c r="AN2628" s="21">
        <v>9</v>
      </c>
      <c r="AO2628" s="21">
        <v>10</v>
      </c>
      <c r="AP2628" s="21"/>
      <c r="AQ2628" s="21"/>
      <c r="AR2628" s="21"/>
      <c r="AS2628" s="21"/>
      <c r="AT2628" s="12" t="str">
        <f>HYPERLINK("http://www.openstreetmap.org/?mlat=35.9352&amp;mlon=44.9571&amp;zoom=12#map=12/35.9352/44.9571","Maplink1")</f>
        <v>Maplink1</v>
      </c>
      <c r="AU2628" s="12" t="str">
        <f>HYPERLINK("https://www.google.iq/maps/search/+35.9352,44.9571/@35.9352,44.9571,14z?hl=en","Maplink2")</f>
        <v>Maplink2</v>
      </c>
      <c r="AV2628" s="12" t="str">
        <f>HYPERLINK("http://www.bing.com/maps/?lvl=14&amp;sty=h&amp;cp=35.9352~44.9571&amp;sp=point.35.9352_44.9571","Maplink3")</f>
        <v>Maplink3</v>
      </c>
    </row>
    <row r="2629" spans="1:48" ht="15" customHeight="1" x14ac:dyDescent="0.25">
      <c r="A2629" s="19">
        <v>6157</v>
      </c>
      <c r="B2629" s="20" t="s">
        <v>24</v>
      </c>
      <c r="C2629" s="20" t="s">
        <v>4581</v>
      </c>
      <c r="D2629" s="20" t="s">
        <v>4598</v>
      </c>
      <c r="E2629" s="20" t="s">
        <v>4599</v>
      </c>
      <c r="F2629" s="20">
        <v>36.003990000000002</v>
      </c>
      <c r="G2629" s="20">
        <v>44.855440000000002</v>
      </c>
      <c r="H2629" s="22">
        <v>2</v>
      </c>
      <c r="I2629" s="22">
        <v>12</v>
      </c>
      <c r="J2629" s="21"/>
      <c r="K2629" s="21"/>
      <c r="L2629" s="21"/>
      <c r="M2629" s="21"/>
      <c r="N2629" s="21"/>
      <c r="O2629" s="21">
        <v>2</v>
      </c>
      <c r="P2629" s="21"/>
      <c r="Q2629" s="21"/>
      <c r="R2629" s="21"/>
      <c r="S2629" s="21"/>
      <c r="T2629" s="21"/>
      <c r="U2629" s="21"/>
      <c r="V2629" s="21"/>
      <c r="W2629" s="21"/>
      <c r="X2629" s="21"/>
      <c r="Y2629" s="21"/>
      <c r="Z2629" s="21"/>
      <c r="AA2629" s="21"/>
      <c r="AB2629" s="21"/>
      <c r="AC2629" s="21"/>
      <c r="AD2629" s="21"/>
      <c r="AE2629" s="21"/>
      <c r="AF2629" s="21"/>
      <c r="AG2629" s="21"/>
      <c r="AH2629" s="21">
        <v>2</v>
      </c>
      <c r="AI2629" s="21"/>
      <c r="AJ2629" s="21"/>
      <c r="AK2629" s="21"/>
      <c r="AL2629" s="21"/>
      <c r="AM2629" s="21">
        <v>2</v>
      </c>
      <c r="AN2629" s="21"/>
      <c r="AO2629" s="21"/>
      <c r="AP2629" s="21"/>
      <c r="AQ2629" s="21"/>
      <c r="AR2629" s="21"/>
      <c r="AS2629" s="21"/>
      <c r="AT2629" s="12" t="str">
        <f>HYPERLINK("http://www.openstreetmap.org/?mlat=36.004&amp;mlon=44.8554&amp;zoom=12#map=12/36.004/44.8554","Maplink1")</f>
        <v>Maplink1</v>
      </c>
      <c r="AU2629" s="12" t="str">
        <f>HYPERLINK("https://www.google.iq/maps/search/+36.004,44.8554/@36.004,44.8554,14z?hl=en","Maplink2")</f>
        <v>Maplink2</v>
      </c>
      <c r="AV2629" s="12" t="str">
        <f>HYPERLINK("http://www.bing.com/maps/?lvl=14&amp;sty=h&amp;cp=36.004~44.8554&amp;sp=point.36.004_44.8554","Maplink3")</f>
        <v>Maplink3</v>
      </c>
    </row>
    <row r="2630" spans="1:48" ht="15" customHeight="1" x14ac:dyDescent="0.25">
      <c r="A2630" s="19">
        <v>5245</v>
      </c>
      <c r="B2630" s="20" t="s">
        <v>24</v>
      </c>
      <c r="C2630" s="20" t="s">
        <v>4581</v>
      </c>
      <c r="D2630" s="20" t="s">
        <v>4600</v>
      </c>
      <c r="E2630" s="20" t="s">
        <v>4601</v>
      </c>
      <c r="F2630" s="20">
        <v>35.671460000000003</v>
      </c>
      <c r="G2630" s="20">
        <v>45.195120000000003</v>
      </c>
      <c r="H2630" s="22">
        <v>42</v>
      </c>
      <c r="I2630" s="22">
        <v>252</v>
      </c>
      <c r="J2630" s="21">
        <v>2</v>
      </c>
      <c r="K2630" s="21"/>
      <c r="L2630" s="21">
        <v>4</v>
      </c>
      <c r="M2630" s="21"/>
      <c r="N2630" s="21"/>
      <c r="O2630" s="21">
        <v>2</v>
      </c>
      <c r="P2630" s="21"/>
      <c r="Q2630" s="21"/>
      <c r="R2630" s="21"/>
      <c r="S2630" s="21"/>
      <c r="T2630" s="21"/>
      <c r="U2630" s="21"/>
      <c r="V2630" s="21">
        <v>34</v>
      </c>
      <c r="W2630" s="21"/>
      <c r="X2630" s="21"/>
      <c r="Y2630" s="21"/>
      <c r="Z2630" s="21"/>
      <c r="AA2630" s="21"/>
      <c r="AB2630" s="21"/>
      <c r="AC2630" s="21"/>
      <c r="AD2630" s="21"/>
      <c r="AE2630" s="21"/>
      <c r="AF2630" s="21"/>
      <c r="AG2630" s="21"/>
      <c r="AH2630" s="21">
        <v>42</v>
      </c>
      <c r="AI2630" s="21"/>
      <c r="AJ2630" s="21"/>
      <c r="AK2630" s="21"/>
      <c r="AL2630" s="21">
        <v>3</v>
      </c>
      <c r="AM2630" s="21">
        <v>2</v>
      </c>
      <c r="AN2630" s="21">
        <v>34</v>
      </c>
      <c r="AO2630" s="21">
        <v>3</v>
      </c>
      <c r="AP2630" s="21"/>
      <c r="AQ2630" s="21"/>
      <c r="AR2630" s="21"/>
      <c r="AS2630" s="21"/>
      <c r="AT2630" s="12" t="str">
        <f>HYPERLINK("http://www.openstreetmap.org/?mlat=35.6715&amp;mlon=45.1951&amp;zoom=12#map=12/35.6715/45.1951","Maplink1")</f>
        <v>Maplink1</v>
      </c>
      <c r="AU2630" s="12" t="str">
        <f>HYPERLINK("https://www.google.iq/maps/search/+35.6715,45.1951/@35.6715,45.1951,14z?hl=en","Maplink2")</f>
        <v>Maplink2</v>
      </c>
      <c r="AV2630" s="12" t="str">
        <f>HYPERLINK("http://www.bing.com/maps/?lvl=14&amp;sty=h&amp;cp=35.6715~45.1951&amp;sp=point.35.6715_45.1951","Maplink3")</f>
        <v>Maplink3</v>
      </c>
    </row>
    <row r="2631" spans="1:48" ht="15" customHeight="1" x14ac:dyDescent="0.25">
      <c r="A2631" s="19">
        <v>32094</v>
      </c>
      <c r="B2631" s="20" t="s">
        <v>24</v>
      </c>
      <c r="C2631" s="20" t="s">
        <v>4581</v>
      </c>
      <c r="D2631" s="20" t="s">
        <v>4602</v>
      </c>
      <c r="E2631" s="20" t="s">
        <v>4603</v>
      </c>
      <c r="F2631" s="20">
        <v>35.647550000000003</v>
      </c>
      <c r="G2631" s="20">
        <v>45.221165999999997</v>
      </c>
      <c r="H2631" s="22">
        <v>11</v>
      </c>
      <c r="I2631" s="22">
        <v>66</v>
      </c>
      <c r="J2631" s="21"/>
      <c r="K2631" s="21"/>
      <c r="L2631" s="21"/>
      <c r="M2631" s="21"/>
      <c r="N2631" s="21"/>
      <c r="O2631" s="21"/>
      <c r="P2631" s="21"/>
      <c r="Q2631" s="21"/>
      <c r="R2631" s="21"/>
      <c r="S2631" s="21"/>
      <c r="T2631" s="21"/>
      <c r="U2631" s="21"/>
      <c r="V2631" s="21">
        <v>9</v>
      </c>
      <c r="W2631" s="21"/>
      <c r="X2631" s="21">
        <v>2</v>
      </c>
      <c r="Y2631" s="21"/>
      <c r="Z2631" s="21"/>
      <c r="AA2631" s="21"/>
      <c r="AB2631" s="21"/>
      <c r="AC2631" s="21"/>
      <c r="AD2631" s="21"/>
      <c r="AE2631" s="21"/>
      <c r="AF2631" s="21"/>
      <c r="AG2631" s="21"/>
      <c r="AH2631" s="21">
        <v>11</v>
      </c>
      <c r="AI2631" s="21"/>
      <c r="AJ2631" s="21"/>
      <c r="AK2631" s="21"/>
      <c r="AL2631" s="21"/>
      <c r="AM2631" s="21">
        <v>2</v>
      </c>
      <c r="AN2631" s="21">
        <v>9</v>
      </c>
      <c r="AO2631" s="21"/>
      <c r="AP2631" s="21"/>
      <c r="AQ2631" s="21"/>
      <c r="AR2631" s="21"/>
      <c r="AS2631" s="21"/>
      <c r="AT2631" s="12" t="str">
        <f>HYPERLINK("http://www.openstreetmap.org/?mlat=35.6476&amp;mlon=45.2212&amp;zoom=12#map=12/35.6476/45.2212","Maplink1")</f>
        <v>Maplink1</v>
      </c>
      <c r="AU2631" s="12" t="str">
        <f>HYPERLINK("https://www.google.iq/maps/search/+35.6476,45.2212/@35.6476,45.2212,14z?hl=en","Maplink2")</f>
        <v>Maplink2</v>
      </c>
      <c r="AV2631" s="12" t="str">
        <f>HYPERLINK("http://www.bing.com/maps/?lvl=14&amp;sty=h&amp;cp=35.6476~45.2212&amp;sp=point.35.6476_45.2212","Maplink3")</f>
        <v>Maplink3</v>
      </c>
    </row>
    <row r="2632" spans="1:48" ht="15" customHeight="1" x14ac:dyDescent="0.25">
      <c r="A2632" s="19">
        <v>5229</v>
      </c>
      <c r="B2632" s="20" t="s">
        <v>24</v>
      </c>
      <c r="C2632" s="20" t="s">
        <v>4581</v>
      </c>
      <c r="D2632" s="20" t="s">
        <v>4604</v>
      </c>
      <c r="E2632" s="20" t="s">
        <v>4605</v>
      </c>
      <c r="F2632" s="20">
        <v>35.862857839999997</v>
      </c>
      <c r="G2632" s="20">
        <v>45.041973779999999</v>
      </c>
      <c r="H2632" s="22">
        <v>3</v>
      </c>
      <c r="I2632" s="22">
        <v>18</v>
      </c>
      <c r="J2632" s="21"/>
      <c r="K2632" s="21">
        <v>2</v>
      </c>
      <c r="L2632" s="21"/>
      <c r="M2632" s="21"/>
      <c r="N2632" s="21"/>
      <c r="O2632" s="21"/>
      <c r="P2632" s="21"/>
      <c r="Q2632" s="21"/>
      <c r="R2632" s="21"/>
      <c r="S2632" s="21"/>
      <c r="T2632" s="21"/>
      <c r="U2632" s="21"/>
      <c r="V2632" s="21">
        <v>1</v>
      </c>
      <c r="W2632" s="21"/>
      <c r="X2632" s="21"/>
      <c r="Y2632" s="21"/>
      <c r="Z2632" s="21"/>
      <c r="AA2632" s="21"/>
      <c r="AB2632" s="21"/>
      <c r="AC2632" s="21"/>
      <c r="AD2632" s="21"/>
      <c r="AE2632" s="21"/>
      <c r="AF2632" s="21"/>
      <c r="AG2632" s="21"/>
      <c r="AH2632" s="21">
        <v>3</v>
      </c>
      <c r="AI2632" s="21"/>
      <c r="AJ2632" s="21"/>
      <c r="AK2632" s="21"/>
      <c r="AL2632" s="21"/>
      <c r="AM2632" s="21">
        <v>2</v>
      </c>
      <c r="AN2632" s="21">
        <v>1</v>
      </c>
      <c r="AO2632" s="21"/>
      <c r="AP2632" s="21"/>
      <c r="AQ2632" s="21"/>
      <c r="AR2632" s="21"/>
      <c r="AS2632" s="21"/>
      <c r="AT2632" s="12" t="str">
        <f>HYPERLINK("http://www.openstreetmap.org/?mlat=35.8629&amp;mlon=45.042&amp;zoom=12#map=12/35.8629/45.042","Maplink1")</f>
        <v>Maplink1</v>
      </c>
      <c r="AU2632" s="12" t="str">
        <f>HYPERLINK("https://www.google.iq/maps/search/+35.8629,45.042/@35.8629,45.042,14z?hl=en","Maplink2")</f>
        <v>Maplink2</v>
      </c>
      <c r="AV2632" s="12" t="str">
        <f>HYPERLINK("http://www.bing.com/maps/?lvl=14&amp;sty=h&amp;cp=35.8629~45.042&amp;sp=point.35.8629_45.042","Maplink3")</f>
        <v>Maplink3</v>
      </c>
    </row>
    <row r="2633" spans="1:48" ht="15" customHeight="1" x14ac:dyDescent="0.25">
      <c r="A2633" s="19">
        <v>4836</v>
      </c>
      <c r="B2633" s="20" t="s">
        <v>24</v>
      </c>
      <c r="C2633" s="20" t="s">
        <v>4581</v>
      </c>
      <c r="D2633" s="20" t="s">
        <v>4606</v>
      </c>
      <c r="E2633" s="20" t="s">
        <v>4607</v>
      </c>
      <c r="F2633" s="20">
        <v>36.046460000000003</v>
      </c>
      <c r="G2633" s="20">
        <v>44.79992</v>
      </c>
      <c r="H2633" s="22">
        <v>3</v>
      </c>
      <c r="I2633" s="22">
        <v>18</v>
      </c>
      <c r="J2633" s="21"/>
      <c r="K2633" s="21"/>
      <c r="L2633" s="21"/>
      <c r="M2633" s="21"/>
      <c r="N2633" s="21"/>
      <c r="O2633" s="21"/>
      <c r="P2633" s="21"/>
      <c r="Q2633" s="21"/>
      <c r="R2633" s="21"/>
      <c r="S2633" s="21"/>
      <c r="T2633" s="21"/>
      <c r="U2633" s="21"/>
      <c r="V2633" s="21">
        <v>3</v>
      </c>
      <c r="W2633" s="21"/>
      <c r="X2633" s="21"/>
      <c r="Y2633" s="21"/>
      <c r="Z2633" s="21"/>
      <c r="AA2633" s="21"/>
      <c r="AB2633" s="21"/>
      <c r="AC2633" s="21"/>
      <c r="AD2633" s="21"/>
      <c r="AE2633" s="21"/>
      <c r="AF2633" s="21"/>
      <c r="AG2633" s="21"/>
      <c r="AH2633" s="21">
        <v>3</v>
      </c>
      <c r="AI2633" s="21"/>
      <c r="AJ2633" s="21"/>
      <c r="AK2633" s="21"/>
      <c r="AL2633" s="21"/>
      <c r="AM2633" s="21"/>
      <c r="AN2633" s="21">
        <v>1</v>
      </c>
      <c r="AO2633" s="21"/>
      <c r="AP2633" s="21"/>
      <c r="AQ2633" s="21">
        <v>1</v>
      </c>
      <c r="AR2633" s="21"/>
      <c r="AS2633" s="21">
        <v>1</v>
      </c>
      <c r="AT2633" s="12" t="str">
        <f>HYPERLINK("http://www.openstreetmap.org/?mlat=36.0465&amp;mlon=44.7999&amp;zoom=12#map=12/36.0465/44.7999","Maplink1")</f>
        <v>Maplink1</v>
      </c>
      <c r="AU2633" s="12" t="str">
        <f>HYPERLINK("https://www.google.iq/maps/search/+36.0465,44.7999/@36.0465,44.7999,14z?hl=en","Maplink2")</f>
        <v>Maplink2</v>
      </c>
      <c r="AV2633" s="12" t="str">
        <f>HYPERLINK("http://www.bing.com/maps/?lvl=14&amp;sty=h&amp;cp=36.0465~44.7999&amp;sp=point.36.0465_44.7999","Maplink3")</f>
        <v>Maplink3</v>
      </c>
    </row>
    <row r="2634" spans="1:48" ht="15" customHeight="1" x14ac:dyDescent="0.25">
      <c r="A2634" s="19">
        <v>3654</v>
      </c>
      <c r="B2634" s="20" t="s">
        <v>24</v>
      </c>
      <c r="C2634" s="20" t="s">
        <v>4581</v>
      </c>
      <c r="D2634" s="20" t="s">
        <v>4608</v>
      </c>
      <c r="E2634" s="20" t="s">
        <v>4609</v>
      </c>
      <c r="F2634" s="20">
        <v>36.086030000000001</v>
      </c>
      <c r="G2634" s="20">
        <v>44.763010000000001</v>
      </c>
      <c r="H2634" s="22">
        <v>8</v>
      </c>
      <c r="I2634" s="22">
        <v>48</v>
      </c>
      <c r="J2634" s="21"/>
      <c r="K2634" s="21"/>
      <c r="L2634" s="21"/>
      <c r="M2634" s="21"/>
      <c r="N2634" s="21"/>
      <c r="O2634" s="21"/>
      <c r="P2634" s="21"/>
      <c r="Q2634" s="21"/>
      <c r="R2634" s="21"/>
      <c r="S2634" s="21"/>
      <c r="T2634" s="21"/>
      <c r="U2634" s="21"/>
      <c r="V2634" s="21">
        <v>8</v>
      </c>
      <c r="W2634" s="21"/>
      <c r="X2634" s="21"/>
      <c r="Y2634" s="21"/>
      <c r="Z2634" s="21"/>
      <c r="AA2634" s="21"/>
      <c r="AB2634" s="21"/>
      <c r="AC2634" s="21"/>
      <c r="AD2634" s="21"/>
      <c r="AE2634" s="21"/>
      <c r="AF2634" s="21"/>
      <c r="AG2634" s="21"/>
      <c r="AH2634" s="21">
        <v>8</v>
      </c>
      <c r="AI2634" s="21"/>
      <c r="AJ2634" s="21"/>
      <c r="AK2634" s="21"/>
      <c r="AL2634" s="21"/>
      <c r="AM2634" s="21">
        <v>5</v>
      </c>
      <c r="AN2634" s="21">
        <v>3</v>
      </c>
      <c r="AO2634" s="21"/>
      <c r="AP2634" s="21"/>
      <c r="AQ2634" s="21"/>
      <c r="AR2634" s="21"/>
      <c r="AS2634" s="21"/>
      <c r="AT2634" s="12" t="str">
        <f>HYPERLINK("http://www.openstreetmap.org/?mlat=36.086&amp;mlon=44.763&amp;zoom=12#map=12/36.086/44.763","Maplink1")</f>
        <v>Maplink1</v>
      </c>
      <c r="AU2634" s="12" t="str">
        <f>HYPERLINK("https://www.google.iq/maps/search/+36.086,44.763/@36.086,44.763,14z?hl=en","Maplink2")</f>
        <v>Maplink2</v>
      </c>
      <c r="AV2634" s="12" t="str">
        <f>HYPERLINK("http://www.bing.com/maps/?lvl=14&amp;sty=h&amp;cp=36.086~44.763&amp;sp=point.36.086_44.763","Maplink3")</f>
        <v>Maplink3</v>
      </c>
    </row>
    <row r="2635" spans="1:48" ht="15" customHeight="1" x14ac:dyDescent="0.25">
      <c r="A2635" s="19">
        <v>31970</v>
      </c>
      <c r="B2635" s="20" t="s">
        <v>24</v>
      </c>
      <c r="C2635" s="20" t="s">
        <v>4581</v>
      </c>
      <c r="D2635" s="20" t="s">
        <v>4610</v>
      </c>
      <c r="E2635" s="20" t="s">
        <v>4611</v>
      </c>
      <c r="F2635" s="20">
        <v>36.022509999999997</v>
      </c>
      <c r="G2635" s="20">
        <v>44.840119999999999</v>
      </c>
      <c r="H2635" s="22">
        <v>3</v>
      </c>
      <c r="I2635" s="22">
        <v>18</v>
      </c>
      <c r="J2635" s="21">
        <v>2</v>
      </c>
      <c r="K2635" s="21"/>
      <c r="L2635" s="21">
        <v>1</v>
      </c>
      <c r="M2635" s="21"/>
      <c r="N2635" s="21"/>
      <c r="O2635" s="21"/>
      <c r="P2635" s="21"/>
      <c r="Q2635" s="21"/>
      <c r="R2635" s="21"/>
      <c r="S2635" s="21"/>
      <c r="T2635" s="21"/>
      <c r="U2635" s="21"/>
      <c r="V2635" s="21"/>
      <c r="W2635" s="21"/>
      <c r="X2635" s="21"/>
      <c r="Y2635" s="21"/>
      <c r="Z2635" s="21"/>
      <c r="AA2635" s="21"/>
      <c r="AB2635" s="21"/>
      <c r="AC2635" s="21"/>
      <c r="AD2635" s="21"/>
      <c r="AE2635" s="21"/>
      <c r="AF2635" s="21"/>
      <c r="AG2635" s="21"/>
      <c r="AH2635" s="21">
        <v>3</v>
      </c>
      <c r="AI2635" s="21"/>
      <c r="AJ2635" s="21"/>
      <c r="AK2635" s="21"/>
      <c r="AL2635" s="21">
        <v>1</v>
      </c>
      <c r="AM2635" s="21"/>
      <c r="AN2635" s="21"/>
      <c r="AO2635" s="21"/>
      <c r="AP2635" s="21"/>
      <c r="AQ2635" s="21"/>
      <c r="AR2635" s="21">
        <v>2</v>
      </c>
      <c r="AS2635" s="21"/>
      <c r="AT2635" s="12" t="str">
        <f>HYPERLINK("http://www.openstreetmap.org/?mlat=36.0225&amp;mlon=44.8401&amp;zoom=12#map=12/36.0225/44.8401","Maplink1")</f>
        <v>Maplink1</v>
      </c>
      <c r="AU2635" s="12" t="str">
        <f>HYPERLINK("https://www.google.iq/maps/search/+36.0225,44.8401/@36.0225,44.8401,14z?hl=en","Maplink2")</f>
        <v>Maplink2</v>
      </c>
      <c r="AV2635" s="12" t="str">
        <f>HYPERLINK("http://www.bing.com/maps/?lvl=14&amp;sty=h&amp;cp=36.0225~44.8401&amp;sp=point.36.0225_44.8401","Maplink3")</f>
        <v>Maplink3</v>
      </c>
    </row>
    <row r="2636" spans="1:48" ht="15" customHeight="1" x14ac:dyDescent="0.25">
      <c r="A2636" s="19">
        <v>3617</v>
      </c>
      <c r="B2636" s="20" t="s">
        <v>24</v>
      </c>
      <c r="C2636" s="20" t="s">
        <v>4581</v>
      </c>
      <c r="D2636" s="20" t="s">
        <v>4612</v>
      </c>
      <c r="E2636" s="20" t="s">
        <v>4613</v>
      </c>
      <c r="F2636" s="20">
        <v>35.837464400000002</v>
      </c>
      <c r="G2636" s="20">
        <v>45.079161620000001</v>
      </c>
      <c r="H2636" s="22">
        <v>19</v>
      </c>
      <c r="I2636" s="22">
        <v>114</v>
      </c>
      <c r="J2636" s="21">
        <v>5</v>
      </c>
      <c r="K2636" s="21">
        <v>2</v>
      </c>
      <c r="L2636" s="21"/>
      <c r="M2636" s="21"/>
      <c r="N2636" s="21"/>
      <c r="O2636" s="21">
        <v>2</v>
      </c>
      <c r="P2636" s="21"/>
      <c r="Q2636" s="21"/>
      <c r="R2636" s="21"/>
      <c r="S2636" s="21"/>
      <c r="T2636" s="21"/>
      <c r="U2636" s="21"/>
      <c r="V2636" s="21">
        <v>9</v>
      </c>
      <c r="W2636" s="21"/>
      <c r="X2636" s="21">
        <v>1</v>
      </c>
      <c r="Y2636" s="21"/>
      <c r="Z2636" s="21"/>
      <c r="AA2636" s="21"/>
      <c r="AB2636" s="21"/>
      <c r="AC2636" s="21"/>
      <c r="AD2636" s="21"/>
      <c r="AE2636" s="21"/>
      <c r="AF2636" s="21"/>
      <c r="AG2636" s="21"/>
      <c r="AH2636" s="21">
        <v>19</v>
      </c>
      <c r="AI2636" s="21"/>
      <c r="AJ2636" s="21"/>
      <c r="AK2636" s="21"/>
      <c r="AL2636" s="21"/>
      <c r="AM2636" s="21">
        <v>11</v>
      </c>
      <c r="AN2636" s="21">
        <v>8</v>
      </c>
      <c r="AO2636" s="21"/>
      <c r="AP2636" s="21"/>
      <c r="AQ2636" s="21"/>
      <c r="AR2636" s="21"/>
      <c r="AS2636" s="21"/>
      <c r="AT2636" s="12" t="str">
        <f>HYPERLINK("http://www.openstreetmap.org/?mlat=35.8375&amp;mlon=45.0792&amp;zoom=12#map=12/35.8375/45.0792","Maplink1")</f>
        <v>Maplink1</v>
      </c>
      <c r="AU2636" s="12" t="str">
        <f>HYPERLINK("https://www.google.iq/maps/search/+35.8375,45.0792/@35.8375,45.0792,14z?hl=en","Maplink2")</f>
        <v>Maplink2</v>
      </c>
      <c r="AV2636" s="12" t="str">
        <f>HYPERLINK("http://www.bing.com/maps/?lvl=14&amp;sty=h&amp;cp=35.8375~45.0792&amp;sp=point.35.8375_45.0792","Maplink3")</f>
        <v>Maplink3</v>
      </c>
    </row>
    <row r="2637" spans="1:48" ht="15" customHeight="1" x14ac:dyDescent="0.25">
      <c r="A2637" s="19">
        <v>5238</v>
      </c>
      <c r="B2637" s="20" t="s">
        <v>24</v>
      </c>
      <c r="C2637" s="20" t="s">
        <v>4581</v>
      </c>
      <c r="D2637" s="20" t="s">
        <v>4614</v>
      </c>
      <c r="E2637" s="20" t="s">
        <v>4615</v>
      </c>
      <c r="F2637" s="20">
        <v>35.821390000000001</v>
      </c>
      <c r="G2637" s="20">
        <v>45.194710000000001</v>
      </c>
      <c r="H2637" s="22">
        <v>37</v>
      </c>
      <c r="I2637" s="22">
        <v>222</v>
      </c>
      <c r="J2637" s="21">
        <v>3</v>
      </c>
      <c r="K2637" s="21"/>
      <c r="L2637" s="21"/>
      <c r="M2637" s="21"/>
      <c r="N2637" s="21"/>
      <c r="O2637" s="21">
        <v>7</v>
      </c>
      <c r="P2637" s="21"/>
      <c r="Q2637" s="21"/>
      <c r="R2637" s="21"/>
      <c r="S2637" s="21"/>
      <c r="T2637" s="21"/>
      <c r="U2637" s="21"/>
      <c r="V2637" s="21">
        <v>27</v>
      </c>
      <c r="W2637" s="21"/>
      <c r="X2637" s="21"/>
      <c r="Y2637" s="21"/>
      <c r="Z2637" s="21"/>
      <c r="AA2637" s="21"/>
      <c r="AB2637" s="21"/>
      <c r="AC2637" s="21"/>
      <c r="AD2637" s="21"/>
      <c r="AE2637" s="21"/>
      <c r="AF2637" s="21"/>
      <c r="AG2637" s="21"/>
      <c r="AH2637" s="21">
        <v>37</v>
      </c>
      <c r="AI2637" s="21"/>
      <c r="AJ2637" s="21"/>
      <c r="AK2637" s="21"/>
      <c r="AL2637" s="21"/>
      <c r="AM2637" s="21">
        <v>8</v>
      </c>
      <c r="AN2637" s="21">
        <v>29</v>
      </c>
      <c r="AO2637" s="21"/>
      <c r="AP2637" s="21"/>
      <c r="AQ2637" s="21"/>
      <c r="AR2637" s="21"/>
      <c r="AS2637" s="21"/>
      <c r="AT2637" s="12" t="str">
        <f>HYPERLINK("http://www.openstreetmap.org/?mlat=35.8214&amp;mlon=45.1947&amp;zoom=12#map=12/35.8214/45.1947","Maplink1")</f>
        <v>Maplink1</v>
      </c>
      <c r="AU2637" s="12" t="str">
        <f>HYPERLINK("https://www.google.iq/maps/search/+35.8214,45.1947/@35.8214,45.1947,14z?hl=en","Maplink2")</f>
        <v>Maplink2</v>
      </c>
      <c r="AV2637" s="12" t="str">
        <f>HYPERLINK("http://www.bing.com/maps/?lvl=14&amp;sty=h&amp;cp=35.8214~45.1947&amp;sp=point.35.8214_45.1947","Maplink3")</f>
        <v>Maplink3</v>
      </c>
    </row>
    <row r="2638" spans="1:48" ht="15" customHeight="1" x14ac:dyDescent="0.25">
      <c r="A2638" s="19">
        <v>23333</v>
      </c>
      <c r="B2638" s="20" t="s">
        <v>24</v>
      </c>
      <c r="C2638" s="20" t="s">
        <v>4581</v>
      </c>
      <c r="D2638" s="20" t="s">
        <v>4616</v>
      </c>
      <c r="E2638" s="20" t="s">
        <v>4617</v>
      </c>
      <c r="F2638" s="20">
        <v>35.73451</v>
      </c>
      <c r="G2638" s="20">
        <v>45.146210000000004</v>
      </c>
      <c r="H2638" s="22">
        <v>89</v>
      </c>
      <c r="I2638" s="22">
        <v>534</v>
      </c>
      <c r="J2638" s="21">
        <v>6</v>
      </c>
      <c r="K2638" s="21">
        <v>30</v>
      </c>
      <c r="L2638" s="21">
        <v>16</v>
      </c>
      <c r="M2638" s="21"/>
      <c r="N2638" s="21"/>
      <c r="O2638" s="21">
        <v>12</v>
      </c>
      <c r="P2638" s="21"/>
      <c r="Q2638" s="21"/>
      <c r="R2638" s="21">
        <v>2</v>
      </c>
      <c r="S2638" s="21"/>
      <c r="T2638" s="21"/>
      <c r="U2638" s="21"/>
      <c r="V2638" s="21">
        <v>9</v>
      </c>
      <c r="W2638" s="21"/>
      <c r="X2638" s="21">
        <v>14</v>
      </c>
      <c r="Y2638" s="21"/>
      <c r="Z2638" s="21"/>
      <c r="AA2638" s="21"/>
      <c r="AB2638" s="21"/>
      <c r="AC2638" s="21"/>
      <c r="AD2638" s="21"/>
      <c r="AE2638" s="21"/>
      <c r="AF2638" s="21"/>
      <c r="AG2638" s="21"/>
      <c r="AH2638" s="21">
        <v>89</v>
      </c>
      <c r="AI2638" s="21"/>
      <c r="AJ2638" s="21"/>
      <c r="AK2638" s="21"/>
      <c r="AL2638" s="21">
        <v>9</v>
      </c>
      <c r="AM2638" s="21">
        <v>34</v>
      </c>
      <c r="AN2638" s="21">
        <v>9</v>
      </c>
      <c r="AO2638" s="21">
        <v>25</v>
      </c>
      <c r="AP2638" s="21"/>
      <c r="AQ2638" s="21">
        <v>8</v>
      </c>
      <c r="AR2638" s="21"/>
      <c r="AS2638" s="21">
        <v>4</v>
      </c>
      <c r="AT2638" s="12" t="str">
        <f>HYPERLINK("http://www.openstreetmap.org/?mlat=35.7345&amp;mlon=45.1462&amp;zoom=12#map=12/35.7345/45.1462","Maplink1")</f>
        <v>Maplink1</v>
      </c>
      <c r="AU2638" s="12" t="str">
        <f>HYPERLINK("https://www.google.iq/maps/search/+35.7345,45.1462/@35.7345,45.1462,14z?hl=en","Maplink2")</f>
        <v>Maplink2</v>
      </c>
      <c r="AV2638" s="12" t="str">
        <f>HYPERLINK("http://www.bing.com/maps/?lvl=14&amp;sty=h&amp;cp=35.7345~45.1462&amp;sp=point.35.7345_45.1462","Maplink3")</f>
        <v>Maplink3</v>
      </c>
    </row>
    <row r="2639" spans="1:48" ht="15" customHeight="1" x14ac:dyDescent="0.25">
      <c r="A2639" s="19">
        <v>32092</v>
      </c>
      <c r="B2639" s="20" t="s">
        <v>24</v>
      </c>
      <c r="C2639" s="20" t="s">
        <v>4581</v>
      </c>
      <c r="D2639" s="20" t="s">
        <v>4618</v>
      </c>
      <c r="E2639" s="20" t="s">
        <v>4619</v>
      </c>
      <c r="F2639" s="20">
        <v>35.63203</v>
      </c>
      <c r="G2639" s="20">
        <v>45.192639999999997</v>
      </c>
      <c r="H2639" s="22">
        <v>93</v>
      </c>
      <c r="I2639" s="22">
        <v>558</v>
      </c>
      <c r="J2639" s="21">
        <v>18</v>
      </c>
      <c r="K2639" s="21">
        <v>8</v>
      </c>
      <c r="L2639" s="21"/>
      <c r="M2639" s="21"/>
      <c r="N2639" s="21"/>
      <c r="O2639" s="21"/>
      <c r="P2639" s="21"/>
      <c r="Q2639" s="21"/>
      <c r="R2639" s="21"/>
      <c r="S2639" s="21"/>
      <c r="T2639" s="21"/>
      <c r="U2639" s="21"/>
      <c r="V2639" s="21">
        <v>66</v>
      </c>
      <c r="W2639" s="21"/>
      <c r="X2639" s="21">
        <v>1</v>
      </c>
      <c r="Y2639" s="21"/>
      <c r="Z2639" s="21"/>
      <c r="AA2639" s="21"/>
      <c r="AB2639" s="21"/>
      <c r="AC2639" s="21"/>
      <c r="AD2639" s="21"/>
      <c r="AE2639" s="21"/>
      <c r="AF2639" s="21"/>
      <c r="AG2639" s="21"/>
      <c r="AH2639" s="21">
        <v>93</v>
      </c>
      <c r="AI2639" s="21"/>
      <c r="AJ2639" s="21"/>
      <c r="AK2639" s="21"/>
      <c r="AL2639" s="21">
        <v>2</v>
      </c>
      <c r="AM2639" s="21">
        <v>17</v>
      </c>
      <c r="AN2639" s="21">
        <v>63</v>
      </c>
      <c r="AO2639" s="21">
        <v>8</v>
      </c>
      <c r="AP2639" s="21"/>
      <c r="AQ2639" s="21">
        <v>3</v>
      </c>
      <c r="AR2639" s="21"/>
      <c r="AS2639" s="21"/>
      <c r="AT2639" s="12" t="str">
        <f>HYPERLINK("http://www.openstreetmap.org/?mlat=35.632&amp;mlon=45.1926&amp;zoom=12#map=12/35.632/45.1926","Maplink1")</f>
        <v>Maplink1</v>
      </c>
      <c r="AU2639" s="12" t="str">
        <f>HYPERLINK("https://www.google.iq/maps/search/+35.632,45.1926/@35.632,45.1926,14z?hl=en","Maplink2")</f>
        <v>Maplink2</v>
      </c>
      <c r="AV2639" s="12" t="str">
        <f>HYPERLINK("http://www.bing.com/maps/?lvl=14&amp;sty=h&amp;cp=35.632~45.1926&amp;sp=point.35.632_45.1926","Maplink3")</f>
        <v>Maplink3</v>
      </c>
    </row>
    <row r="2640" spans="1:48" ht="15" customHeight="1" x14ac:dyDescent="0.25">
      <c r="A2640" s="19">
        <v>4939</v>
      </c>
      <c r="B2640" s="20" t="s">
        <v>24</v>
      </c>
      <c r="C2640" s="20" t="s">
        <v>4581</v>
      </c>
      <c r="D2640" s="20" t="s">
        <v>2792</v>
      </c>
      <c r="E2640" s="20" t="s">
        <v>2793</v>
      </c>
      <c r="F2640" s="20">
        <v>36.018639999999998</v>
      </c>
      <c r="G2640" s="20">
        <v>44.836539999999999</v>
      </c>
      <c r="H2640" s="22">
        <v>3</v>
      </c>
      <c r="I2640" s="22">
        <v>18</v>
      </c>
      <c r="J2640" s="21"/>
      <c r="K2640" s="21">
        <v>1</v>
      </c>
      <c r="L2640" s="21">
        <v>2</v>
      </c>
      <c r="M2640" s="21"/>
      <c r="N2640" s="21"/>
      <c r="O2640" s="21"/>
      <c r="P2640" s="21"/>
      <c r="Q2640" s="21"/>
      <c r="R2640" s="21"/>
      <c r="S2640" s="21"/>
      <c r="T2640" s="21"/>
      <c r="U2640" s="21"/>
      <c r="V2640" s="21"/>
      <c r="W2640" s="21"/>
      <c r="X2640" s="21"/>
      <c r="Y2640" s="21"/>
      <c r="Z2640" s="21"/>
      <c r="AA2640" s="21"/>
      <c r="AB2640" s="21"/>
      <c r="AC2640" s="21"/>
      <c r="AD2640" s="21"/>
      <c r="AE2640" s="21"/>
      <c r="AF2640" s="21"/>
      <c r="AG2640" s="21"/>
      <c r="AH2640" s="21">
        <v>3</v>
      </c>
      <c r="AI2640" s="21"/>
      <c r="AJ2640" s="21"/>
      <c r="AK2640" s="21"/>
      <c r="AL2640" s="21">
        <v>1</v>
      </c>
      <c r="AM2640" s="21">
        <v>1</v>
      </c>
      <c r="AN2640" s="21">
        <v>1</v>
      </c>
      <c r="AO2640" s="21"/>
      <c r="AP2640" s="21"/>
      <c r="AQ2640" s="21"/>
      <c r="AR2640" s="21"/>
      <c r="AS2640" s="21"/>
      <c r="AT2640" s="12" t="str">
        <f>HYPERLINK("http://www.openstreetmap.org/?mlat=36.0186&amp;mlon=44.8365&amp;zoom=12#map=12/36.0186/44.8365","Maplink1")</f>
        <v>Maplink1</v>
      </c>
      <c r="AU2640" s="12" t="str">
        <f>HYPERLINK("https://www.google.iq/maps/search/+36.0186,44.8365/@36.0186,44.8365,14z?hl=en","Maplink2")</f>
        <v>Maplink2</v>
      </c>
      <c r="AV2640" s="12" t="str">
        <f>HYPERLINK("http://www.bing.com/maps/?lvl=14&amp;sty=h&amp;cp=36.0186~44.8365&amp;sp=point.36.0186_44.8365","Maplink3")</f>
        <v>Maplink3</v>
      </c>
    </row>
    <row r="2641" spans="1:48" ht="15" customHeight="1" x14ac:dyDescent="0.25">
      <c r="A2641" s="19">
        <v>3613</v>
      </c>
      <c r="B2641" s="20" t="s">
        <v>24</v>
      </c>
      <c r="C2641" s="20" t="s">
        <v>4581</v>
      </c>
      <c r="D2641" s="20" t="s">
        <v>4620</v>
      </c>
      <c r="E2641" s="20" t="s">
        <v>4621</v>
      </c>
      <c r="F2641" s="20">
        <v>35.909034060000003</v>
      </c>
      <c r="G2641" s="20">
        <v>44.98074287</v>
      </c>
      <c r="H2641" s="22">
        <v>107</v>
      </c>
      <c r="I2641" s="22">
        <v>642</v>
      </c>
      <c r="J2641" s="21">
        <v>10</v>
      </c>
      <c r="K2641" s="21">
        <v>36</v>
      </c>
      <c r="L2641" s="21">
        <v>9</v>
      </c>
      <c r="M2641" s="21"/>
      <c r="N2641" s="21"/>
      <c r="O2641" s="21">
        <v>13</v>
      </c>
      <c r="P2641" s="21"/>
      <c r="Q2641" s="21"/>
      <c r="R2641" s="21">
        <v>4</v>
      </c>
      <c r="S2641" s="21"/>
      <c r="T2641" s="21"/>
      <c r="U2641" s="21"/>
      <c r="V2641" s="21">
        <v>22</v>
      </c>
      <c r="W2641" s="21"/>
      <c r="X2641" s="21">
        <v>13</v>
      </c>
      <c r="Y2641" s="21"/>
      <c r="Z2641" s="21"/>
      <c r="AA2641" s="21"/>
      <c r="AB2641" s="21"/>
      <c r="AC2641" s="21"/>
      <c r="AD2641" s="21"/>
      <c r="AE2641" s="21"/>
      <c r="AF2641" s="21"/>
      <c r="AG2641" s="21"/>
      <c r="AH2641" s="21">
        <v>107</v>
      </c>
      <c r="AI2641" s="21"/>
      <c r="AJ2641" s="21"/>
      <c r="AK2641" s="21"/>
      <c r="AL2641" s="21">
        <v>20</v>
      </c>
      <c r="AM2641" s="21">
        <v>23</v>
      </c>
      <c r="AN2641" s="21">
        <v>54</v>
      </c>
      <c r="AO2641" s="21">
        <v>2</v>
      </c>
      <c r="AP2641" s="21">
        <v>4</v>
      </c>
      <c r="AQ2641" s="21"/>
      <c r="AR2641" s="21"/>
      <c r="AS2641" s="21">
        <v>4</v>
      </c>
      <c r="AT2641" s="12" t="str">
        <f>HYPERLINK("http://www.openstreetmap.org/?mlat=35.909&amp;mlon=44.9807&amp;zoom=12#map=12/35.909/44.9807","Maplink1")</f>
        <v>Maplink1</v>
      </c>
      <c r="AU2641" s="12" t="str">
        <f>HYPERLINK("https://www.google.iq/maps/search/+35.909,44.9807/@35.909,44.9807,14z?hl=en","Maplink2")</f>
        <v>Maplink2</v>
      </c>
      <c r="AV2641" s="12" t="str">
        <f>HYPERLINK("http://www.bing.com/maps/?lvl=14&amp;sty=h&amp;cp=35.909~44.9807&amp;sp=point.35.909_44.9807","Maplink3")</f>
        <v>Maplink3</v>
      </c>
    </row>
    <row r="2642" spans="1:48" ht="15" customHeight="1" x14ac:dyDescent="0.25">
      <c r="A2642" s="19">
        <v>31969</v>
      </c>
      <c r="B2642" s="20" t="s">
        <v>24</v>
      </c>
      <c r="C2642" s="20" t="s">
        <v>4581</v>
      </c>
      <c r="D2642" s="20" t="s">
        <v>2214</v>
      </c>
      <c r="E2642" s="20" t="s">
        <v>2215</v>
      </c>
      <c r="F2642" s="20">
        <v>36.020809999999997</v>
      </c>
      <c r="G2642" s="20">
        <v>44.83822</v>
      </c>
      <c r="H2642" s="22">
        <v>3</v>
      </c>
      <c r="I2642" s="22">
        <v>18</v>
      </c>
      <c r="J2642" s="21">
        <v>1</v>
      </c>
      <c r="K2642" s="21"/>
      <c r="L2642" s="21">
        <v>2</v>
      </c>
      <c r="M2642" s="21"/>
      <c r="N2642" s="21"/>
      <c r="O2642" s="21"/>
      <c r="P2642" s="21"/>
      <c r="Q2642" s="21"/>
      <c r="R2642" s="21"/>
      <c r="S2642" s="21"/>
      <c r="T2642" s="21"/>
      <c r="U2642" s="21"/>
      <c r="V2642" s="21"/>
      <c r="W2642" s="21"/>
      <c r="X2642" s="21"/>
      <c r="Y2642" s="21"/>
      <c r="Z2642" s="21"/>
      <c r="AA2642" s="21"/>
      <c r="AB2642" s="21"/>
      <c r="AC2642" s="21"/>
      <c r="AD2642" s="21"/>
      <c r="AE2642" s="21"/>
      <c r="AF2642" s="21"/>
      <c r="AG2642" s="21"/>
      <c r="AH2642" s="21">
        <v>3</v>
      </c>
      <c r="AI2642" s="21"/>
      <c r="AJ2642" s="21"/>
      <c r="AK2642" s="21"/>
      <c r="AL2642" s="21">
        <v>2</v>
      </c>
      <c r="AM2642" s="21"/>
      <c r="AN2642" s="21"/>
      <c r="AO2642" s="21">
        <v>1</v>
      </c>
      <c r="AP2642" s="21"/>
      <c r="AQ2642" s="21"/>
      <c r="AR2642" s="21"/>
      <c r="AS2642" s="21"/>
      <c r="AT2642" s="12" t="str">
        <f>HYPERLINK("http://www.openstreetmap.org/?mlat=36.0208&amp;mlon=44.8382&amp;zoom=12#map=12/36.0208/44.8382","Maplink1")</f>
        <v>Maplink1</v>
      </c>
      <c r="AU2642" s="12" t="str">
        <f>HYPERLINK("https://www.google.iq/maps/search/+36.0208,44.8382/@36.0208,44.8382,14z?hl=en","Maplink2")</f>
        <v>Maplink2</v>
      </c>
      <c r="AV2642" s="12" t="str">
        <f>HYPERLINK("http://www.bing.com/maps/?lvl=14&amp;sty=h&amp;cp=36.0208~44.8382&amp;sp=point.36.0208_44.8382","Maplink3")</f>
        <v>Maplink3</v>
      </c>
    </row>
    <row r="2643" spans="1:48" ht="15" customHeight="1" x14ac:dyDescent="0.25">
      <c r="A2643" s="19">
        <v>24213</v>
      </c>
      <c r="B2643" s="20" t="s">
        <v>24</v>
      </c>
      <c r="C2643" s="20" t="s">
        <v>4581</v>
      </c>
      <c r="D2643" s="20" t="s">
        <v>4576</v>
      </c>
      <c r="E2643" s="20" t="s">
        <v>4622</v>
      </c>
      <c r="F2643" s="20">
        <v>35.726004279999998</v>
      </c>
      <c r="G2643" s="20">
        <v>45.147911180000001</v>
      </c>
      <c r="H2643" s="22">
        <v>95</v>
      </c>
      <c r="I2643" s="22">
        <v>570</v>
      </c>
      <c r="J2643" s="21">
        <v>10</v>
      </c>
      <c r="K2643" s="21">
        <v>43</v>
      </c>
      <c r="L2643" s="21">
        <v>14</v>
      </c>
      <c r="M2643" s="21"/>
      <c r="N2643" s="21"/>
      <c r="O2643" s="21">
        <v>18</v>
      </c>
      <c r="P2643" s="21"/>
      <c r="Q2643" s="21"/>
      <c r="R2643" s="21"/>
      <c r="S2643" s="21"/>
      <c r="T2643" s="21"/>
      <c r="U2643" s="21"/>
      <c r="V2643" s="21">
        <v>7</v>
      </c>
      <c r="W2643" s="21"/>
      <c r="X2643" s="21">
        <v>3</v>
      </c>
      <c r="Y2643" s="21"/>
      <c r="Z2643" s="21"/>
      <c r="AA2643" s="21"/>
      <c r="AB2643" s="21"/>
      <c r="AC2643" s="21"/>
      <c r="AD2643" s="21"/>
      <c r="AE2643" s="21"/>
      <c r="AF2643" s="21"/>
      <c r="AG2643" s="21"/>
      <c r="AH2643" s="21">
        <v>95</v>
      </c>
      <c r="AI2643" s="21"/>
      <c r="AJ2643" s="21"/>
      <c r="AK2643" s="21"/>
      <c r="AL2643" s="21">
        <v>24</v>
      </c>
      <c r="AM2643" s="21">
        <v>44</v>
      </c>
      <c r="AN2643" s="21">
        <v>8</v>
      </c>
      <c r="AO2643" s="21">
        <v>10</v>
      </c>
      <c r="AP2643" s="21">
        <v>3</v>
      </c>
      <c r="AQ2643" s="21">
        <v>6</v>
      </c>
      <c r="AR2643" s="21"/>
      <c r="AS2643" s="21"/>
      <c r="AT2643" s="12" t="str">
        <f>HYPERLINK("http://www.openstreetmap.org/?mlat=35.726&amp;mlon=45.1479&amp;zoom=12#map=12/35.726/45.1479","Maplink1")</f>
        <v>Maplink1</v>
      </c>
      <c r="AU2643" s="12" t="str">
        <f>HYPERLINK("https://www.google.iq/maps/search/+35.726,45.1479/@35.726,45.1479,14z?hl=en","Maplink2")</f>
        <v>Maplink2</v>
      </c>
      <c r="AV2643" s="12" t="str">
        <f>HYPERLINK("http://www.bing.com/maps/?lvl=14&amp;sty=h&amp;cp=35.726~45.1479&amp;sp=point.35.726_45.1479","Maplink3")</f>
        <v>Maplink3</v>
      </c>
    </row>
    <row r="2644" spans="1:48" ht="15" customHeight="1" x14ac:dyDescent="0.25">
      <c r="A2644" s="19">
        <v>23923</v>
      </c>
      <c r="B2644" s="20" t="s">
        <v>24</v>
      </c>
      <c r="C2644" s="20" t="s">
        <v>4581</v>
      </c>
      <c r="D2644" s="20" t="s">
        <v>4623</v>
      </c>
      <c r="E2644" s="20" t="s">
        <v>4624</v>
      </c>
      <c r="F2644" s="20">
        <v>35.928097319999999</v>
      </c>
      <c r="G2644" s="20">
        <v>44.961753389999998</v>
      </c>
      <c r="H2644" s="22">
        <v>40</v>
      </c>
      <c r="I2644" s="22">
        <v>240</v>
      </c>
      <c r="J2644" s="21">
        <v>18</v>
      </c>
      <c r="K2644" s="21">
        <v>1</v>
      </c>
      <c r="L2644" s="21">
        <v>2</v>
      </c>
      <c r="M2644" s="21"/>
      <c r="N2644" s="21"/>
      <c r="O2644" s="21">
        <v>12</v>
      </c>
      <c r="P2644" s="21"/>
      <c r="Q2644" s="21"/>
      <c r="R2644" s="21"/>
      <c r="S2644" s="21"/>
      <c r="T2644" s="21"/>
      <c r="U2644" s="21"/>
      <c r="V2644" s="21">
        <v>7</v>
      </c>
      <c r="W2644" s="21"/>
      <c r="X2644" s="21"/>
      <c r="Y2644" s="21"/>
      <c r="Z2644" s="21"/>
      <c r="AA2644" s="21"/>
      <c r="AB2644" s="21"/>
      <c r="AC2644" s="21"/>
      <c r="AD2644" s="21"/>
      <c r="AE2644" s="21"/>
      <c r="AF2644" s="21"/>
      <c r="AG2644" s="21"/>
      <c r="AH2644" s="21">
        <v>38</v>
      </c>
      <c r="AI2644" s="21">
        <v>2</v>
      </c>
      <c r="AJ2644" s="21"/>
      <c r="AK2644" s="21"/>
      <c r="AL2644" s="21">
        <v>12</v>
      </c>
      <c r="AM2644" s="21">
        <v>6</v>
      </c>
      <c r="AN2644" s="21">
        <v>7</v>
      </c>
      <c r="AO2644" s="21">
        <v>10</v>
      </c>
      <c r="AP2644" s="21">
        <v>5</v>
      </c>
      <c r="AQ2644" s="21"/>
      <c r="AR2644" s="21"/>
      <c r="AS2644" s="21"/>
      <c r="AT2644" s="12" t="str">
        <f>HYPERLINK("http://www.openstreetmap.org/?mlat=35.9281&amp;mlon=44.9618&amp;zoom=12#map=12/35.9281/44.9618","Maplink1")</f>
        <v>Maplink1</v>
      </c>
      <c r="AU2644" s="12" t="str">
        <f>HYPERLINK("https://www.google.iq/maps/search/+35.9281,44.9618/@35.9281,44.9618,14z?hl=en","Maplink2")</f>
        <v>Maplink2</v>
      </c>
      <c r="AV2644" s="12" t="str">
        <f>HYPERLINK("http://www.bing.com/maps/?lvl=14&amp;sty=h&amp;cp=35.9281~44.9618&amp;sp=point.35.9281_44.9618","Maplink3")</f>
        <v>Maplink3</v>
      </c>
    </row>
    <row r="2645" spans="1:48" ht="15" customHeight="1" x14ac:dyDescent="0.25">
      <c r="A2645" s="19">
        <v>6305</v>
      </c>
      <c r="B2645" s="20" t="s">
        <v>24</v>
      </c>
      <c r="C2645" s="20" t="s">
        <v>4581</v>
      </c>
      <c r="D2645" s="20" t="s">
        <v>4625</v>
      </c>
      <c r="E2645" s="20" t="s">
        <v>2065</v>
      </c>
      <c r="F2645" s="20">
        <v>35.735045710000001</v>
      </c>
      <c r="G2645" s="20">
        <v>45.136691399999997</v>
      </c>
      <c r="H2645" s="22">
        <v>53</v>
      </c>
      <c r="I2645" s="22">
        <v>318</v>
      </c>
      <c r="J2645" s="21">
        <v>6</v>
      </c>
      <c r="K2645" s="21">
        <v>12</v>
      </c>
      <c r="L2645" s="21">
        <v>5</v>
      </c>
      <c r="M2645" s="21"/>
      <c r="N2645" s="21"/>
      <c r="O2645" s="21">
        <v>20</v>
      </c>
      <c r="P2645" s="21"/>
      <c r="Q2645" s="21"/>
      <c r="R2645" s="21"/>
      <c r="S2645" s="21"/>
      <c r="T2645" s="21"/>
      <c r="U2645" s="21"/>
      <c r="V2645" s="21">
        <v>10</v>
      </c>
      <c r="W2645" s="21"/>
      <c r="X2645" s="21"/>
      <c r="Y2645" s="21"/>
      <c r="Z2645" s="21"/>
      <c r="AA2645" s="21"/>
      <c r="AB2645" s="21"/>
      <c r="AC2645" s="21"/>
      <c r="AD2645" s="21"/>
      <c r="AE2645" s="21"/>
      <c r="AF2645" s="21"/>
      <c r="AG2645" s="21"/>
      <c r="AH2645" s="21">
        <v>53</v>
      </c>
      <c r="AI2645" s="21"/>
      <c r="AJ2645" s="21"/>
      <c r="AK2645" s="21"/>
      <c r="AL2645" s="21">
        <v>5</v>
      </c>
      <c r="AM2645" s="21">
        <v>26</v>
      </c>
      <c r="AN2645" s="21">
        <v>7</v>
      </c>
      <c r="AO2645" s="21">
        <v>9</v>
      </c>
      <c r="AP2645" s="21"/>
      <c r="AQ2645" s="21">
        <v>6</v>
      </c>
      <c r="AR2645" s="21"/>
      <c r="AS2645" s="21"/>
      <c r="AT2645" s="12" t="str">
        <f>HYPERLINK("http://www.openstreetmap.org/?mlat=35.735&amp;mlon=45.1367&amp;zoom=12#map=12/35.735/45.1367","Maplink1")</f>
        <v>Maplink1</v>
      </c>
      <c r="AU2645" s="12" t="str">
        <f>HYPERLINK("https://www.google.iq/maps/search/+35.735,45.1367/@35.735,45.1367,14z?hl=en","Maplink2")</f>
        <v>Maplink2</v>
      </c>
      <c r="AV2645" s="12" t="str">
        <f>HYPERLINK("http://www.bing.com/maps/?lvl=14&amp;sty=h&amp;cp=35.735~45.1367&amp;sp=point.35.735_45.1367","Maplink3")</f>
        <v>Maplink3</v>
      </c>
    </row>
    <row r="2646" spans="1:48" ht="15" customHeight="1" x14ac:dyDescent="0.25">
      <c r="A2646" s="19">
        <v>31966</v>
      </c>
      <c r="B2646" s="20" t="s">
        <v>24</v>
      </c>
      <c r="C2646" s="20" t="s">
        <v>4581</v>
      </c>
      <c r="D2646" s="20" t="s">
        <v>2064</v>
      </c>
      <c r="E2646" s="20" t="s">
        <v>2065</v>
      </c>
      <c r="F2646" s="20">
        <v>36.015569999999997</v>
      </c>
      <c r="G2646" s="20">
        <v>44.842590000000001</v>
      </c>
      <c r="H2646" s="22">
        <v>4</v>
      </c>
      <c r="I2646" s="22">
        <v>24</v>
      </c>
      <c r="J2646" s="21">
        <v>2</v>
      </c>
      <c r="K2646" s="21"/>
      <c r="L2646" s="21">
        <v>2</v>
      </c>
      <c r="M2646" s="21"/>
      <c r="N2646" s="21"/>
      <c r="O2646" s="21"/>
      <c r="P2646" s="21"/>
      <c r="Q2646" s="21"/>
      <c r="R2646" s="21"/>
      <c r="S2646" s="21"/>
      <c r="T2646" s="21"/>
      <c r="U2646" s="21"/>
      <c r="V2646" s="21"/>
      <c r="W2646" s="21"/>
      <c r="X2646" s="21"/>
      <c r="Y2646" s="21"/>
      <c r="Z2646" s="21"/>
      <c r="AA2646" s="21"/>
      <c r="AB2646" s="21"/>
      <c r="AC2646" s="21"/>
      <c r="AD2646" s="21"/>
      <c r="AE2646" s="21"/>
      <c r="AF2646" s="21"/>
      <c r="AG2646" s="21"/>
      <c r="AH2646" s="21">
        <v>4</v>
      </c>
      <c r="AI2646" s="21"/>
      <c r="AJ2646" s="21"/>
      <c r="AK2646" s="21"/>
      <c r="AL2646" s="21"/>
      <c r="AM2646" s="21"/>
      <c r="AN2646" s="21">
        <v>2</v>
      </c>
      <c r="AO2646" s="21"/>
      <c r="AP2646" s="21"/>
      <c r="AQ2646" s="21">
        <v>2</v>
      </c>
      <c r="AR2646" s="21"/>
      <c r="AS2646" s="21"/>
      <c r="AT2646" s="12" t="str">
        <f>HYPERLINK("http://www.openstreetmap.org/?mlat=36.0156&amp;mlon=44.8426&amp;zoom=12#map=12/36.0156/44.8426","Maplink1")</f>
        <v>Maplink1</v>
      </c>
      <c r="AU2646" s="12" t="str">
        <f>HYPERLINK("https://www.google.iq/maps/search/+36.0156,44.8426/@36.0156,44.8426,14z?hl=en","Maplink2")</f>
        <v>Maplink2</v>
      </c>
      <c r="AV2646" s="12" t="str">
        <f>HYPERLINK("http://www.bing.com/maps/?lvl=14&amp;sty=h&amp;cp=36.0156~44.8426&amp;sp=point.36.0156_44.8426","Maplink3")</f>
        <v>Maplink3</v>
      </c>
    </row>
    <row r="2647" spans="1:48" ht="15" customHeight="1" x14ac:dyDescent="0.25">
      <c r="A2647" s="19">
        <v>6306</v>
      </c>
      <c r="B2647" s="20" t="s">
        <v>24</v>
      </c>
      <c r="C2647" s="20" t="s">
        <v>4581</v>
      </c>
      <c r="D2647" s="20" t="s">
        <v>2739</v>
      </c>
      <c r="E2647" s="20" t="s">
        <v>4626</v>
      </c>
      <c r="F2647" s="20">
        <v>35.729230000000001</v>
      </c>
      <c r="G2647" s="20">
        <v>45.146050000000002</v>
      </c>
      <c r="H2647" s="22">
        <v>66</v>
      </c>
      <c r="I2647" s="22">
        <v>396</v>
      </c>
      <c r="J2647" s="21">
        <v>5</v>
      </c>
      <c r="K2647" s="21">
        <v>26</v>
      </c>
      <c r="L2647" s="21">
        <v>10</v>
      </c>
      <c r="M2647" s="21"/>
      <c r="N2647" s="21"/>
      <c r="O2647" s="21">
        <v>12</v>
      </c>
      <c r="P2647" s="21"/>
      <c r="Q2647" s="21"/>
      <c r="R2647" s="21"/>
      <c r="S2647" s="21"/>
      <c r="T2647" s="21"/>
      <c r="U2647" s="21"/>
      <c r="V2647" s="21">
        <v>9</v>
      </c>
      <c r="W2647" s="21"/>
      <c r="X2647" s="21">
        <v>4</v>
      </c>
      <c r="Y2647" s="21"/>
      <c r="Z2647" s="21"/>
      <c r="AA2647" s="21"/>
      <c r="AB2647" s="21"/>
      <c r="AC2647" s="21"/>
      <c r="AD2647" s="21"/>
      <c r="AE2647" s="21"/>
      <c r="AF2647" s="21"/>
      <c r="AG2647" s="21"/>
      <c r="AH2647" s="21">
        <v>66</v>
      </c>
      <c r="AI2647" s="21"/>
      <c r="AJ2647" s="21"/>
      <c r="AK2647" s="21"/>
      <c r="AL2647" s="21">
        <v>9</v>
      </c>
      <c r="AM2647" s="21">
        <v>34</v>
      </c>
      <c r="AN2647" s="21">
        <v>10</v>
      </c>
      <c r="AO2647" s="21">
        <v>10</v>
      </c>
      <c r="AP2647" s="21"/>
      <c r="AQ2647" s="21">
        <v>3</v>
      </c>
      <c r="AR2647" s="21"/>
      <c r="AS2647" s="21"/>
      <c r="AT2647" s="12" t="str">
        <f>HYPERLINK("http://www.openstreetmap.org/?mlat=35.7292&amp;mlon=45.1461&amp;zoom=12#map=12/35.7292/45.1461","Maplink1")</f>
        <v>Maplink1</v>
      </c>
      <c r="AU2647" s="12" t="str">
        <f>HYPERLINK("https://www.google.iq/maps/search/+35.7292,45.1461/@35.7292,45.1461,14z?hl=en","Maplink2")</f>
        <v>Maplink2</v>
      </c>
      <c r="AV2647" s="12" t="str">
        <f>HYPERLINK("http://www.bing.com/maps/?lvl=14&amp;sty=h&amp;cp=35.7292~45.1461&amp;sp=point.35.7292_45.1461","Maplink3")</f>
        <v>Maplink3</v>
      </c>
    </row>
    <row r="2648" spans="1:48" ht="15" customHeight="1" x14ac:dyDescent="0.25">
      <c r="A2648" s="19">
        <v>5000</v>
      </c>
      <c r="B2648" s="20" t="s">
        <v>24</v>
      </c>
      <c r="C2648" s="20" t="s">
        <v>4581</v>
      </c>
      <c r="D2648" s="20" t="s">
        <v>4627</v>
      </c>
      <c r="E2648" s="20" t="s">
        <v>4628</v>
      </c>
      <c r="F2648" s="20">
        <v>36.069540000000003</v>
      </c>
      <c r="G2648" s="20">
        <v>44.782409999999999</v>
      </c>
      <c r="H2648" s="22">
        <v>2</v>
      </c>
      <c r="I2648" s="22">
        <v>12</v>
      </c>
      <c r="J2648" s="21"/>
      <c r="K2648" s="21"/>
      <c r="L2648" s="21"/>
      <c r="M2648" s="21"/>
      <c r="N2648" s="21"/>
      <c r="O2648" s="21"/>
      <c r="P2648" s="21"/>
      <c r="Q2648" s="21"/>
      <c r="R2648" s="21"/>
      <c r="S2648" s="21"/>
      <c r="T2648" s="21"/>
      <c r="U2648" s="21"/>
      <c r="V2648" s="21">
        <v>2</v>
      </c>
      <c r="W2648" s="21"/>
      <c r="X2648" s="21"/>
      <c r="Y2648" s="21"/>
      <c r="Z2648" s="21"/>
      <c r="AA2648" s="21"/>
      <c r="AB2648" s="21"/>
      <c r="AC2648" s="21"/>
      <c r="AD2648" s="21"/>
      <c r="AE2648" s="21"/>
      <c r="AF2648" s="21"/>
      <c r="AG2648" s="21"/>
      <c r="AH2648" s="21">
        <v>2</v>
      </c>
      <c r="AI2648" s="21"/>
      <c r="AJ2648" s="21"/>
      <c r="AK2648" s="21"/>
      <c r="AL2648" s="21"/>
      <c r="AM2648" s="21">
        <v>2</v>
      </c>
      <c r="AN2648" s="21"/>
      <c r="AO2648" s="21"/>
      <c r="AP2648" s="21"/>
      <c r="AQ2648" s="21"/>
      <c r="AR2648" s="21"/>
      <c r="AS2648" s="21"/>
      <c r="AT2648" s="12" t="str">
        <f>HYPERLINK("http://www.openstreetmap.org/?mlat=36.0695&amp;mlon=44.7824&amp;zoom=12#map=12/36.0695/44.7824","Maplink1")</f>
        <v>Maplink1</v>
      </c>
      <c r="AU2648" s="12" t="str">
        <f>HYPERLINK("https://www.google.iq/maps/search/+36.0695,44.7824/@36.0695,44.7824,14z?hl=en","Maplink2")</f>
        <v>Maplink2</v>
      </c>
      <c r="AV2648" s="12" t="str">
        <f>HYPERLINK("http://www.bing.com/maps/?lvl=14&amp;sty=h&amp;cp=36.0695~44.7824&amp;sp=point.36.0695_44.7824","Maplink3")</f>
        <v>Maplink3</v>
      </c>
    </row>
    <row r="2649" spans="1:48" ht="15" customHeight="1" x14ac:dyDescent="0.25">
      <c r="A2649" s="19">
        <v>5258</v>
      </c>
      <c r="B2649" s="20" t="s">
        <v>24</v>
      </c>
      <c r="C2649" s="20" t="s">
        <v>4581</v>
      </c>
      <c r="D2649" s="20" t="s">
        <v>4629</v>
      </c>
      <c r="E2649" s="20" t="s">
        <v>4630</v>
      </c>
      <c r="F2649" s="20">
        <v>35.778390000000002</v>
      </c>
      <c r="G2649" s="20">
        <v>45.135520999999997</v>
      </c>
      <c r="H2649" s="22">
        <v>18</v>
      </c>
      <c r="I2649" s="22">
        <v>108</v>
      </c>
      <c r="J2649" s="21"/>
      <c r="K2649" s="21">
        <v>1</v>
      </c>
      <c r="L2649" s="21">
        <v>2</v>
      </c>
      <c r="M2649" s="21"/>
      <c r="N2649" s="21"/>
      <c r="O2649" s="21"/>
      <c r="P2649" s="21"/>
      <c r="Q2649" s="21"/>
      <c r="R2649" s="21"/>
      <c r="S2649" s="21"/>
      <c r="T2649" s="21"/>
      <c r="U2649" s="21"/>
      <c r="V2649" s="21">
        <v>15</v>
      </c>
      <c r="W2649" s="21"/>
      <c r="X2649" s="21"/>
      <c r="Y2649" s="21"/>
      <c r="Z2649" s="21"/>
      <c r="AA2649" s="21"/>
      <c r="AB2649" s="21"/>
      <c r="AC2649" s="21"/>
      <c r="AD2649" s="21"/>
      <c r="AE2649" s="21"/>
      <c r="AF2649" s="21"/>
      <c r="AG2649" s="21"/>
      <c r="AH2649" s="21">
        <v>18</v>
      </c>
      <c r="AI2649" s="21"/>
      <c r="AJ2649" s="21"/>
      <c r="AK2649" s="21"/>
      <c r="AL2649" s="21">
        <v>1</v>
      </c>
      <c r="AM2649" s="21">
        <v>2</v>
      </c>
      <c r="AN2649" s="21">
        <v>15</v>
      </c>
      <c r="AO2649" s="21"/>
      <c r="AP2649" s="21"/>
      <c r="AQ2649" s="21"/>
      <c r="AR2649" s="21"/>
      <c r="AS2649" s="21"/>
      <c r="AT2649" s="12" t="str">
        <f>HYPERLINK("http://www.openstreetmap.org/?mlat=35.7784&amp;mlon=45.1355&amp;zoom=12#map=12/35.7784/45.1355","Maplink1")</f>
        <v>Maplink1</v>
      </c>
      <c r="AU2649" s="12" t="str">
        <f>HYPERLINK("https://www.google.iq/maps/search/+35.7784,45.1355/@35.7784,45.1355,14z?hl=en","Maplink2")</f>
        <v>Maplink2</v>
      </c>
      <c r="AV2649" s="12" t="str">
        <f>HYPERLINK("http://www.bing.com/maps/?lvl=14&amp;sty=h&amp;cp=35.7784~45.1355&amp;sp=point.35.7784_45.1355","Maplink3")</f>
        <v>Maplink3</v>
      </c>
    </row>
    <row r="2650" spans="1:48" ht="15" customHeight="1" x14ac:dyDescent="0.25">
      <c r="A2650" s="19">
        <v>3605</v>
      </c>
      <c r="B2650" s="20" t="s">
        <v>24</v>
      </c>
      <c r="C2650" s="20" t="s">
        <v>4581</v>
      </c>
      <c r="D2650" s="20" t="s">
        <v>4631</v>
      </c>
      <c r="E2650" s="20" t="s">
        <v>4632</v>
      </c>
      <c r="F2650" s="20">
        <v>35.862333990000003</v>
      </c>
      <c r="G2650" s="20">
        <v>45.105286210000003</v>
      </c>
      <c r="H2650" s="22">
        <v>19</v>
      </c>
      <c r="I2650" s="22">
        <v>114</v>
      </c>
      <c r="J2650" s="21"/>
      <c r="K2650" s="21">
        <v>4</v>
      </c>
      <c r="L2650" s="21">
        <v>2</v>
      </c>
      <c r="M2650" s="21"/>
      <c r="N2650" s="21"/>
      <c r="O2650" s="21">
        <v>1</v>
      </c>
      <c r="P2650" s="21"/>
      <c r="Q2650" s="21"/>
      <c r="R2650" s="21"/>
      <c r="S2650" s="21"/>
      <c r="T2650" s="21"/>
      <c r="U2650" s="21"/>
      <c r="V2650" s="21">
        <v>11</v>
      </c>
      <c r="W2650" s="21"/>
      <c r="X2650" s="21">
        <v>1</v>
      </c>
      <c r="Y2650" s="21"/>
      <c r="Z2650" s="21"/>
      <c r="AA2650" s="21"/>
      <c r="AB2650" s="21"/>
      <c r="AC2650" s="21">
        <v>2</v>
      </c>
      <c r="AD2650" s="21"/>
      <c r="AE2650" s="21"/>
      <c r="AF2650" s="21"/>
      <c r="AG2650" s="21"/>
      <c r="AH2650" s="21">
        <v>17</v>
      </c>
      <c r="AI2650" s="21"/>
      <c r="AJ2650" s="21"/>
      <c r="AK2650" s="21"/>
      <c r="AL2650" s="21"/>
      <c r="AM2650" s="21">
        <v>7</v>
      </c>
      <c r="AN2650" s="21">
        <v>11</v>
      </c>
      <c r="AO2650" s="21"/>
      <c r="AP2650" s="21"/>
      <c r="AQ2650" s="21"/>
      <c r="AR2650" s="21"/>
      <c r="AS2650" s="21">
        <v>1</v>
      </c>
      <c r="AT2650" s="12" t="str">
        <f>HYPERLINK("http://www.openstreetmap.org/?mlat=35.8623&amp;mlon=45.1053&amp;zoom=12#map=12/35.8623/45.1053","Maplink1")</f>
        <v>Maplink1</v>
      </c>
      <c r="AU2650" s="12" t="str">
        <f>HYPERLINK("https://www.google.iq/maps/search/+35.8623,45.1053/@35.8623,45.1053,14z?hl=en","Maplink2")</f>
        <v>Maplink2</v>
      </c>
      <c r="AV2650" s="12" t="str">
        <f>HYPERLINK("http://www.bing.com/maps/?lvl=14&amp;sty=h&amp;cp=35.8623~45.1053&amp;sp=point.35.8623_45.1053","Maplink3")</f>
        <v>Maplink3</v>
      </c>
    </row>
    <row r="2651" spans="1:48" ht="15" customHeight="1" x14ac:dyDescent="0.25">
      <c r="A2651" s="19">
        <v>33154</v>
      </c>
      <c r="B2651" s="20" t="s">
        <v>24</v>
      </c>
      <c r="C2651" s="20" t="s">
        <v>4581</v>
      </c>
      <c r="D2651" s="20" t="s">
        <v>5605</v>
      </c>
      <c r="E2651" s="20" t="s">
        <v>5606</v>
      </c>
      <c r="F2651" s="20">
        <v>35.849609999999998</v>
      </c>
      <c r="G2651" s="20">
        <v>45.094670000000001</v>
      </c>
      <c r="H2651" s="22">
        <v>103</v>
      </c>
      <c r="I2651" s="22">
        <v>618</v>
      </c>
      <c r="J2651" s="21">
        <v>5</v>
      </c>
      <c r="K2651" s="21"/>
      <c r="L2651" s="21">
        <v>1</v>
      </c>
      <c r="M2651" s="21"/>
      <c r="N2651" s="21"/>
      <c r="O2651" s="21"/>
      <c r="P2651" s="21"/>
      <c r="Q2651" s="21"/>
      <c r="R2651" s="21">
        <v>48</v>
      </c>
      <c r="S2651" s="21"/>
      <c r="T2651" s="21"/>
      <c r="U2651" s="21"/>
      <c r="V2651" s="21"/>
      <c r="W2651" s="21"/>
      <c r="X2651" s="21">
        <v>49</v>
      </c>
      <c r="Y2651" s="21"/>
      <c r="Z2651" s="21"/>
      <c r="AA2651" s="21"/>
      <c r="AB2651" s="21">
        <v>103</v>
      </c>
      <c r="AC2651" s="21"/>
      <c r="AD2651" s="21"/>
      <c r="AE2651" s="21"/>
      <c r="AF2651" s="21"/>
      <c r="AG2651" s="21"/>
      <c r="AH2651" s="21"/>
      <c r="AI2651" s="21"/>
      <c r="AJ2651" s="21"/>
      <c r="AK2651" s="21"/>
      <c r="AL2651" s="21"/>
      <c r="AM2651" s="21"/>
      <c r="AN2651" s="21"/>
      <c r="AO2651" s="21">
        <v>6</v>
      </c>
      <c r="AP2651" s="21"/>
      <c r="AQ2651" s="21"/>
      <c r="AR2651" s="21"/>
      <c r="AS2651" s="21">
        <v>97</v>
      </c>
      <c r="AT2651" s="12" t="str">
        <f>HYPERLINK("http://www.openstreetmap.org/?mlat=35.8496&amp;mlon=45.0947&amp;zoom=12#map=12/35.8496/45.0947","Maplink1")</f>
        <v>Maplink1</v>
      </c>
      <c r="AU2651" s="12" t="str">
        <f>HYPERLINK("https://www.google.iq/maps/search/+35.8496,45.0947/@35.8496,45.0947,14z?hl=en","Maplink2")</f>
        <v>Maplink2</v>
      </c>
      <c r="AV2651" s="12" t="str">
        <f>HYPERLINK("http://www.bing.com/maps/?lvl=14&amp;sty=h&amp;cp=35.8496~45.0947&amp;sp=point.35.8496_45.0947","Maplink3")</f>
        <v>Maplink3</v>
      </c>
    </row>
    <row r="2652" spans="1:48" ht="15" customHeight="1" x14ac:dyDescent="0.25">
      <c r="A2652" s="19">
        <v>3595</v>
      </c>
      <c r="B2652" s="20" t="s">
        <v>24</v>
      </c>
      <c r="C2652" s="20" t="s">
        <v>4581</v>
      </c>
      <c r="D2652" s="20" t="s">
        <v>4633</v>
      </c>
      <c r="E2652" s="20" t="s">
        <v>4634</v>
      </c>
      <c r="F2652" s="20">
        <v>35.72419</v>
      </c>
      <c r="G2652" s="20">
        <v>45.137770000000003</v>
      </c>
      <c r="H2652" s="22">
        <v>10</v>
      </c>
      <c r="I2652" s="22">
        <v>60</v>
      </c>
      <c r="J2652" s="21">
        <v>1</v>
      </c>
      <c r="K2652" s="21"/>
      <c r="L2652" s="21"/>
      <c r="M2652" s="21"/>
      <c r="N2652" s="21"/>
      <c r="O2652" s="21"/>
      <c r="P2652" s="21"/>
      <c r="Q2652" s="21"/>
      <c r="R2652" s="21"/>
      <c r="S2652" s="21"/>
      <c r="T2652" s="21"/>
      <c r="U2652" s="21"/>
      <c r="V2652" s="21">
        <v>7</v>
      </c>
      <c r="W2652" s="21"/>
      <c r="X2652" s="21">
        <v>2</v>
      </c>
      <c r="Y2652" s="21"/>
      <c r="Z2652" s="21"/>
      <c r="AA2652" s="21"/>
      <c r="AB2652" s="21"/>
      <c r="AC2652" s="21"/>
      <c r="AD2652" s="21"/>
      <c r="AE2652" s="21"/>
      <c r="AF2652" s="21"/>
      <c r="AG2652" s="21"/>
      <c r="AH2652" s="21">
        <v>10</v>
      </c>
      <c r="AI2652" s="21"/>
      <c r="AJ2652" s="21"/>
      <c r="AK2652" s="21"/>
      <c r="AL2652" s="21"/>
      <c r="AM2652" s="21">
        <v>1</v>
      </c>
      <c r="AN2652" s="21">
        <v>7</v>
      </c>
      <c r="AO2652" s="21"/>
      <c r="AP2652" s="21">
        <v>2</v>
      </c>
      <c r="AQ2652" s="21"/>
      <c r="AR2652" s="21"/>
      <c r="AS2652" s="21"/>
      <c r="AT2652" s="12" t="str">
        <f>HYPERLINK("http://www.openstreetmap.org/?mlat=35.7242&amp;mlon=45.1378&amp;zoom=12#map=12/35.7242/45.1378","Maplink1")</f>
        <v>Maplink1</v>
      </c>
      <c r="AU2652" s="12" t="str">
        <f>HYPERLINK("https://www.google.iq/maps/search/+35.7242,45.1378/@35.7242,45.1378,14z?hl=en","Maplink2")</f>
        <v>Maplink2</v>
      </c>
      <c r="AV2652" s="12" t="str">
        <f>HYPERLINK("http://www.bing.com/maps/?lvl=14&amp;sty=h&amp;cp=35.7242~45.1378&amp;sp=point.35.7242_45.1378","Maplink3")</f>
        <v>Maplink3</v>
      </c>
    </row>
    <row r="2653" spans="1:48" ht="15" customHeight="1" x14ac:dyDescent="0.25">
      <c r="A2653" s="19">
        <v>3593</v>
      </c>
      <c r="B2653" s="20" t="s">
        <v>24</v>
      </c>
      <c r="C2653" s="20" t="s">
        <v>4581</v>
      </c>
      <c r="D2653" s="20" t="s">
        <v>4635</v>
      </c>
      <c r="E2653" s="20" t="s">
        <v>4636</v>
      </c>
      <c r="F2653" s="20">
        <v>35.859998570000002</v>
      </c>
      <c r="G2653" s="20">
        <v>45.079746479999997</v>
      </c>
      <c r="H2653" s="22">
        <v>10</v>
      </c>
      <c r="I2653" s="22">
        <v>60</v>
      </c>
      <c r="J2653" s="21">
        <v>1</v>
      </c>
      <c r="K2653" s="21">
        <v>5</v>
      </c>
      <c r="L2653" s="21"/>
      <c r="M2653" s="21"/>
      <c r="N2653" s="21"/>
      <c r="O2653" s="21"/>
      <c r="P2653" s="21"/>
      <c r="Q2653" s="21"/>
      <c r="R2653" s="21"/>
      <c r="S2653" s="21"/>
      <c r="T2653" s="21"/>
      <c r="U2653" s="21"/>
      <c r="V2653" s="21">
        <v>2</v>
      </c>
      <c r="W2653" s="21"/>
      <c r="X2653" s="21">
        <v>2</v>
      </c>
      <c r="Y2653" s="21"/>
      <c r="Z2653" s="21"/>
      <c r="AA2653" s="21"/>
      <c r="AB2653" s="21"/>
      <c r="AC2653" s="21"/>
      <c r="AD2653" s="21"/>
      <c r="AE2653" s="21"/>
      <c r="AF2653" s="21"/>
      <c r="AG2653" s="21"/>
      <c r="AH2653" s="21">
        <v>10</v>
      </c>
      <c r="AI2653" s="21"/>
      <c r="AJ2653" s="21"/>
      <c r="AK2653" s="21"/>
      <c r="AL2653" s="21">
        <v>1</v>
      </c>
      <c r="AM2653" s="21">
        <v>7</v>
      </c>
      <c r="AN2653" s="21">
        <v>2</v>
      </c>
      <c r="AO2653" s="21"/>
      <c r="AP2653" s="21"/>
      <c r="AQ2653" s="21"/>
      <c r="AR2653" s="21"/>
      <c r="AS2653" s="21"/>
      <c r="AT2653" s="12" t="str">
        <f>HYPERLINK("http://www.openstreetmap.org/?mlat=35.86&amp;mlon=45.0797&amp;zoom=12#map=12/35.86/45.0797","Maplink1")</f>
        <v>Maplink1</v>
      </c>
      <c r="AU2653" s="12" t="str">
        <f>HYPERLINK("https://www.google.iq/maps/search/+35.86,45.0797/@35.86,45.0797,14z?hl=en","Maplink2")</f>
        <v>Maplink2</v>
      </c>
      <c r="AV2653" s="12" t="str">
        <f>HYPERLINK("http://www.bing.com/maps/?lvl=14&amp;sty=h&amp;cp=35.86~45.0797&amp;sp=point.35.86_45.0797","Maplink3")</f>
        <v>Maplink3</v>
      </c>
    </row>
    <row r="2654" spans="1:48" ht="15" customHeight="1" x14ac:dyDescent="0.25">
      <c r="A2654" s="19">
        <v>24554</v>
      </c>
      <c r="B2654" s="20" t="s">
        <v>24</v>
      </c>
      <c r="C2654" s="20" t="s">
        <v>4581</v>
      </c>
      <c r="D2654" s="20" t="s">
        <v>4637</v>
      </c>
      <c r="E2654" s="20" t="s">
        <v>4638</v>
      </c>
      <c r="F2654" s="20">
        <v>35.724224530000001</v>
      </c>
      <c r="G2654" s="20">
        <v>45.142731490000003</v>
      </c>
      <c r="H2654" s="22">
        <v>19</v>
      </c>
      <c r="I2654" s="22">
        <v>114</v>
      </c>
      <c r="J2654" s="21"/>
      <c r="K2654" s="21">
        <v>6</v>
      </c>
      <c r="L2654" s="21">
        <v>2</v>
      </c>
      <c r="M2654" s="21"/>
      <c r="N2654" s="21"/>
      <c r="O2654" s="21">
        <v>9</v>
      </c>
      <c r="P2654" s="21"/>
      <c r="Q2654" s="21"/>
      <c r="R2654" s="21"/>
      <c r="S2654" s="21"/>
      <c r="T2654" s="21"/>
      <c r="U2654" s="21"/>
      <c r="V2654" s="21">
        <v>1</v>
      </c>
      <c r="W2654" s="21"/>
      <c r="X2654" s="21">
        <v>1</v>
      </c>
      <c r="Y2654" s="21"/>
      <c r="Z2654" s="21"/>
      <c r="AA2654" s="21"/>
      <c r="AB2654" s="21"/>
      <c r="AC2654" s="21"/>
      <c r="AD2654" s="21"/>
      <c r="AE2654" s="21"/>
      <c r="AF2654" s="21"/>
      <c r="AG2654" s="21"/>
      <c r="AH2654" s="21">
        <v>19</v>
      </c>
      <c r="AI2654" s="21"/>
      <c r="AJ2654" s="21"/>
      <c r="AK2654" s="21"/>
      <c r="AL2654" s="21">
        <v>2</v>
      </c>
      <c r="AM2654" s="21">
        <v>6</v>
      </c>
      <c r="AN2654" s="21"/>
      <c r="AO2654" s="21">
        <v>9</v>
      </c>
      <c r="AP2654" s="21"/>
      <c r="AQ2654" s="21">
        <v>2</v>
      </c>
      <c r="AR2654" s="21"/>
      <c r="AS2654" s="21"/>
      <c r="AT2654" s="12" t="str">
        <f>HYPERLINK("http://www.openstreetmap.org/?mlat=35.7242&amp;mlon=45.1427&amp;zoom=12#map=12/35.7242/45.1427","Maplink1")</f>
        <v>Maplink1</v>
      </c>
      <c r="AU2654" s="12" t="str">
        <f>HYPERLINK("https://www.google.iq/maps/search/+35.7242,45.1427/@35.7242,45.1427,14z?hl=en","Maplink2")</f>
        <v>Maplink2</v>
      </c>
      <c r="AV2654" s="12" t="str">
        <f>HYPERLINK("http://www.bing.com/maps/?lvl=14&amp;sty=h&amp;cp=35.7242~45.1427&amp;sp=point.35.7242_45.1427","Maplink3")</f>
        <v>Maplink3</v>
      </c>
    </row>
    <row r="2655" spans="1:48" ht="15" customHeight="1" x14ac:dyDescent="0.25">
      <c r="A2655" s="19">
        <v>5068</v>
      </c>
      <c r="B2655" s="20" t="s">
        <v>24</v>
      </c>
      <c r="C2655" s="20" t="s">
        <v>4581</v>
      </c>
      <c r="D2655" s="20" t="s">
        <v>4639</v>
      </c>
      <c r="E2655" s="20" t="s">
        <v>4640</v>
      </c>
      <c r="F2655" s="20">
        <v>35.955577740000003</v>
      </c>
      <c r="G2655" s="20">
        <v>44.988626480000001</v>
      </c>
      <c r="H2655" s="22">
        <v>11</v>
      </c>
      <c r="I2655" s="22">
        <v>66</v>
      </c>
      <c r="J2655" s="21">
        <v>5</v>
      </c>
      <c r="K2655" s="21">
        <v>2</v>
      </c>
      <c r="L2655" s="21"/>
      <c r="M2655" s="21"/>
      <c r="N2655" s="21"/>
      <c r="O2655" s="21">
        <v>1</v>
      </c>
      <c r="P2655" s="21"/>
      <c r="Q2655" s="21"/>
      <c r="R2655" s="21"/>
      <c r="S2655" s="21"/>
      <c r="T2655" s="21"/>
      <c r="U2655" s="21"/>
      <c r="V2655" s="21">
        <v>1</v>
      </c>
      <c r="W2655" s="21"/>
      <c r="X2655" s="21">
        <v>2</v>
      </c>
      <c r="Y2655" s="21"/>
      <c r="Z2655" s="21"/>
      <c r="AA2655" s="21"/>
      <c r="AB2655" s="21"/>
      <c r="AC2655" s="21"/>
      <c r="AD2655" s="21"/>
      <c r="AE2655" s="21"/>
      <c r="AF2655" s="21"/>
      <c r="AG2655" s="21"/>
      <c r="AH2655" s="21">
        <v>11</v>
      </c>
      <c r="AI2655" s="21"/>
      <c r="AJ2655" s="21"/>
      <c r="AK2655" s="21"/>
      <c r="AL2655" s="21">
        <v>1</v>
      </c>
      <c r="AM2655" s="21">
        <v>7</v>
      </c>
      <c r="AN2655" s="21">
        <v>1</v>
      </c>
      <c r="AO2655" s="21">
        <v>1</v>
      </c>
      <c r="AP2655" s="21">
        <v>1</v>
      </c>
      <c r="AQ2655" s="21"/>
      <c r="AR2655" s="21"/>
      <c r="AS2655" s="21"/>
      <c r="AT2655" s="12" t="str">
        <f>HYPERLINK("http://www.openstreetmap.org/?mlat=35.9556&amp;mlon=44.9886&amp;zoom=12#map=12/35.9556/44.9886","Maplink1")</f>
        <v>Maplink1</v>
      </c>
      <c r="AU2655" s="12" t="str">
        <f>HYPERLINK("https://www.google.iq/maps/search/+35.9556,44.9886/@35.9556,44.9886,14z?hl=en","Maplink2")</f>
        <v>Maplink2</v>
      </c>
      <c r="AV2655" s="12" t="str">
        <f>HYPERLINK("http://www.bing.com/maps/?lvl=14&amp;sty=h&amp;cp=35.9556~44.9886&amp;sp=point.35.9556_44.9886","Maplink3")</f>
        <v>Maplink3</v>
      </c>
    </row>
    <row r="2656" spans="1:48" ht="15" customHeight="1" x14ac:dyDescent="0.25">
      <c r="A2656" s="19">
        <v>3589</v>
      </c>
      <c r="B2656" s="20" t="s">
        <v>24</v>
      </c>
      <c r="C2656" s="20" t="s">
        <v>4581</v>
      </c>
      <c r="D2656" s="20" t="s">
        <v>4641</v>
      </c>
      <c r="E2656" s="20" t="s">
        <v>4642</v>
      </c>
      <c r="F2656" s="20">
        <v>35.752189999999999</v>
      </c>
      <c r="G2656" s="20">
        <v>45.122149999999998</v>
      </c>
      <c r="H2656" s="22">
        <v>6</v>
      </c>
      <c r="I2656" s="22">
        <v>36</v>
      </c>
      <c r="J2656" s="21"/>
      <c r="K2656" s="21">
        <v>1</v>
      </c>
      <c r="L2656" s="21">
        <v>3</v>
      </c>
      <c r="M2656" s="21"/>
      <c r="N2656" s="21"/>
      <c r="O2656" s="21"/>
      <c r="P2656" s="21"/>
      <c r="Q2656" s="21"/>
      <c r="R2656" s="21"/>
      <c r="S2656" s="21"/>
      <c r="T2656" s="21"/>
      <c r="U2656" s="21"/>
      <c r="V2656" s="21">
        <v>2</v>
      </c>
      <c r="W2656" s="21"/>
      <c r="X2656" s="21"/>
      <c r="Y2656" s="21"/>
      <c r="Z2656" s="21"/>
      <c r="AA2656" s="21"/>
      <c r="AB2656" s="21"/>
      <c r="AC2656" s="21"/>
      <c r="AD2656" s="21"/>
      <c r="AE2656" s="21"/>
      <c r="AF2656" s="21"/>
      <c r="AG2656" s="21"/>
      <c r="AH2656" s="21">
        <v>6</v>
      </c>
      <c r="AI2656" s="21"/>
      <c r="AJ2656" s="21"/>
      <c r="AK2656" s="21"/>
      <c r="AL2656" s="21">
        <v>3</v>
      </c>
      <c r="AM2656" s="21">
        <v>1</v>
      </c>
      <c r="AN2656" s="21">
        <v>2</v>
      </c>
      <c r="AO2656" s="21"/>
      <c r="AP2656" s="21"/>
      <c r="AQ2656" s="21"/>
      <c r="AR2656" s="21"/>
      <c r="AS2656" s="21"/>
      <c r="AT2656" s="12" t="str">
        <f>HYPERLINK("http://www.openstreetmap.org/?mlat=35.7522&amp;mlon=45.1221&amp;zoom=12#map=12/35.7522/45.1221","Maplink1")</f>
        <v>Maplink1</v>
      </c>
      <c r="AU2656" s="12" t="str">
        <f>HYPERLINK("https://www.google.iq/maps/search/+35.7522,45.1221/@35.7522,45.1221,14z?hl=en","Maplink2")</f>
        <v>Maplink2</v>
      </c>
      <c r="AV2656" s="12" t="str">
        <f>HYPERLINK("http://www.bing.com/maps/?lvl=14&amp;sty=h&amp;cp=35.7522~45.1221&amp;sp=point.35.7522_45.1221","Maplink3")</f>
        <v>Maplink3</v>
      </c>
    </row>
    <row r="2657" spans="1:48" ht="15" customHeight="1" x14ac:dyDescent="0.25">
      <c r="A2657" s="19">
        <v>5108</v>
      </c>
      <c r="B2657" s="20" t="s">
        <v>24</v>
      </c>
      <c r="C2657" s="20" t="s">
        <v>4643</v>
      </c>
      <c r="D2657" s="20" t="s">
        <v>5992</v>
      </c>
      <c r="E2657" s="20" t="s">
        <v>5993</v>
      </c>
      <c r="F2657" s="20">
        <v>35.297339999999998</v>
      </c>
      <c r="G2657" s="20">
        <v>46.06597</v>
      </c>
      <c r="H2657" s="22">
        <v>3</v>
      </c>
      <c r="I2657" s="22">
        <v>18</v>
      </c>
      <c r="J2657" s="21">
        <v>3</v>
      </c>
      <c r="K2657" s="21"/>
      <c r="L2657" s="21"/>
      <c r="M2657" s="21"/>
      <c r="N2657" s="21"/>
      <c r="O2657" s="21"/>
      <c r="P2657" s="21"/>
      <c r="Q2657" s="21"/>
      <c r="R2657" s="21"/>
      <c r="S2657" s="21"/>
      <c r="T2657" s="21"/>
      <c r="U2657" s="21"/>
      <c r="V2657" s="21"/>
      <c r="W2657" s="21"/>
      <c r="X2657" s="21"/>
      <c r="Y2657" s="21"/>
      <c r="Z2657" s="21"/>
      <c r="AA2657" s="21"/>
      <c r="AB2657" s="21"/>
      <c r="AC2657" s="21"/>
      <c r="AD2657" s="21"/>
      <c r="AE2657" s="21"/>
      <c r="AF2657" s="21"/>
      <c r="AG2657" s="21"/>
      <c r="AH2657" s="21">
        <v>3</v>
      </c>
      <c r="AI2657" s="21"/>
      <c r="AJ2657" s="21"/>
      <c r="AK2657" s="21"/>
      <c r="AL2657" s="21">
        <v>3</v>
      </c>
      <c r="AM2657" s="21"/>
      <c r="AN2657" s="21"/>
      <c r="AO2657" s="21"/>
      <c r="AP2657" s="21"/>
      <c r="AQ2657" s="21"/>
      <c r="AR2657" s="21"/>
      <c r="AS2657" s="21"/>
      <c r="AT2657" s="12" t="str">
        <f>HYPERLINK("http://www.openstreetmap.org/?mlat=35.2973&amp;mlon=46.066&amp;zoom=12#map=12/35.2973/46.066","Maplink1")</f>
        <v>Maplink1</v>
      </c>
      <c r="AU2657" s="12" t="str">
        <f>HYPERLINK("https://www.google.iq/maps/search/+35.2973,46.066/@35.2973,46.066,14z?hl=en","Maplink2")</f>
        <v>Maplink2</v>
      </c>
      <c r="AV2657" s="12" t="str">
        <f>HYPERLINK("http://www.bing.com/maps/?lvl=14&amp;sty=h&amp;cp=35.2973~46.066&amp;sp=point.35.2973_46.066","Maplink3")</f>
        <v>Maplink3</v>
      </c>
    </row>
    <row r="2658" spans="1:48" ht="15" customHeight="1" x14ac:dyDescent="0.25">
      <c r="A2658" s="19">
        <v>22460</v>
      </c>
      <c r="B2658" s="20" t="s">
        <v>24</v>
      </c>
      <c r="C2658" s="20" t="s">
        <v>4643</v>
      </c>
      <c r="D2658" s="20" t="s">
        <v>4644</v>
      </c>
      <c r="E2658" s="20" t="s">
        <v>4645</v>
      </c>
      <c r="F2658" s="20">
        <v>35.29912624</v>
      </c>
      <c r="G2658" s="20">
        <v>46.033158069999999</v>
      </c>
      <c r="H2658" s="22">
        <v>10</v>
      </c>
      <c r="I2658" s="22">
        <v>60</v>
      </c>
      <c r="J2658" s="21">
        <v>1</v>
      </c>
      <c r="K2658" s="21"/>
      <c r="L2658" s="21">
        <v>1</v>
      </c>
      <c r="M2658" s="21"/>
      <c r="N2658" s="21"/>
      <c r="O2658" s="21">
        <v>2</v>
      </c>
      <c r="P2658" s="21"/>
      <c r="Q2658" s="21"/>
      <c r="R2658" s="21"/>
      <c r="S2658" s="21"/>
      <c r="T2658" s="21"/>
      <c r="U2658" s="21"/>
      <c r="V2658" s="21">
        <v>1</v>
      </c>
      <c r="W2658" s="21"/>
      <c r="X2658" s="21">
        <v>5</v>
      </c>
      <c r="Y2658" s="21"/>
      <c r="Z2658" s="21"/>
      <c r="AA2658" s="21"/>
      <c r="AB2658" s="21"/>
      <c r="AC2658" s="21"/>
      <c r="AD2658" s="21"/>
      <c r="AE2658" s="21"/>
      <c r="AF2658" s="21"/>
      <c r="AG2658" s="21"/>
      <c r="AH2658" s="21">
        <v>10</v>
      </c>
      <c r="AI2658" s="21"/>
      <c r="AJ2658" s="21"/>
      <c r="AK2658" s="21"/>
      <c r="AL2658" s="21">
        <v>2</v>
      </c>
      <c r="AM2658" s="21">
        <v>1</v>
      </c>
      <c r="AN2658" s="21"/>
      <c r="AO2658" s="21"/>
      <c r="AP2658" s="21">
        <v>1</v>
      </c>
      <c r="AQ2658" s="21">
        <v>1</v>
      </c>
      <c r="AR2658" s="21">
        <v>3</v>
      </c>
      <c r="AS2658" s="21">
        <v>2</v>
      </c>
      <c r="AT2658" s="12" t="str">
        <f>HYPERLINK("http://www.openstreetmap.org/?mlat=35.2991&amp;mlon=46.0332&amp;zoom=12#map=12/35.2991/46.0332","Maplink1")</f>
        <v>Maplink1</v>
      </c>
      <c r="AU2658" s="12" t="str">
        <f>HYPERLINK("https://www.google.iq/maps/search/+35.2991,46.0332/@35.2991,46.0332,14z?hl=en","Maplink2")</f>
        <v>Maplink2</v>
      </c>
      <c r="AV2658" s="12" t="str">
        <f>HYPERLINK("http://www.bing.com/maps/?lvl=14&amp;sty=h&amp;cp=35.2991~46.0332&amp;sp=point.35.2991_46.0332","Maplink3")</f>
        <v>Maplink3</v>
      </c>
    </row>
    <row r="2659" spans="1:48" ht="15" customHeight="1" x14ac:dyDescent="0.25">
      <c r="A2659" s="19">
        <v>3819</v>
      </c>
      <c r="B2659" s="20" t="s">
        <v>24</v>
      </c>
      <c r="C2659" s="20" t="s">
        <v>4643</v>
      </c>
      <c r="D2659" s="20" t="s">
        <v>1983</v>
      </c>
      <c r="E2659" s="20" t="s">
        <v>2591</v>
      </c>
      <c r="F2659" s="20">
        <v>35.301716020000001</v>
      </c>
      <c r="G2659" s="20">
        <v>46.033677640000001</v>
      </c>
      <c r="H2659" s="22">
        <v>4</v>
      </c>
      <c r="I2659" s="22">
        <v>24</v>
      </c>
      <c r="J2659" s="21"/>
      <c r="K2659" s="21"/>
      <c r="L2659" s="21">
        <v>1</v>
      </c>
      <c r="M2659" s="21"/>
      <c r="N2659" s="21"/>
      <c r="O2659" s="21">
        <v>3</v>
      </c>
      <c r="P2659" s="21"/>
      <c r="Q2659" s="21"/>
      <c r="R2659" s="21"/>
      <c r="S2659" s="21"/>
      <c r="T2659" s="21"/>
      <c r="U2659" s="21"/>
      <c r="V2659" s="21"/>
      <c r="W2659" s="21"/>
      <c r="X2659" s="21"/>
      <c r="Y2659" s="21"/>
      <c r="Z2659" s="21"/>
      <c r="AA2659" s="21"/>
      <c r="AB2659" s="21"/>
      <c r="AC2659" s="21"/>
      <c r="AD2659" s="21"/>
      <c r="AE2659" s="21"/>
      <c r="AF2659" s="21"/>
      <c r="AG2659" s="21"/>
      <c r="AH2659" s="21">
        <v>4</v>
      </c>
      <c r="AI2659" s="21"/>
      <c r="AJ2659" s="21"/>
      <c r="AK2659" s="21"/>
      <c r="AL2659" s="21">
        <v>2</v>
      </c>
      <c r="AM2659" s="21">
        <v>1</v>
      </c>
      <c r="AN2659" s="21"/>
      <c r="AO2659" s="21"/>
      <c r="AP2659" s="21"/>
      <c r="AQ2659" s="21"/>
      <c r="AR2659" s="21">
        <v>1</v>
      </c>
      <c r="AS2659" s="21"/>
      <c r="AT2659" s="12" t="str">
        <f>HYPERLINK("http://www.openstreetmap.org/?mlat=35.3017&amp;mlon=46.0337&amp;zoom=12#map=12/35.3017/46.0337","Maplink1")</f>
        <v>Maplink1</v>
      </c>
      <c r="AU2659" s="12" t="str">
        <f>HYPERLINK("https://www.google.iq/maps/search/+35.3017,46.0337/@35.3017,46.0337,14z?hl=en","Maplink2")</f>
        <v>Maplink2</v>
      </c>
      <c r="AV2659" s="12" t="str">
        <f>HYPERLINK("http://www.bing.com/maps/?lvl=14&amp;sty=h&amp;cp=35.3017~46.0337&amp;sp=point.35.3017_46.0337","Maplink3")</f>
        <v>Maplink3</v>
      </c>
    </row>
    <row r="2660" spans="1:48" ht="15" customHeight="1" x14ac:dyDescent="0.25">
      <c r="A2660" s="19">
        <v>25079</v>
      </c>
      <c r="B2660" s="20" t="s">
        <v>24</v>
      </c>
      <c r="C2660" s="20" t="s">
        <v>4643</v>
      </c>
      <c r="D2660" s="20" t="s">
        <v>1951</v>
      </c>
      <c r="E2660" s="20" t="s">
        <v>2777</v>
      </c>
      <c r="F2660" s="20">
        <v>35.316139370000002</v>
      </c>
      <c r="G2660" s="20">
        <v>45.685719329999998</v>
      </c>
      <c r="H2660" s="22">
        <v>23</v>
      </c>
      <c r="I2660" s="22">
        <v>138</v>
      </c>
      <c r="J2660" s="21">
        <v>6</v>
      </c>
      <c r="K2660" s="21"/>
      <c r="L2660" s="21">
        <v>4</v>
      </c>
      <c r="M2660" s="21"/>
      <c r="N2660" s="21"/>
      <c r="O2660" s="21">
        <v>4</v>
      </c>
      <c r="P2660" s="21"/>
      <c r="Q2660" s="21"/>
      <c r="R2660" s="21"/>
      <c r="S2660" s="21"/>
      <c r="T2660" s="21"/>
      <c r="U2660" s="21"/>
      <c r="V2660" s="21"/>
      <c r="W2660" s="21"/>
      <c r="X2660" s="21">
        <v>9</v>
      </c>
      <c r="Y2660" s="21"/>
      <c r="Z2660" s="21"/>
      <c r="AA2660" s="21"/>
      <c r="AB2660" s="21"/>
      <c r="AC2660" s="21"/>
      <c r="AD2660" s="21"/>
      <c r="AE2660" s="21"/>
      <c r="AF2660" s="21"/>
      <c r="AG2660" s="21"/>
      <c r="AH2660" s="21">
        <v>23</v>
      </c>
      <c r="AI2660" s="21"/>
      <c r="AJ2660" s="21"/>
      <c r="AK2660" s="21"/>
      <c r="AL2660" s="21"/>
      <c r="AM2660" s="21">
        <v>3</v>
      </c>
      <c r="AN2660" s="21">
        <v>1</v>
      </c>
      <c r="AO2660" s="21">
        <v>7</v>
      </c>
      <c r="AP2660" s="21">
        <v>3</v>
      </c>
      <c r="AQ2660" s="21">
        <v>2</v>
      </c>
      <c r="AR2660" s="21">
        <v>4</v>
      </c>
      <c r="AS2660" s="21">
        <v>3</v>
      </c>
      <c r="AT2660" s="12" t="str">
        <f>HYPERLINK("http://www.openstreetmap.org/?mlat=35.3161&amp;mlon=45.6857&amp;zoom=12#map=12/35.3161/45.6857","Maplink1")</f>
        <v>Maplink1</v>
      </c>
      <c r="AU2660" s="12" t="str">
        <f>HYPERLINK("https://www.google.iq/maps/search/+35.3161,45.6857/@35.3161,45.6857,14z?hl=en","Maplink2")</f>
        <v>Maplink2</v>
      </c>
      <c r="AV2660" s="12" t="str">
        <f>HYPERLINK("http://www.bing.com/maps/?lvl=14&amp;sty=h&amp;cp=35.3161~45.6857&amp;sp=point.35.3161_45.6857","Maplink3")</f>
        <v>Maplink3</v>
      </c>
    </row>
    <row r="2661" spans="1:48" ht="15" customHeight="1" x14ac:dyDescent="0.25">
      <c r="A2661" s="19">
        <v>31861</v>
      </c>
      <c r="B2661" s="20" t="s">
        <v>24</v>
      </c>
      <c r="C2661" s="20" t="s">
        <v>4643</v>
      </c>
      <c r="D2661" s="20" t="s">
        <v>1951</v>
      </c>
      <c r="E2661" s="20" t="s">
        <v>2777</v>
      </c>
      <c r="F2661" s="20">
        <v>35.251100000000001</v>
      </c>
      <c r="G2661" s="20">
        <v>45.941719999999997</v>
      </c>
      <c r="H2661" s="22">
        <v>51</v>
      </c>
      <c r="I2661" s="22">
        <v>306</v>
      </c>
      <c r="J2661" s="21">
        <v>3</v>
      </c>
      <c r="K2661" s="21">
        <v>13</v>
      </c>
      <c r="L2661" s="21">
        <v>6</v>
      </c>
      <c r="M2661" s="21"/>
      <c r="N2661" s="21"/>
      <c r="O2661" s="21">
        <v>7</v>
      </c>
      <c r="P2661" s="21"/>
      <c r="Q2661" s="21"/>
      <c r="R2661" s="21">
        <v>1</v>
      </c>
      <c r="S2661" s="21"/>
      <c r="T2661" s="21"/>
      <c r="U2661" s="21"/>
      <c r="V2661" s="21"/>
      <c r="W2661" s="21"/>
      <c r="X2661" s="21">
        <v>21</v>
      </c>
      <c r="Y2661" s="21"/>
      <c r="Z2661" s="21"/>
      <c r="AA2661" s="21"/>
      <c r="AB2661" s="21"/>
      <c r="AC2661" s="21"/>
      <c r="AD2661" s="21"/>
      <c r="AE2661" s="21"/>
      <c r="AF2661" s="21"/>
      <c r="AG2661" s="21"/>
      <c r="AH2661" s="21">
        <v>51</v>
      </c>
      <c r="AI2661" s="21"/>
      <c r="AJ2661" s="21"/>
      <c r="AK2661" s="21"/>
      <c r="AL2661" s="21">
        <v>4</v>
      </c>
      <c r="AM2661" s="21">
        <v>7</v>
      </c>
      <c r="AN2661" s="21"/>
      <c r="AO2661" s="21">
        <v>14</v>
      </c>
      <c r="AP2661" s="21">
        <v>15</v>
      </c>
      <c r="AQ2661" s="21">
        <v>9</v>
      </c>
      <c r="AR2661" s="21">
        <v>1</v>
      </c>
      <c r="AS2661" s="21">
        <v>1</v>
      </c>
      <c r="AT2661" s="12" t="str">
        <f>HYPERLINK("http://www.openstreetmap.org/?mlat=35.2511&amp;mlon=45.9417&amp;zoom=12#map=12/35.2511/45.9417","Maplink1")</f>
        <v>Maplink1</v>
      </c>
      <c r="AU2661" s="12" t="str">
        <f>HYPERLINK("https://www.google.iq/maps/search/+35.2511,45.9417/@35.2511,45.9417,14z?hl=en","Maplink2")</f>
        <v>Maplink2</v>
      </c>
      <c r="AV2661" s="12" t="str">
        <f>HYPERLINK("http://www.bing.com/maps/?lvl=14&amp;sty=h&amp;cp=35.2511~45.9417&amp;sp=point.35.2511_45.9417","Maplink3")</f>
        <v>Maplink3</v>
      </c>
    </row>
    <row r="2662" spans="1:48" ht="15" customHeight="1" x14ac:dyDescent="0.25">
      <c r="A2662" s="19">
        <v>23723</v>
      </c>
      <c r="B2662" s="20" t="s">
        <v>24</v>
      </c>
      <c r="C2662" s="20" t="s">
        <v>4643</v>
      </c>
      <c r="D2662" s="20" t="s">
        <v>4646</v>
      </c>
      <c r="E2662" s="20" t="s">
        <v>4647</v>
      </c>
      <c r="F2662" s="20">
        <v>35.322085880000003</v>
      </c>
      <c r="G2662" s="20">
        <v>45.687178860000003</v>
      </c>
      <c r="H2662" s="22">
        <v>29</v>
      </c>
      <c r="I2662" s="22">
        <v>174</v>
      </c>
      <c r="J2662" s="21">
        <v>8</v>
      </c>
      <c r="K2662" s="21"/>
      <c r="L2662" s="21">
        <v>6</v>
      </c>
      <c r="M2662" s="21"/>
      <c r="N2662" s="21"/>
      <c r="O2662" s="21">
        <v>9</v>
      </c>
      <c r="P2662" s="21"/>
      <c r="Q2662" s="21"/>
      <c r="R2662" s="21"/>
      <c r="S2662" s="21"/>
      <c r="T2662" s="21"/>
      <c r="U2662" s="21"/>
      <c r="V2662" s="21"/>
      <c r="W2662" s="21"/>
      <c r="X2662" s="21">
        <v>6</v>
      </c>
      <c r="Y2662" s="21"/>
      <c r="Z2662" s="21"/>
      <c r="AA2662" s="21"/>
      <c r="AB2662" s="21"/>
      <c r="AC2662" s="21"/>
      <c r="AD2662" s="21"/>
      <c r="AE2662" s="21"/>
      <c r="AF2662" s="21"/>
      <c r="AG2662" s="21"/>
      <c r="AH2662" s="21">
        <v>29</v>
      </c>
      <c r="AI2662" s="21"/>
      <c r="AJ2662" s="21"/>
      <c r="AK2662" s="21"/>
      <c r="AL2662" s="21"/>
      <c r="AM2662" s="21">
        <v>10</v>
      </c>
      <c r="AN2662" s="21"/>
      <c r="AO2662" s="21">
        <v>9</v>
      </c>
      <c r="AP2662" s="21">
        <v>1</v>
      </c>
      <c r="AQ2662" s="21">
        <v>6</v>
      </c>
      <c r="AR2662" s="21"/>
      <c r="AS2662" s="21">
        <v>3</v>
      </c>
      <c r="AT2662" s="12" t="str">
        <f>HYPERLINK("http://www.openstreetmap.org/?mlat=35.3221&amp;mlon=45.6872&amp;zoom=12#map=12/35.3221/45.6872","Maplink1")</f>
        <v>Maplink1</v>
      </c>
      <c r="AU2662" s="12" t="str">
        <f>HYPERLINK("https://www.google.iq/maps/search/+35.3221,45.6872/@35.3221,45.6872,14z?hl=en","Maplink2")</f>
        <v>Maplink2</v>
      </c>
      <c r="AV2662" s="12" t="str">
        <f>HYPERLINK("http://www.bing.com/maps/?lvl=14&amp;sty=h&amp;cp=35.3221~45.6872&amp;sp=point.35.3221_45.6872","Maplink3")</f>
        <v>Maplink3</v>
      </c>
    </row>
    <row r="2663" spans="1:48" ht="15" customHeight="1" x14ac:dyDescent="0.25">
      <c r="A2663" s="19">
        <v>24096</v>
      </c>
      <c r="B2663" s="20" t="s">
        <v>24</v>
      </c>
      <c r="C2663" s="20" t="s">
        <v>4643</v>
      </c>
      <c r="D2663" s="20" t="s">
        <v>4648</v>
      </c>
      <c r="E2663" s="20" t="s">
        <v>4649</v>
      </c>
      <c r="F2663" s="20">
        <v>35.356635900000001</v>
      </c>
      <c r="G2663" s="20">
        <v>45.8743798</v>
      </c>
      <c r="H2663" s="22">
        <v>48</v>
      </c>
      <c r="I2663" s="22">
        <v>288</v>
      </c>
      <c r="J2663" s="21">
        <v>7</v>
      </c>
      <c r="K2663" s="21">
        <v>9</v>
      </c>
      <c r="L2663" s="21">
        <v>10</v>
      </c>
      <c r="M2663" s="21"/>
      <c r="N2663" s="21"/>
      <c r="O2663" s="21">
        <v>11</v>
      </c>
      <c r="P2663" s="21"/>
      <c r="Q2663" s="21"/>
      <c r="R2663" s="21"/>
      <c r="S2663" s="21"/>
      <c r="T2663" s="21"/>
      <c r="U2663" s="21"/>
      <c r="V2663" s="21">
        <v>10</v>
      </c>
      <c r="W2663" s="21"/>
      <c r="X2663" s="21">
        <v>1</v>
      </c>
      <c r="Y2663" s="21"/>
      <c r="Z2663" s="21"/>
      <c r="AA2663" s="21"/>
      <c r="AB2663" s="21"/>
      <c r="AC2663" s="21"/>
      <c r="AD2663" s="21"/>
      <c r="AE2663" s="21"/>
      <c r="AF2663" s="21"/>
      <c r="AG2663" s="21"/>
      <c r="AH2663" s="21">
        <v>48</v>
      </c>
      <c r="AI2663" s="21"/>
      <c r="AJ2663" s="21"/>
      <c r="AK2663" s="21"/>
      <c r="AL2663" s="21">
        <v>8</v>
      </c>
      <c r="AM2663" s="21">
        <v>10</v>
      </c>
      <c r="AN2663" s="21">
        <v>16</v>
      </c>
      <c r="AO2663" s="21">
        <v>4</v>
      </c>
      <c r="AP2663" s="21">
        <v>4</v>
      </c>
      <c r="AQ2663" s="21">
        <v>4</v>
      </c>
      <c r="AR2663" s="21">
        <v>2</v>
      </c>
      <c r="AS2663" s="21"/>
      <c r="AT2663" s="12" t="str">
        <f>HYPERLINK("http://www.openstreetmap.org/?mlat=35.3566&amp;mlon=45.8744&amp;zoom=12#map=12/35.3566/45.8744","Maplink1")</f>
        <v>Maplink1</v>
      </c>
      <c r="AU2663" s="12" t="str">
        <f>HYPERLINK("https://www.google.iq/maps/search/+35.3566,45.8744/@35.3566,45.8744,14z?hl=en","Maplink2")</f>
        <v>Maplink2</v>
      </c>
      <c r="AV2663" s="12" t="str">
        <f>HYPERLINK("http://www.bing.com/maps/?lvl=14&amp;sty=h&amp;cp=35.3566~45.8744&amp;sp=point.35.3566_45.8744","Maplink3")</f>
        <v>Maplink3</v>
      </c>
    </row>
    <row r="2664" spans="1:48" ht="15" customHeight="1" x14ac:dyDescent="0.25">
      <c r="A2664" s="19">
        <v>24639</v>
      </c>
      <c r="B2664" s="20" t="s">
        <v>24</v>
      </c>
      <c r="C2664" s="20" t="s">
        <v>4643</v>
      </c>
      <c r="D2664" s="20" t="s">
        <v>4650</v>
      </c>
      <c r="E2664" s="20" t="s">
        <v>4651</v>
      </c>
      <c r="F2664" s="20">
        <v>35.295265020000002</v>
      </c>
      <c r="G2664" s="20">
        <v>46.037862459999999</v>
      </c>
      <c r="H2664" s="22">
        <v>17</v>
      </c>
      <c r="I2664" s="22">
        <v>102</v>
      </c>
      <c r="J2664" s="21">
        <v>4</v>
      </c>
      <c r="K2664" s="21">
        <v>3</v>
      </c>
      <c r="L2664" s="21"/>
      <c r="M2664" s="21"/>
      <c r="N2664" s="21"/>
      <c r="O2664" s="21">
        <v>8</v>
      </c>
      <c r="P2664" s="21"/>
      <c r="Q2664" s="21"/>
      <c r="R2664" s="21"/>
      <c r="S2664" s="21"/>
      <c r="T2664" s="21"/>
      <c r="U2664" s="21"/>
      <c r="V2664" s="21">
        <v>2</v>
      </c>
      <c r="W2664" s="21"/>
      <c r="X2664" s="21"/>
      <c r="Y2664" s="21"/>
      <c r="Z2664" s="21"/>
      <c r="AA2664" s="21"/>
      <c r="AB2664" s="21"/>
      <c r="AC2664" s="21"/>
      <c r="AD2664" s="21"/>
      <c r="AE2664" s="21"/>
      <c r="AF2664" s="21"/>
      <c r="AG2664" s="21"/>
      <c r="AH2664" s="21">
        <v>17</v>
      </c>
      <c r="AI2664" s="21"/>
      <c r="AJ2664" s="21"/>
      <c r="AK2664" s="21"/>
      <c r="AL2664" s="21">
        <v>8</v>
      </c>
      <c r="AM2664" s="21">
        <v>3</v>
      </c>
      <c r="AN2664" s="21">
        <v>1</v>
      </c>
      <c r="AO2664" s="21">
        <v>2</v>
      </c>
      <c r="AP2664" s="21"/>
      <c r="AQ2664" s="21">
        <v>3</v>
      </c>
      <c r="AR2664" s="21"/>
      <c r="AS2664" s="21"/>
      <c r="AT2664" s="12" t="str">
        <f>HYPERLINK("http://www.openstreetmap.org/?mlat=35.2953&amp;mlon=46.0379&amp;zoom=12#map=12/35.2953/46.0379","Maplink1")</f>
        <v>Maplink1</v>
      </c>
      <c r="AU2664" s="12" t="str">
        <f>HYPERLINK("https://www.google.iq/maps/search/+35.2953,46.0379/@35.2953,46.0379,14z?hl=en","Maplink2")</f>
        <v>Maplink2</v>
      </c>
      <c r="AV2664" s="12" t="str">
        <f>HYPERLINK("http://www.bing.com/maps/?lvl=14&amp;sty=h&amp;cp=35.2953~46.0379&amp;sp=point.35.2953_46.0379","Maplink3")</f>
        <v>Maplink3</v>
      </c>
    </row>
    <row r="2665" spans="1:48" ht="15" customHeight="1" x14ac:dyDescent="0.25">
      <c r="A2665" s="19">
        <v>25757</v>
      </c>
      <c r="B2665" s="20" t="s">
        <v>24</v>
      </c>
      <c r="C2665" s="20" t="s">
        <v>4643</v>
      </c>
      <c r="D2665" s="20" t="s">
        <v>4652</v>
      </c>
      <c r="E2665" s="20" t="s">
        <v>4653</v>
      </c>
      <c r="F2665" s="20">
        <v>35.18771478</v>
      </c>
      <c r="G2665" s="20">
        <v>45.970902989999999</v>
      </c>
      <c r="H2665" s="22">
        <v>20</v>
      </c>
      <c r="I2665" s="22">
        <v>120</v>
      </c>
      <c r="J2665" s="21">
        <v>3</v>
      </c>
      <c r="K2665" s="21">
        <v>7</v>
      </c>
      <c r="L2665" s="21">
        <v>3</v>
      </c>
      <c r="M2665" s="21"/>
      <c r="N2665" s="21"/>
      <c r="O2665" s="21">
        <v>4</v>
      </c>
      <c r="P2665" s="21"/>
      <c r="Q2665" s="21"/>
      <c r="R2665" s="21"/>
      <c r="S2665" s="21"/>
      <c r="T2665" s="21"/>
      <c r="U2665" s="21"/>
      <c r="V2665" s="21"/>
      <c r="W2665" s="21"/>
      <c r="X2665" s="21">
        <v>3</v>
      </c>
      <c r="Y2665" s="21"/>
      <c r="Z2665" s="21"/>
      <c r="AA2665" s="21"/>
      <c r="AB2665" s="21"/>
      <c r="AC2665" s="21"/>
      <c r="AD2665" s="21"/>
      <c r="AE2665" s="21"/>
      <c r="AF2665" s="21"/>
      <c r="AG2665" s="21"/>
      <c r="AH2665" s="21">
        <v>20</v>
      </c>
      <c r="AI2665" s="21"/>
      <c r="AJ2665" s="21"/>
      <c r="AK2665" s="21"/>
      <c r="AL2665" s="21">
        <v>9</v>
      </c>
      <c r="AM2665" s="21">
        <v>2</v>
      </c>
      <c r="AN2665" s="21"/>
      <c r="AO2665" s="21">
        <v>1</v>
      </c>
      <c r="AP2665" s="21">
        <v>8</v>
      </c>
      <c r="AQ2665" s="21"/>
      <c r="AR2665" s="21"/>
      <c r="AS2665" s="21"/>
      <c r="AT2665" s="12" t="str">
        <f>HYPERLINK("http://www.openstreetmap.org/?mlat=35.1877&amp;mlon=45.9709&amp;zoom=12#map=12/35.1877/45.9709","Maplink1")</f>
        <v>Maplink1</v>
      </c>
      <c r="AU2665" s="12" t="str">
        <f>HYPERLINK("https://www.google.iq/maps/search/+35.1877,45.9709/@35.1877,45.9709,14z?hl=en","Maplink2")</f>
        <v>Maplink2</v>
      </c>
      <c r="AV2665" s="12" t="str">
        <f>HYPERLINK("http://www.bing.com/maps/?lvl=14&amp;sty=h&amp;cp=35.1877~45.9709&amp;sp=point.35.1877_45.9709","Maplink3")</f>
        <v>Maplink3</v>
      </c>
    </row>
    <row r="2666" spans="1:48" ht="15" customHeight="1" x14ac:dyDescent="0.25">
      <c r="A2666" s="19">
        <v>21960</v>
      </c>
      <c r="B2666" s="20" t="s">
        <v>24</v>
      </c>
      <c r="C2666" s="20" t="s">
        <v>4643</v>
      </c>
      <c r="D2666" s="20" t="s">
        <v>4596</v>
      </c>
      <c r="E2666" s="20" t="s">
        <v>4597</v>
      </c>
      <c r="F2666" s="20">
        <v>35.185427910000001</v>
      </c>
      <c r="G2666" s="20">
        <v>45.979301560000003</v>
      </c>
      <c r="H2666" s="22">
        <v>23</v>
      </c>
      <c r="I2666" s="22">
        <v>138</v>
      </c>
      <c r="J2666" s="21">
        <v>20</v>
      </c>
      <c r="K2666" s="21"/>
      <c r="L2666" s="21">
        <v>1</v>
      </c>
      <c r="M2666" s="21"/>
      <c r="N2666" s="21"/>
      <c r="O2666" s="21">
        <v>1</v>
      </c>
      <c r="P2666" s="21"/>
      <c r="Q2666" s="21"/>
      <c r="R2666" s="21"/>
      <c r="S2666" s="21"/>
      <c r="T2666" s="21"/>
      <c r="U2666" s="21"/>
      <c r="V2666" s="21">
        <v>1</v>
      </c>
      <c r="W2666" s="21"/>
      <c r="X2666" s="21"/>
      <c r="Y2666" s="21"/>
      <c r="Z2666" s="21"/>
      <c r="AA2666" s="21"/>
      <c r="AB2666" s="21"/>
      <c r="AC2666" s="21"/>
      <c r="AD2666" s="21"/>
      <c r="AE2666" s="21"/>
      <c r="AF2666" s="21"/>
      <c r="AG2666" s="21"/>
      <c r="AH2666" s="21">
        <v>23</v>
      </c>
      <c r="AI2666" s="21"/>
      <c r="AJ2666" s="21"/>
      <c r="AK2666" s="21"/>
      <c r="AL2666" s="21">
        <v>5</v>
      </c>
      <c r="AM2666" s="21">
        <v>1</v>
      </c>
      <c r="AN2666" s="21"/>
      <c r="AO2666" s="21">
        <v>3</v>
      </c>
      <c r="AP2666" s="21">
        <v>3</v>
      </c>
      <c r="AQ2666" s="21">
        <v>11</v>
      </c>
      <c r="AR2666" s="21"/>
      <c r="AS2666" s="21"/>
      <c r="AT2666" s="12" t="str">
        <f>HYPERLINK("http://www.openstreetmap.org/?mlat=35.1854&amp;mlon=45.9793&amp;zoom=12#map=12/35.1854/45.9793","Maplink1")</f>
        <v>Maplink1</v>
      </c>
      <c r="AU2666" s="12" t="str">
        <f>HYPERLINK("https://www.google.iq/maps/search/+35.1854,45.9793/@35.1854,45.9793,14z?hl=en","Maplink2")</f>
        <v>Maplink2</v>
      </c>
      <c r="AV2666" s="12" t="str">
        <f>HYPERLINK("http://www.bing.com/maps/?lvl=14&amp;sty=h&amp;cp=35.1854~45.9793&amp;sp=point.35.1854_45.9793","Maplink3")</f>
        <v>Maplink3</v>
      </c>
    </row>
    <row r="2667" spans="1:48" ht="15" customHeight="1" x14ac:dyDescent="0.25">
      <c r="A2667" s="19">
        <v>6120</v>
      </c>
      <c r="B2667" s="20" t="s">
        <v>24</v>
      </c>
      <c r="C2667" s="20" t="s">
        <v>4643</v>
      </c>
      <c r="D2667" s="20" t="s">
        <v>4654</v>
      </c>
      <c r="E2667" s="20" t="s">
        <v>4655</v>
      </c>
      <c r="F2667" s="20">
        <v>35.35296821</v>
      </c>
      <c r="G2667" s="20">
        <v>45.902252109999999</v>
      </c>
      <c r="H2667" s="22">
        <v>6</v>
      </c>
      <c r="I2667" s="22">
        <v>36</v>
      </c>
      <c r="J2667" s="21"/>
      <c r="K2667" s="21">
        <v>2</v>
      </c>
      <c r="L2667" s="21"/>
      <c r="M2667" s="21"/>
      <c r="N2667" s="21"/>
      <c r="O2667" s="21">
        <v>4</v>
      </c>
      <c r="P2667" s="21"/>
      <c r="Q2667" s="21"/>
      <c r="R2667" s="21"/>
      <c r="S2667" s="21"/>
      <c r="T2667" s="21"/>
      <c r="U2667" s="21"/>
      <c r="V2667" s="21"/>
      <c r="W2667" s="21"/>
      <c r="X2667" s="21"/>
      <c r="Y2667" s="21"/>
      <c r="Z2667" s="21"/>
      <c r="AA2667" s="21"/>
      <c r="AB2667" s="21"/>
      <c r="AC2667" s="21"/>
      <c r="AD2667" s="21"/>
      <c r="AE2667" s="21"/>
      <c r="AF2667" s="21"/>
      <c r="AG2667" s="21"/>
      <c r="AH2667" s="21">
        <v>6</v>
      </c>
      <c r="AI2667" s="21"/>
      <c r="AJ2667" s="21"/>
      <c r="AK2667" s="21"/>
      <c r="AL2667" s="21"/>
      <c r="AM2667" s="21"/>
      <c r="AN2667" s="21"/>
      <c r="AO2667" s="21">
        <v>4</v>
      </c>
      <c r="AP2667" s="21"/>
      <c r="AQ2667" s="21">
        <v>2</v>
      </c>
      <c r="AR2667" s="21"/>
      <c r="AS2667" s="21"/>
      <c r="AT2667" s="12" t="str">
        <f>HYPERLINK("http://www.openstreetmap.org/?mlat=35.353&amp;mlon=45.9023&amp;zoom=12#map=12/35.353/45.9023","Maplink1")</f>
        <v>Maplink1</v>
      </c>
      <c r="AU2667" s="12" t="str">
        <f>HYPERLINK("https://www.google.iq/maps/search/+35.353,45.9023/@35.353,45.9023,14z?hl=en","Maplink2")</f>
        <v>Maplink2</v>
      </c>
      <c r="AV2667" s="12" t="str">
        <f>HYPERLINK("http://www.bing.com/maps/?lvl=14&amp;sty=h&amp;cp=35.353~45.9023&amp;sp=point.35.353_45.9023","Maplink3")</f>
        <v>Maplink3</v>
      </c>
    </row>
    <row r="2668" spans="1:48" ht="15" customHeight="1" x14ac:dyDescent="0.25">
      <c r="A2668" s="19">
        <v>22104</v>
      </c>
      <c r="B2668" s="20" t="s">
        <v>24</v>
      </c>
      <c r="C2668" s="20" t="s">
        <v>4643</v>
      </c>
      <c r="D2668" s="20" t="s">
        <v>4656</v>
      </c>
      <c r="E2668" s="20" t="s">
        <v>4657</v>
      </c>
      <c r="F2668" s="20">
        <v>35.185488820000003</v>
      </c>
      <c r="G2668" s="20">
        <v>46.011730309999997</v>
      </c>
      <c r="H2668" s="22">
        <v>11</v>
      </c>
      <c r="I2668" s="22">
        <v>66</v>
      </c>
      <c r="J2668" s="21">
        <v>9</v>
      </c>
      <c r="K2668" s="21"/>
      <c r="L2668" s="21"/>
      <c r="M2668" s="21"/>
      <c r="N2668" s="21"/>
      <c r="O2668" s="21"/>
      <c r="P2668" s="21"/>
      <c r="Q2668" s="21"/>
      <c r="R2668" s="21"/>
      <c r="S2668" s="21"/>
      <c r="T2668" s="21"/>
      <c r="U2668" s="21"/>
      <c r="V2668" s="21">
        <v>1</v>
      </c>
      <c r="W2668" s="21"/>
      <c r="X2668" s="21">
        <v>1</v>
      </c>
      <c r="Y2668" s="21"/>
      <c r="Z2668" s="21"/>
      <c r="AA2668" s="21"/>
      <c r="AB2668" s="21"/>
      <c r="AC2668" s="21"/>
      <c r="AD2668" s="21"/>
      <c r="AE2668" s="21"/>
      <c r="AF2668" s="21"/>
      <c r="AG2668" s="21"/>
      <c r="AH2668" s="21">
        <v>11</v>
      </c>
      <c r="AI2668" s="21"/>
      <c r="AJ2668" s="21"/>
      <c r="AK2668" s="21"/>
      <c r="AL2668" s="21">
        <v>5</v>
      </c>
      <c r="AM2668" s="21">
        <v>1</v>
      </c>
      <c r="AN2668" s="21"/>
      <c r="AO2668" s="21">
        <v>1</v>
      </c>
      <c r="AP2668" s="21">
        <v>4</v>
      </c>
      <c r="AQ2668" s="21"/>
      <c r="AR2668" s="21"/>
      <c r="AS2668" s="21"/>
      <c r="AT2668" s="12" t="str">
        <f>HYPERLINK("http://www.openstreetmap.org/?mlat=35.1855&amp;mlon=46.0117&amp;zoom=12#map=12/35.1855/46.0117","Maplink1")</f>
        <v>Maplink1</v>
      </c>
      <c r="AU2668" s="12" t="str">
        <f>HYPERLINK("https://www.google.iq/maps/search/+35.1855,46.0117/@35.1855,46.0117,14z?hl=en","Maplink2")</f>
        <v>Maplink2</v>
      </c>
      <c r="AV2668" s="12" t="str">
        <f>HYPERLINK("http://www.bing.com/maps/?lvl=14&amp;sty=h&amp;cp=35.1855~46.0117&amp;sp=point.35.1855_46.0117","Maplink3")</f>
        <v>Maplink3</v>
      </c>
    </row>
    <row r="2669" spans="1:48" ht="15" customHeight="1" x14ac:dyDescent="0.25">
      <c r="A2669" s="19">
        <v>25647</v>
      </c>
      <c r="B2669" s="20" t="s">
        <v>24</v>
      </c>
      <c r="C2669" s="20" t="s">
        <v>4643</v>
      </c>
      <c r="D2669" s="20" t="s">
        <v>4658</v>
      </c>
      <c r="E2669" s="20" t="s">
        <v>4659</v>
      </c>
      <c r="F2669" s="20">
        <v>35.341286660000002</v>
      </c>
      <c r="G2669" s="20">
        <v>45.9314879</v>
      </c>
      <c r="H2669" s="22">
        <v>11</v>
      </c>
      <c r="I2669" s="22">
        <v>66</v>
      </c>
      <c r="J2669" s="21">
        <v>1</v>
      </c>
      <c r="K2669" s="21">
        <v>2</v>
      </c>
      <c r="L2669" s="21">
        <v>1</v>
      </c>
      <c r="M2669" s="21"/>
      <c r="N2669" s="21"/>
      <c r="O2669" s="21"/>
      <c r="P2669" s="21"/>
      <c r="Q2669" s="21"/>
      <c r="R2669" s="21">
        <v>3</v>
      </c>
      <c r="S2669" s="21"/>
      <c r="T2669" s="21"/>
      <c r="U2669" s="21"/>
      <c r="V2669" s="21">
        <v>4</v>
      </c>
      <c r="W2669" s="21"/>
      <c r="X2669" s="21"/>
      <c r="Y2669" s="21"/>
      <c r="Z2669" s="21"/>
      <c r="AA2669" s="21"/>
      <c r="AB2669" s="21"/>
      <c r="AC2669" s="21"/>
      <c r="AD2669" s="21"/>
      <c r="AE2669" s="21"/>
      <c r="AF2669" s="21"/>
      <c r="AG2669" s="21"/>
      <c r="AH2669" s="21">
        <v>11</v>
      </c>
      <c r="AI2669" s="21"/>
      <c r="AJ2669" s="21"/>
      <c r="AK2669" s="21"/>
      <c r="AL2669" s="21"/>
      <c r="AM2669" s="21">
        <v>3</v>
      </c>
      <c r="AN2669" s="21"/>
      <c r="AO2669" s="21">
        <v>2</v>
      </c>
      <c r="AP2669" s="21"/>
      <c r="AQ2669" s="21">
        <v>2</v>
      </c>
      <c r="AR2669" s="21">
        <v>3</v>
      </c>
      <c r="AS2669" s="21">
        <v>1</v>
      </c>
      <c r="AT2669" s="12" t="str">
        <f>HYPERLINK("http://www.openstreetmap.org/?mlat=35.3413&amp;mlon=45.9315&amp;zoom=12#map=12/35.3413/45.9315","Maplink1")</f>
        <v>Maplink1</v>
      </c>
      <c r="AU2669" s="12" t="str">
        <f>HYPERLINK("https://www.google.iq/maps/search/+35.3413,45.9315/@35.3413,45.9315,14z?hl=en","Maplink2")</f>
        <v>Maplink2</v>
      </c>
      <c r="AV2669" s="12" t="str">
        <f>HYPERLINK("http://www.bing.com/maps/?lvl=14&amp;sty=h&amp;cp=35.3413~45.9315&amp;sp=point.35.3413_45.9315","Maplink3")</f>
        <v>Maplink3</v>
      </c>
    </row>
    <row r="2670" spans="1:48" ht="15" customHeight="1" x14ac:dyDescent="0.25">
      <c r="A2670" s="19">
        <v>21862</v>
      </c>
      <c r="B2670" s="20" t="s">
        <v>24</v>
      </c>
      <c r="C2670" s="20" t="s">
        <v>4643</v>
      </c>
      <c r="D2670" s="20" t="s">
        <v>2805</v>
      </c>
      <c r="E2670" s="20" t="s">
        <v>4660</v>
      </c>
      <c r="F2670" s="20">
        <v>35.174502769999997</v>
      </c>
      <c r="G2670" s="20">
        <v>45.981263380000001</v>
      </c>
      <c r="H2670" s="22">
        <v>23</v>
      </c>
      <c r="I2670" s="22">
        <v>138</v>
      </c>
      <c r="J2670" s="21">
        <v>9</v>
      </c>
      <c r="K2670" s="21"/>
      <c r="L2670" s="21">
        <v>3</v>
      </c>
      <c r="M2670" s="21"/>
      <c r="N2670" s="21"/>
      <c r="O2670" s="21">
        <v>4</v>
      </c>
      <c r="P2670" s="21"/>
      <c r="Q2670" s="21"/>
      <c r="R2670" s="21">
        <v>1</v>
      </c>
      <c r="S2670" s="21"/>
      <c r="T2670" s="21"/>
      <c r="U2670" s="21"/>
      <c r="V2670" s="21">
        <v>3</v>
      </c>
      <c r="W2670" s="21"/>
      <c r="X2670" s="21">
        <v>3</v>
      </c>
      <c r="Y2670" s="21"/>
      <c r="Z2670" s="21"/>
      <c r="AA2670" s="21"/>
      <c r="AB2670" s="21"/>
      <c r="AC2670" s="21"/>
      <c r="AD2670" s="21"/>
      <c r="AE2670" s="21"/>
      <c r="AF2670" s="21"/>
      <c r="AG2670" s="21"/>
      <c r="AH2670" s="21">
        <v>23</v>
      </c>
      <c r="AI2670" s="21"/>
      <c r="AJ2670" s="21"/>
      <c r="AK2670" s="21"/>
      <c r="AL2670" s="21">
        <v>8</v>
      </c>
      <c r="AM2670" s="21">
        <v>6</v>
      </c>
      <c r="AN2670" s="21"/>
      <c r="AO2670" s="21">
        <v>6</v>
      </c>
      <c r="AP2670" s="21"/>
      <c r="AQ2670" s="21">
        <v>1</v>
      </c>
      <c r="AR2670" s="21">
        <v>1</v>
      </c>
      <c r="AS2670" s="21">
        <v>1</v>
      </c>
      <c r="AT2670" s="12" t="str">
        <f>HYPERLINK("http://www.openstreetmap.org/?mlat=35.1745&amp;mlon=45.9813&amp;zoom=12#map=12/35.1745/45.9813","Maplink1")</f>
        <v>Maplink1</v>
      </c>
      <c r="AU2670" s="12" t="str">
        <f>HYPERLINK("https://www.google.iq/maps/search/+35.1745,45.9813/@35.1745,45.9813,14z?hl=en","Maplink2")</f>
        <v>Maplink2</v>
      </c>
      <c r="AV2670" s="12" t="str">
        <f>HYPERLINK("http://www.bing.com/maps/?lvl=14&amp;sty=h&amp;cp=35.1745~45.9813&amp;sp=point.35.1745_45.9813","Maplink3")</f>
        <v>Maplink3</v>
      </c>
    </row>
    <row r="2671" spans="1:48" ht="15" customHeight="1" x14ac:dyDescent="0.25">
      <c r="A2671" s="19">
        <v>4974</v>
      </c>
      <c r="B2671" s="20" t="s">
        <v>24</v>
      </c>
      <c r="C2671" s="20" t="s">
        <v>4643</v>
      </c>
      <c r="D2671" s="20" t="s">
        <v>5994</v>
      </c>
      <c r="E2671" s="20" t="s">
        <v>5995</v>
      </c>
      <c r="F2671" s="20">
        <v>35.358490000000003</v>
      </c>
      <c r="G2671" s="20">
        <v>45.971910000000001</v>
      </c>
      <c r="H2671" s="22">
        <v>3</v>
      </c>
      <c r="I2671" s="22">
        <v>18</v>
      </c>
      <c r="J2671" s="21"/>
      <c r="K2671" s="21"/>
      <c r="L2671" s="21"/>
      <c r="M2671" s="21"/>
      <c r="N2671" s="21"/>
      <c r="O2671" s="21">
        <v>3</v>
      </c>
      <c r="P2671" s="21"/>
      <c r="Q2671" s="21"/>
      <c r="R2671" s="21"/>
      <c r="S2671" s="21"/>
      <c r="T2671" s="21"/>
      <c r="U2671" s="21"/>
      <c r="V2671" s="21"/>
      <c r="W2671" s="21"/>
      <c r="X2671" s="21"/>
      <c r="Y2671" s="21"/>
      <c r="Z2671" s="21"/>
      <c r="AA2671" s="21"/>
      <c r="AB2671" s="21"/>
      <c r="AC2671" s="21"/>
      <c r="AD2671" s="21"/>
      <c r="AE2671" s="21"/>
      <c r="AF2671" s="21"/>
      <c r="AG2671" s="21"/>
      <c r="AH2671" s="21">
        <v>3</v>
      </c>
      <c r="AI2671" s="21"/>
      <c r="AJ2671" s="21"/>
      <c r="AK2671" s="21"/>
      <c r="AL2671" s="21">
        <v>1</v>
      </c>
      <c r="AM2671" s="21"/>
      <c r="AN2671" s="21"/>
      <c r="AO2671" s="21">
        <v>1</v>
      </c>
      <c r="AP2671" s="21">
        <v>1</v>
      </c>
      <c r="AQ2671" s="21"/>
      <c r="AR2671" s="21"/>
      <c r="AS2671" s="21"/>
      <c r="AT2671" s="12" t="str">
        <f>HYPERLINK("http://www.openstreetmap.org/?mlat=35.3585&amp;mlon=45.9719&amp;zoom=12#map=12/35.3585/45.9719","Maplink1")</f>
        <v>Maplink1</v>
      </c>
      <c r="AU2671" s="12" t="str">
        <f>HYPERLINK("https://www.google.iq/maps/search/+35.3585,45.9719/@35.3585,45.9719,14z?hl=en","Maplink2")</f>
        <v>Maplink2</v>
      </c>
      <c r="AV2671" s="12" t="str">
        <f>HYPERLINK("http://www.bing.com/maps/?lvl=14&amp;sty=h&amp;cp=35.3585~45.9719&amp;sp=point.35.3585_45.9719","Maplink3")</f>
        <v>Maplink3</v>
      </c>
    </row>
    <row r="2672" spans="1:48" ht="15" customHeight="1" x14ac:dyDescent="0.25">
      <c r="A2672" s="19">
        <v>22920</v>
      </c>
      <c r="B2672" s="20" t="s">
        <v>24</v>
      </c>
      <c r="C2672" s="20" t="s">
        <v>4643</v>
      </c>
      <c r="D2672" s="20" t="s">
        <v>4661</v>
      </c>
      <c r="E2672" s="20" t="s">
        <v>4662</v>
      </c>
      <c r="F2672" s="20">
        <v>35.349765054999999</v>
      </c>
      <c r="G2672" s="20">
        <v>45.866560369200002</v>
      </c>
      <c r="H2672" s="22">
        <v>43</v>
      </c>
      <c r="I2672" s="22">
        <v>258</v>
      </c>
      <c r="J2672" s="21">
        <v>7</v>
      </c>
      <c r="K2672" s="21">
        <v>4</v>
      </c>
      <c r="L2672" s="21">
        <v>2</v>
      </c>
      <c r="M2672" s="21"/>
      <c r="N2672" s="21"/>
      <c r="O2672" s="21">
        <v>22</v>
      </c>
      <c r="P2672" s="21"/>
      <c r="Q2672" s="21"/>
      <c r="R2672" s="21"/>
      <c r="S2672" s="21"/>
      <c r="T2672" s="21"/>
      <c r="U2672" s="21"/>
      <c r="V2672" s="21">
        <v>3</v>
      </c>
      <c r="W2672" s="21"/>
      <c r="X2672" s="21">
        <v>5</v>
      </c>
      <c r="Y2672" s="21"/>
      <c r="Z2672" s="21"/>
      <c r="AA2672" s="21"/>
      <c r="AB2672" s="21"/>
      <c r="AC2672" s="21"/>
      <c r="AD2672" s="21"/>
      <c r="AE2672" s="21"/>
      <c r="AF2672" s="21"/>
      <c r="AG2672" s="21"/>
      <c r="AH2672" s="21">
        <v>43</v>
      </c>
      <c r="AI2672" s="21"/>
      <c r="AJ2672" s="21"/>
      <c r="AK2672" s="21"/>
      <c r="AL2672" s="21">
        <v>5</v>
      </c>
      <c r="AM2672" s="21">
        <v>18</v>
      </c>
      <c r="AN2672" s="21">
        <v>2</v>
      </c>
      <c r="AO2672" s="21">
        <v>6</v>
      </c>
      <c r="AP2672" s="21">
        <v>4</v>
      </c>
      <c r="AQ2672" s="21">
        <v>6</v>
      </c>
      <c r="AR2672" s="21">
        <v>2</v>
      </c>
      <c r="AS2672" s="21"/>
      <c r="AT2672" s="12" t="str">
        <f>HYPERLINK("http://www.openstreetmap.org/?mlat=35.3498&amp;mlon=45.8666&amp;zoom=12#map=12/35.3498/45.8666","Maplink1")</f>
        <v>Maplink1</v>
      </c>
      <c r="AU2672" s="12" t="str">
        <f>HYPERLINK("https://www.google.iq/maps/search/+35.3498,45.8666/@35.3498,45.8666,14z?hl=en","Maplink2")</f>
        <v>Maplink2</v>
      </c>
      <c r="AV2672" s="12" t="str">
        <f>HYPERLINK("http://www.bing.com/maps/?lvl=14&amp;sty=h&amp;cp=35.3498~45.8666&amp;sp=point.35.3498_45.8666","Maplink3")</f>
        <v>Maplink3</v>
      </c>
    </row>
    <row r="2673" spans="1:48" ht="15" customHeight="1" x14ac:dyDescent="0.25">
      <c r="A2673" s="19">
        <v>22998</v>
      </c>
      <c r="B2673" s="20" t="s">
        <v>24</v>
      </c>
      <c r="C2673" s="20" t="s">
        <v>4643</v>
      </c>
      <c r="D2673" s="20" t="s">
        <v>4663</v>
      </c>
      <c r="E2673" s="20" t="s">
        <v>4664</v>
      </c>
      <c r="F2673" s="20">
        <v>35.324716250000002</v>
      </c>
      <c r="G2673" s="20">
        <v>45.686063750000002</v>
      </c>
      <c r="H2673" s="22">
        <v>34</v>
      </c>
      <c r="I2673" s="22">
        <v>204</v>
      </c>
      <c r="J2673" s="21">
        <v>13</v>
      </c>
      <c r="K2673" s="21"/>
      <c r="L2673" s="21">
        <v>8</v>
      </c>
      <c r="M2673" s="21"/>
      <c r="N2673" s="21"/>
      <c r="O2673" s="21">
        <v>8</v>
      </c>
      <c r="P2673" s="21"/>
      <c r="Q2673" s="21"/>
      <c r="R2673" s="21"/>
      <c r="S2673" s="21"/>
      <c r="T2673" s="21"/>
      <c r="U2673" s="21"/>
      <c r="V2673" s="21"/>
      <c r="W2673" s="21"/>
      <c r="X2673" s="21">
        <v>5</v>
      </c>
      <c r="Y2673" s="21"/>
      <c r="Z2673" s="21"/>
      <c r="AA2673" s="21"/>
      <c r="AB2673" s="21"/>
      <c r="AC2673" s="21"/>
      <c r="AD2673" s="21"/>
      <c r="AE2673" s="21"/>
      <c r="AF2673" s="21"/>
      <c r="AG2673" s="21"/>
      <c r="AH2673" s="21">
        <v>34</v>
      </c>
      <c r="AI2673" s="21"/>
      <c r="AJ2673" s="21"/>
      <c r="AK2673" s="21"/>
      <c r="AL2673" s="21"/>
      <c r="AM2673" s="21">
        <v>7</v>
      </c>
      <c r="AN2673" s="21">
        <v>4</v>
      </c>
      <c r="AO2673" s="21">
        <v>10</v>
      </c>
      <c r="AP2673" s="21">
        <v>7</v>
      </c>
      <c r="AQ2673" s="21">
        <v>6</v>
      </c>
      <c r="AR2673" s="21"/>
      <c r="AS2673" s="21"/>
      <c r="AT2673" s="12" t="str">
        <f>HYPERLINK("http://www.openstreetmap.org/?mlat=35.3247&amp;mlon=45.6861&amp;zoom=12#map=12/35.3247/45.6861","Maplink1")</f>
        <v>Maplink1</v>
      </c>
      <c r="AU2673" s="12" t="str">
        <f>HYPERLINK("https://www.google.iq/maps/search/+35.3247,45.6861/@35.3247,45.6861,14z?hl=en","Maplink2")</f>
        <v>Maplink2</v>
      </c>
      <c r="AV2673" s="12" t="str">
        <f>HYPERLINK("http://www.bing.com/maps/?lvl=14&amp;sty=h&amp;cp=35.3247~45.6861&amp;sp=point.35.3247_45.6861","Maplink3")</f>
        <v>Maplink3</v>
      </c>
    </row>
    <row r="2674" spans="1:48" ht="15" customHeight="1" x14ac:dyDescent="0.25">
      <c r="A2674" s="19">
        <v>21961</v>
      </c>
      <c r="B2674" s="20" t="s">
        <v>24</v>
      </c>
      <c r="C2674" s="20" t="s">
        <v>4643</v>
      </c>
      <c r="D2674" s="20" t="s">
        <v>5849</v>
      </c>
      <c r="E2674" s="20" t="s">
        <v>5850</v>
      </c>
      <c r="F2674" s="20">
        <v>35.171109999999999</v>
      </c>
      <c r="G2674" s="20">
        <v>45.98321</v>
      </c>
      <c r="H2674" s="22">
        <v>88</v>
      </c>
      <c r="I2674" s="22">
        <v>528</v>
      </c>
      <c r="J2674" s="21">
        <v>10</v>
      </c>
      <c r="K2674" s="21">
        <v>7</v>
      </c>
      <c r="L2674" s="21">
        <v>10</v>
      </c>
      <c r="M2674" s="21"/>
      <c r="N2674" s="21"/>
      <c r="O2674" s="21">
        <v>26</v>
      </c>
      <c r="P2674" s="21"/>
      <c r="Q2674" s="21"/>
      <c r="R2674" s="21"/>
      <c r="S2674" s="21"/>
      <c r="T2674" s="21"/>
      <c r="U2674" s="21"/>
      <c r="V2674" s="21">
        <v>4</v>
      </c>
      <c r="W2674" s="21"/>
      <c r="X2674" s="21">
        <v>31</v>
      </c>
      <c r="Y2674" s="21"/>
      <c r="Z2674" s="21"/>
      <c r="AA2674" s="21"/>
      <c r="AB2674" s="21"/>
      <c r="AC2674" s="21"/>
      <c r="AD2674" s="21"/>
      <c r="AE2674" s="21"/>
      <c r="AF2674" s="21"/>
      <c r="AG2674" s="21"/>
      <c r="AH2674" s="21">
        <v>88</v>
      </c>
      <c r="AI2674" s="21"/>
      <c r="AJ2674" s="21"/>
      <c r="AK2674" s="21"/>
      <c r="AL2674" s="21">
        <v>14</v>
      </c>
      <c r="AM2674" s="21">
        <v>13</v>
      </c>
      <c r="AN2674" s="21">
        <v>9</v>
      </c>
      <c r="AO2674" s="21">
        <v>5</v>
      </c>
      <c r="AP2674" s="21">
        <v>29</v>
      </c>
      <c r="AQ2674" s="21">
        <v>15</v>
      </c>
      <c r="AR2674" s="21">
        <v>2</v>
      </c>
      <c r="AS2674" s="21">
        <v>1</v>
      </c>
      <c r="AT2674" s="12" t="str">
        <f>HYPERLINK("http://www.openstreetmap.org/?mlat=35.1711&amp;mlon=45.9832&amp;zoom=12#map=12/35.1711/45.9832","Maplink1")</f>
        <v>Maplink1</v>
      </c>
      <c r="AU2674" s="12" t="str">
        <f>HYPERLINK("https://www.google.iq/maps/search/+35.1711,45.9832/@35.1711,45.9832,14z?hl=en","Maplink2")</f>
        <v>Maplink2</v>
      </c>
      <c r="AV2674" s="12" t="str">
        <f>HYPERLINK("http://www.bing.com/maps/?lvl=14&amp;sty=h&amp;cp=35.1711~45.9832&amp;sp=point.35.1711_45.9832","Maplink3")</f>
        <v>Maplink3</v>
      </c>
    </row>
    <row r="2675" spans="1:48" ht="15" customHeight="1" x14ac:dyDescent="0.25">
      <c r="A2675" s="19">
        <v>25646</v>
      </c>
      <c r="B2675" s="20" t="s">
        <v>24</v>
      </c>
      <c r="C2675" s="20" t="s">
        <v>4643</v>
      </c>
      <c r="D2675" s="20" t="s">
        <v>4665</v>
      </c>
      <c r="E2675" s="20" t="s">
        <v>4666</v>
      </c>
      <c r="F2675" s="20">
        <v>35.376678140000003</v>
      </c>
      <c r="G2675" s="20">
        <v>45.711974820000002</v>
      </c>
      <c r="H2675" s="22">
        <v>14</v>
      </c>
      <c r="I2675" s="22">
        <v>84</v>
      </c>
      <c r="J2675" s="21"/>
      <c r="K2675" s="21"/>
      <c r="L2675" s="21">
        <v>2</v>
      </c>
      <c r="M2675" s="21"/>
      <c r="N2675" s="21"/>
      <c r="O2675" s="21">
        <v>1</v>
      </c>
      <c r="P2675" s="21"/>
      <c r="Q2675" s="21"/>
      <c r="R2675" s="21"/>
      <c r="S2675" s="21"/>
      <c r="T2675" s="21"/>
      <c r="U2675" s="21"/>
      <c r="V2675" s="21">
        <v>4</v>
      </c>
      <c r="W2675" s="21"/>
      <c r="X2675" s="21">
        <v>7</v>
      </c>
      <c r="Y2675" s="21"/>
      <c r="Z2675" s="21"/>
      <c r="AA2675" s="21"/>
      <c r="AB2675" s="21"/>
      <c r="AC2675" s="21"/>
      <c r="AD2675" s="21"/>
      <c r="AE2675" s="21"/>
      <c r="AF2675" s="21"/>
      <c r="AG2675" s="21"/>
      <c r="AH2675" s="21">
        <v>14</v>
      </c>
      <c r="AI2675" s="21"/>
      <c r="AJ2675" s="21"/>
      <c r="AK2675" s="21"/>
      <c r="AL2675" s="21"/>
      <c r="AM2675" s="21">
        <v>5</v>
      </c>
      <c r="AN2675" s="21">
        <v>4</v>
      </c>
      <c r="AO2675" s="21"/>
      <c r="AP2675" s="21"/>
      <c r="AQ2675" s="21">
        <v>1</v>
      </c>
      <c r="AR2675" s="21">
        <v>4</v>
      </c>
      <c r="AS2675" s="21"/>
      <c r="AT2675" s="12" t="str">
        <f>HYPERLINK("http://www.openstreetmap.org/?mlat=35.3767&amp;mlon=45.712&amp;zoom=12#map=12/35.3767/45.712","Maplink1")</f>
        <v>Maplink1</v>
      </c>
      <c r="AU2675" s="12" t="str">
        <f>HYPERLINK("https://www.google.iq/maps/search/+35.3767,45.712/@35.3767,45.712,14z?hl=en","Maplink2")</f>
        <v>Maplink2</v>
      </c>
      <c r="AV2675" s="12" t="str">
        <f>HYPERLINK("http://www.bing.com/maps/?lvl=14&amp;sty=h&amp;cp=35.3767~45.712&amp;sp=point.35.3767_45.712","Maplink3")</f>
        <v>Maplink3</v>
      </c>
    </row>
    <row r="2676" spans="1:48" ht="15" customHeight="1" x14ac:dyDescent="0.25">
      <c r="A2676" s="19">
        <v>22031</v>
      </c>
      <c r="B2676" s="20" t="s">
        <v>24</v>
      </c>
      <c r="C2676" s="20" t="s">
        <v>4643</v>
      </c>
      <c r="D2676" s="20" t="s">
        <v>4667</v>
      </c>
      <c r="E2676" s="20" t="s">
        <v>4668</v>
      </c>
      <c r="F2676" s="20">
        <v>35.186659249999998</v>
      </c>
      <c r="G2676" s="20">
        <v>45.991855780000002</v>
      </c>
      <c r="H2676" s="22">
        <v>26</v>
      </c>
      <c r="I2676" s="22">
        <v>156</v>
      </c>
      <c r="J2676" s="21">
        <v>17</v>
      </c>
      <c r="K2676" s="21"/>
      <c r="L2676" s="21">
        <v>3</v>
      </c>
      <c r="M2676" s="21"/>
      <c r="N2676" s="21"/>
      <c r="O2676" s="21">
        <v>3</v>
      </c>
      <c r="P2676" s="21"/>
      <c r="Q2676" s="21"/>
      <c r="R2676" s="21"/>
      <c r="S2676" s="21"/>
      <c r="T2676" s="21"/>
      <c r="U2676" s="21"/>
      <c r="V2676" s="21">
        <v>1</v>
      </c>
      <c r="W2676" s="21"/>
      <c r="X2676" s="21">
        <v>2</v>
      </c>
      <c r="Y2676" s="21"/>
      <c r="Z2676" s="21"/>
      <c r="AA2676" s="21"/>
      <c r="AB2676" s="21"/>
      <c r="AC2676" s="21"/>
      <c r="AD2676" s="21"/>
      <c r="AE2676" s="21"/>
      <c r="AF2676" s="21"/>
      <c r="AG2676" s="21"/>
      <c r="AH2676" s="21">
        <v>26</v>
      </c>
      <c r="AI2676" s="21"/>
      <c r="AJ2676" s="21"/>
      <c r="AK2676" s="21"/>
      <c r="AL2676" s="21">
        <v>4</v>
      </c>
      <c r="AM2676" s="21">
        <v>3</v>
      </c>
      <c r="AN2676" s="21"/>
      <c r="AO2676" s="21">
        <v>6</v>
      </c>
      <c r="AP2676" s="21">
        <v>5</v>
      </c>
      <c r="AQ2676" s="21">
        <v>8</v>
      </c>
      <c r="AR2676" s="21"/>
      <c r="AS2676" s="21"/>
      <c r="AT2676" s="12" t="str">
        <f>HYPERLINK("http://www.openstreetmap.org/?mlat=35.1867&amp;mlon=45.9919&amp;zoom=12#map=12/35.1867/45.9919","Maplink1")</f>
        <v>Maplink1</v>
      </c>
      <c r="AU2676" s="12" t="str">
        <f>HYPERLINK("https://www.google.iq/maps/search/+35.1867,45.9919/@35.1867,45.9919,14z?hl=en","Maplink2")</f>
        <v>Maplink2</v>
      </c>
      <c r="AV2676" s="12" t="str">
        <f>HYPERLINK("http://www.bing.com/maps/?lvl=14&amp;sty=h&amp;cp=35.1867~45.9919&amp;sp=point.35.1867_45.9919","Maplink3")</f>
        <v>Maplink3</v>
      </c>
    </row>
    <row r="2677" spans="1:48" ht="15" customHeight="1" x14ac:dyDescent="0.25">
      <c r="A2677" s="19">
        <v>21863</v>
      </c>
      <c r="B2677" s="20" t="s">
        <v>24</v>
      </c>
      <c r="C2677" s="20" t="s">
        <v>4643</v>
      </c>
      <c r="D2677" s="20" t="s">
        <v>4669</v>
      </c>
      <c r="E2677" s="20" t="s">
        <v>2554</v>
      </c>
      <c r="F2677" s="20">
        <v>35.181276879999999</v>
      </c>
      <c r="G2677" s="20">
        <v>45.992880630000002</v>
      </c>
      <c r="H2677" s="22">
        <v>17</v>
      </c>
      <c r="I2677" s="22">
        <v>102</v>
      </c>
      <c r="J2677" s="21">
        <v>10</v>
      </c>
      <c r="K2677" s="21"/>
      <c r="L2677" s="21">
        <v>3</v>
      </c>
      <c r="M2677" s="21"/>
      <c r="N2677" s="21"/>
      <c r="O2677" s="21"/>
      <c r="P2677" s="21"/>
      <c r="Q2677" s="21"/>
      <c r="R2677" s="21">
        <v>2</v>
      </c>
      <c r="S2677" s="21"/>
      <c r="T2677" s="21"/>
      <c r="U2677" s="21"/>
      <c r="V2677" s="21">
        <v>2</v>
      </c>
      <c r="W2677" s="21"/>
      <c r="X2677" s="21"/>
      <c r="Y2677" s="21"/>
      <c r="Z2677" s="21"/>
      <c r="AA2677" s="21"/>
      <c r="AB2677" s="21"/>
      <c r="AC2677" s="21"/>
      <c r="AD2677" s="21"/>
      <c r="AE2677" s="21"/>
      <c r="AF2677" s="21"/>
      <c r="AG2677" s="21"/>
      <c r="AH2677" s="21">
        <v>17</v>
      </c>
      <c r="AI2677" s="21"/>
      <c r="AJ2677" s="21"/>
      <c r="AK2677" s="21"/>
      <c r="AL2677" s="21">
        <v>8</v>
      </c>
      <c r="AM2677" s="21">
        <v>3</v>
      </c>
      <c r="AN2677" s="21"/>
      <c r="AO2677" s="21">
        <v>3</v>
      </c>
      <c r="AP2677" s="21"/>
      <c r="AQ2677" s="21">
        <v>1</v>
      </c>
      <c r="AR2677" s="21"/>
      <c r="AS2677" s="21">
        <v>2</v>
      </c>
      <c r="AT2677" s="12" t="str">
        <f>HYPERLINK("http://www.openstreetmap.org/?mlat=35.1813&amp;mlon=45.9929&amp;zoom=12#map=12/35.1813/45.9929","Maplink1")</f>
        <v>Maplink1</v>
      </c>
      <c r="AU2677" s="12" t="str">
        <f>HYPERLINK("https://www.google.iq/maps/search/+35.1813,45.9929/@35.1813,45.9929,14z?hl=en","Maplink2")</f>
        <v>Maplink2</v>
      </c>
      <c r="AV2677" s="12" t="str">
        <f>HYPERLINK("http://www.bing.com/maps/?lvl=14&amp;sty=h&amp;cp=35.1813~45.9929&amp;sp=point.35.1813_45.9929","Maplink3")</f>
        <v>Maplink3</v>
      </c>
    </row>
    <row r="2678" spans="1:48" ht="15" customHeight="1" x14ac:dyDescent="0.25">
      <c r="A2678" s="19">
        <v>22996</v>
      </c>
      <c r="B2678" s="20" t="s">
        <v>24</v>
      </c>
      <c r="C2678" s="20" t="s">
        <v>4643</v>
      </c>
      <c r="D2678" s="20" t="s">
        <v>2673</v>
      </c>
      <c r="E2678" s="20" t="s">
        <v>2554</v>
      </c>
      <c r="F2678" s="20">
        <v>35.324516039999999</v>
      </c>
      <c r="G2678" s="20">
        <v>45.689867</v>
      </c>
      <c r="H2678" s="22">
        <v>31</v>
      </c>
      <c r="I2678" s="22">
        <v>186</v>
      </c>
      <c r="J2678" s="21">
        <v>6</v>
      </c>
      <c r="K2678" s="21"/>
      <c r="L2678" s="21">
        <v>7</v>
      </c>
      <c r="M2678" s="21"/>
      <c r="N2678" s="21"/>
      <c r="O2678" s="21">
        <v>13</v>
      </c>
      <c r="P2678" s="21"/>
      <c r="Q2678" s="21"/>
      <c r="R2678" s="21"/>
      <c r="S2678" s="21"/>
      <c r="T2678" s="21"/>
      <c r="U2678" s="21"/>
      <c r="V2678" s="21"/>
      <c r="W2678" s="21"/>
      <c r="X2678" s="21">
        <v>5</v>
      </c>
      <c r="Y2678" s="21"/>
      <c r="Z2678" s="21"/>
      <c r="AA2678" s="21"/>
      <c r="AB2678" s="21"/>
      <c r="AC2678" s="21"/>
      <c r="AD2678" s="21"/>
      <c r="AE2678" s="21"/>
      <c r="AF2678" s="21"/>
      <c r="AG2678" s="21"/>
      <c r="AH2678" s="21">
        <v>31</v>
      </c>
      <c r="AI2678" s="21"/>
      <c r="AJ2678" s="21"/>
      <c r="AK2678" s="21"/>
      <c r="AL2678" s="21"/>
      <c r="AM2678" s="21">
        <v>4</v>
      </c>
      <c r="AN2678" s="21">
        <v>4</v>
      </c>
      <c r="AO2678" s="21">
        <v>6</v>
      </c>
      <c r="AP2678" s="21">
        <v>11</v>
      </c>
      <c r="AQ2678" s="21">
        <v>5</v>
      </c>
      <c r="AR2678" s="21">
        <v>1</v>
      </c>
      <c r="AS2678" s="21"/>
      <c r="AT2678" s="12" t="str">
        <f>HYPERLINK("http://www.openstreetmap.org/?mlat=35.3245&amp;mlon=45.6899&amp;zoom=12#map=12/35.3245/45.6899","Maplink1")</f>
        <v>Maplink1</v>
      </c>
      <c r="AU2678" s="12" t="str">
        <f>HYPERLINK("https://www.google.iq/maps/search/+35.3245,45.6899/@35.3245,45.6899,14z?hl=en","Maplink2")</f>
        <v>Maplink2</v>
      </c>
      <c r="AV2678" s="12" t="str">
        <f>HYPERLINK("http://www.bing.com/maps/?lvl=14&amp;sty=h&amp;cp=35.3245~45.6899&amp;sp=point.35.3245_45.6899","Maplink3")</f>
        <v>Maplink3</v>
      </c>
    </row>
    <row r="2679" spans="1:48" ht="15" customHeight="1" x14ac:dyDescent="0.25">
      <c r="A2679" s="19">
        <v>21962</v>
      </c>
      <c r="B2679" s="20" t="s">
        <v>24</v>
      </c>
      <c r="C2679" s="20" t="s">
        <v>4643</v>
      </c>
      <c r="D2679" s="20" t="s">
        <v>4670</v>
      </c>
      <c r="E2679" s="20" t="s">
        <v>4671</v>
      </c>
      <c r="F2679" s="20">
        <v>35.183273970000002</v>
      </c>
      <c r="G2679" s="20">
        <v>45.984366809999997</v>
      </c>
      <c r="H2679" s="22">
        <v>14</v>
      </c>
      <c r="I2679" s="22">
        <v>84</v>
      </c>
      <c r="J2679" s="21">
        <v>4</v>
      </c>
      <c r="K2679" s="21">
        <v>1</v>
      </c>
      <c r="L2679" s="21">
        <v>6</v>
      </c>
      <c r="M2679" s="21"/>
      <c r="N2679" s="21"/>
      <c r="O2679" s="21"/>
      <c r="P2679" s="21"/>
      <c r="Q2679" s="21"/>
      <c r="R2679" s="21"/>
      <c r="S2679" s="21"/>
      <c r="T2679" s="21"/>
      <c r="U2679" s="21"/>
      <c r="V2679" s="21">
        <v>2</v>
      </c>
      <c r="W2679" s="21"/>
      <c r="X2679" s="21">
        <v>1</v>
      </c>
      <c r="Y2679" s="21"/>
      <c r="Z2679" s="21"/>
      <c r="AA2679" s="21"/>
      <c r="AB2679" s="21"/>
      <c r="AC2679" s="21"/>
      <c r="AD2679" s="21"/>
      <c r="AE2679" s="21"/>
      <c r="AF2679" s="21"/>
      <c r="AG2679" s="21"/>
      <c r="AH2679" s="21">
        <v>14</v>
      </c>
      <c r="AI2679" s="21"/>
      <c r="AJ2679" s="21"/>
      <c r="AK2679" s="21"/>
      <c r="AL2679" s="21">
        <v>4</v>
      </c>
      <c r="AM2679" s="21">
        <v>1</v>
      </c>
      <c r="AN2679" s="21">
        <v>2</v>
      </c>
      <c r="AO2679" s="21">
        <v>2</v>
      </c>
      <c r="AP2679" s="21">
        <v>5</v>
      </c>
      <c r="AQ2679" s="21"/>
      <c r="AR2679" s="21"/>
      <c r="AS2679" s="21"/>
      <c r="AT2679" s="12" t="str">
        <f>HYPERLINK("http://www.openstreetmap.org/?mlat=35.1833&amp;mlon=45.9844&amp;zoom=12#map=12/35.1833/45.9844","Maplink1")</f>
        <v>Maplink1</v>
      </c>
      <c r="AU2679" s="12" t="str">
        <f>HYPERLINK("https://www.google.iq/maps/search/+35.1833,45.9844/@35.1833,45.9844,14z?hl=en","Maplink2")</f>
        <v>Maplink2</v>
      </c>
      <c r="AV2679" s="12" t="str">
        <f>HYPERLINK("http://www.bing.com/maps/?lvl=14&amp;sty=h&amp;cp=35.1833~45.9844&amp;sp=point.35.1833_45.9844","Maplink3")</f>
        <v>Maplink3</v>
      </c>
    </row>
    <row r="2680" spans="1:48" ht="15" customHeight="1" x14ac:dyDescent="0.25">
      <c r="A2680" s="19">
        <v>25759</v>
      </c>
      <c r="B2680" s="20" t="s">
        <v>24</v>
      </c>
      <c r="C2680" s="20" t="s">
        <v>4643</v>
      </c>
      <c r="D2680" s="20" t="s">
        <v>4672</v>
      </c>
      <c r="E2680" s="20" t="s">
        <v>4673</v>
      </c>
      <c r="F2680" s="20">
        <v>35.172822570000001</v>
      </c>
      <c r="G2680" s="20">
        <v>45.988338689999999</v>
      </c>
      <c r="H2680" s="22">
        <v>11</v>
      </c>
      <c r="I2680" s="22">
        <v>66</v>
      </c>
      <c r="J2680" s="21">
        <v>1</v>
      </c>
      <c r="K2680" s="21"/>
      <c r="L2680" s="21">
        <v>2</v>
      </c>
      <c r="M2680" s="21"/>
      <c r="N2680" s="21"/>
      <c r="O2680" s="21">
        <v>2</v>
      </c>
      <c r="P2680" s="21"/>
      <c r="Q2680" s="21"/>
      <c r="R2680" s="21"/>
      <c r="S2680" s="21"/>
      <c r="T2680" s="21"/>
      <c r="U2680" s="21"/>
      <c r="V2680" s="21"/>
      <c r="W2680" s="21"/>
      <c r="X2680" s="21">
        <v>6</v>
      </c>
      <c r="Y2680" s="21"/>
      <c r="Z2680" s="21"/>
      <c r="AA2680" s="21"/>
      <c r="AB2680" s="21"/>
      <c r="AC2680" s="21"/>
      <c r="AD2680" s="21"/>
      <c r="AE2680" s="21"/>
      <c r="AF2680" s="21"/>
      <c r="AG2680" s="21"/>
      <c r="AH2680" s="21">
        <v>11</v>
      </c>
      <c r="AI2680" s="21"/>
      <c r="AJ2680" s="21"/>
      <c r="AK2680" s="21"/>
      <c r="AL2680" s="21"/>
      <c r="AM2680" s="21">
        <v>2</v>
      </c>
      <c r="AN2680" s="21"/>
      <c r="AO2680" s="21"/>
      <c r="AP2680" s="21">
        <v>4</v>
      </c>
      <c r="AQ2680" s="21">
        <v>5</v>
      </c>
      <c r="AR2680" s="21"/>
      <c r="AS2680" s="21"/>
      <c r="AT2680" s="12" t="str">
        <f>HYPERLINK("http://www.openstreetmap.org/?mlat=35.1728&amp;mlon=45.9883&amp;zoom=12#map=12/35.1728/45.9883","Maplink1")</f>
        <v>Maplink1</v>
      </c>
      <c r="AU2680" s="12" t="str">
        <f>HYPERLINK("https://www.google.iq/maps/search/+35.1728,45.9883/@35.1728,45.9883,14z?hl=en","Maplink2")</f>
        <v>Maplink2</v>
      </c>
      <c r="AV2680" s="12" t="str">
        <f>HYPERLINK("http://www.bing.com/maps/?lvl=14&amp;sty=h&amp;cp=35.1728~45.9883&amp;sp=point.35.1728_45.9883","Maplink3")</f>
        <v>Maplink3</v>
      </c>
    </row>
    <row r="2681" spans="1:48" ht="15" customHeight="1" x14ac:dyDescent="0.25">
      <c r="A2681" s="19">
        <v>25645</v>
      </c>
      <c r="B2681" s="20" t="s">
        <v>24</v>
      </c>
      <c r="C2681" s="20" t="s">
        <v>4643</v>
      </c>
      <c r="D2681" s="20" t="s">
        <v>4674</v>
      </c>
      <c r="E2681" s="20" t="s">
        <v>4675</v>
      </c>
      <c r="F2681" s="20">
        <v>35.366592820000001</v>
      </c>
      <c r="G2681" s="20">
        <v>45.718822299999999</v>
      </c>
      <c r="H2681" s="22">
        <v>1</v>
      </c>
      <c r="I2681" s="22">
        <v>6</v>
      </c>
      <c r="J2681" s="21"/>
      <c r="K2681" s="21"/>
      <c r="L2681" s="21"/>
      <c r="M2681" s="21"/>
      <c r="N2681" s="21"/>
      <c r="O2681" s="21">
        <v>1</v>
      </c>
      <c r="P2681" s="21"/>
      <c r="Q2681" s="21"/>
      <c r="R2681" s="21"/>
      <c r="S2681" s="21"/>
      <c r="T2681" s="21"/>
      <c r="U2681" s="21"/>
      <c r="V2681" s="21"/>
      <c r="W2681" s="21"/>
      <c r="X2681" s="21"/>
      <c r="Y2681" s="21"/>
      <c r="Z2681" s="21"/>
      <c r="AA2681" s="21"/>
      <c r="AB2681" s="21"/>
      <c r="AC2681" s="21"/>
      <c r="AD2681" s="21"/>
      <c r="AE2681" s="21"/>
      <c r="AF2681" s="21"/>
      <c r="AG2681" s="21"/>
      <c r="AH2681" s="21">
        <v>1</v>
      </c>
      <c r="AI2681" s="21"/>
      <c r="AJ2681" s="21"/>
      <c r="AK2681" s="21"/>
      <c r="AL2681" s="21"/>
      <c r="AM2681" s="21"/>
      <c r="AN2681" s="21"/>
      <c r="AO2681" s="21"/>
      <c r="AP2681" s="21"/>
      <c r="AQ2681" s="21"/>
      <c r="AR2681" s="21"/>
      <c r="AS2681" s="21">
        <v>1</v>
      </c>
      <c r="AT2681" s="12" t="str">
        <f>HYPERLINK("http://www.openstreetmap.org/?mlat=35.3666&amp;mlon=45.7188&amp;zoom=12#map=12/35.3666/45.7188","Maplink1")</f>
        <v>Maplink1</v>
      </c>
      <c r="AU2681" s="12" t="str">
        <f>HYPERLINK("https://www.google.iq/maps/search/+35.3666,45.7188/@35.3666,45.7188,14z?hl=en","Maplink2")</f>
        <v>Maplink2</v>
      </c>
      <c r="AV2681" s="12" t="str">
        <f>HYPERLINK("http://www.bing.com/maps/?lvl=14&amp;sty=h&amp;cp=35.3666~45.7188&amp;sp=point.35.3666_45.7188","Maplink3")</f>
        <v>Maplink3</v>
      </c>
    </row>
    <row r="2682" spans="1:48" ht="15" customHeight="1" x14ac:dyDescent="0.25">
      <c r="A2682" s="19">
        <v>29691</v>
      </c>
      <c r="B2682" s="20" t="s">
        <v>24</v>
      </c>
      <c r="C2682" s="20" t="s">
        <v>4643</v>
      </c>
      <c r="D2682" s="20" t="s">
        <v>4676</v>
      </c>
      <c r="E2682" s="20" t="s">
        <v>4677</v>
      </c>
      <c r="F2682" s="20">
        <v>35.342708464300003</v>
      </c>
      <c r="G2682" s="20">
        <v>45.636245077600002</v>
      </c>
      <c r="H2682" s="22">
        <v>48</v>
      </c>
      <c r="I2682" s="22">
        <v>288</v>
      </c>
      <c r="J2682" s="21">
        <v>11</v>
      </c>
      <c r="K2682" s="21">
        <v>11</v>
      </c>
      <c r="L2682" s="21">
        <v>5</v>
      </c>
      <c r="M2682" s="21"/>
      <c r="N2682" s="21"/>
      <c r="O2682" s="21">
        <v>7</v>
      </c>
      <c r="P2682" s="21"/>
      <c r="Q2682" s="21"/>
      <c r="R2682" s="21"/>
      <c r="S2682" s="21"/>
      <c r="T2682" s="21"/>
      <c r="U2682" s="21"/>
      <c r="V2682" s="21">
        <v>1</v>
      </c>
      <c r="W2682" s="21"/>
      <c r="X2682" s="21">
        <v>13</v>
      </c>
      <c r="Y2682" s="21"/>
      <c r="Z2682" s="21"/>
      <c r="AA2682" s="21"/>
      <c r="AB2682" s="21"/>
      <c r="AC2682" s="21"/>
      <c r="AD2682" s="21"/>
      <c r="AE2682" s="21"/>
      <c r="AF2682" s="21"/>
      <c r="AG2682" s="21"/>
      <c r="AH2682" s="21">
        <v>48</v>
      </c>
      <c r="AI2682" s="21"/>
      <c r="AJ2682" s="21"/>
      <c r="AK2682" s="21"/>
      <c r="AL2682" s="21">
        <v>7</v>
      </c>
      <c r="AM2682" s="21">
        <v>16</v>
      </c>
      <c r="AN2682" s="21">
        <v>4</v>
      </c>
      <c r="AO2682" s="21">
        <v>16</v>
      </c>
      <c r="AP2682" s="21"/>
      <c r="AQ2682" s="21">
        <v>5</v>
      </c>
      <c r="AR2682" s="21"/>
      <c r="AS2682" s="21"/>
      <c r="AT2682" s="12" t="str">
        <f>HYPERLINK("http://www.openstreetmap.org/?mlat=35.3427&amp;mlon=45.6362&amp;zoom=12#map=12/35.3427/45.6362","Maplink1")</f>
        <v>Maplink1</v>
      </c>
      <c r="AU2682" s="12" t="str">
        <f>HYPERLINK("https://www.google.iq/maps/search/+35.3427,45.6362/@35.3427,45.6362,14z?hl=en","Maplink2")</f>
        <v>Maplink2</v>
      </c>
      <c r="AV2682" s="12" t="str">
        <f>HYPERLINK("http://www.bing.com/maps/?lvl=14&amp;sty=h&amp;cp=35.3427~45.6362&amp;sp=point.35.3427_45.6362","Maplink3")</f>
        <v>Maplink3</v>
      </c>
    </row>
    <row r="2683" spans="1:48" ht="15" customHeight="1" x14ac:dyDescent="0.25">
      <c r="A2683" s="19">
        <v>29692</v>
      </c>
      <c r="B2683" s="20" t="s">
        <v>24</v>
      </c>
      <c r="C2683" s="20" t="s">
        <v>4643</v>
      </c>
      <c r="D2683" s="20" t="s">
        <v>4678</v>
      </c>
      <c r="E2683" s="20" t="s">
        <v>4679</v>
      </c>
      <c r="F2683" s="20">
        <v>35.356029999999997</v>
      </c>
      <c r="G2683" s="20">
        <v>45.629559999999998</v>
      </c>
      <c r="H2683" s="22">
        <v>38</v>
      </c>
      <c r="I2683" s="22">
        <v>228</v>
      </c>
      <c r="J2683" s="21">
        <v>5</v>
      </c>
      <c r="K2683" s="21">
        <v>2</v>
      </c>
      <c r="L2683" s="21">
        <v>5</v>
      </c>
      <c r="M2683" s="21"/>
      <c r="N2683" s="21"/>
      <c r="O2683" s="21">
        <v>8</v>
      </c>
      <c r="P2683" s="21"/>
      <c r="Q2683" s="21"/>
      <c r="R2683" s="21"/>
      <c r="S2683" s="21"/>
      <c r="T2683" s="21"/>
      <c r="U2683" s="21"/>
      <c r="V2683" s="21">
        <v>3</v>
      </c>
      <c r="W2683" s="21"/>
      <c r="X2683" s="21">
        <v>15</v>
      </c>
      <c r="Y2683" s="21"/>
      <c r="Z2683" s="21"/>
      <c r="AA2683" s="21"/>
      <c r="AB2683" s="21"/>
      <c r="AC2683" s="21"/>
      <c r="AD2683" s="21"/>
      <c r="AE2683" s="21"/>
      <c r="AF2683" s="21"/>
      <c r="AG2683" s="21"/>
      <c r="AH2683" s="21">
        <v>38</v>
      </c>
      <c r="AI2683" s="21"/>
      <c r="AJ2683" s="21"/>
      <c r="AK2683" s="21"/>
      <c r="AL2683" s="21">
        <v>3</v>
      </c>
      <c r="AM2683" s="21">
        <v>7</v>
      </c>
      <c r="AN2683" s="21">
        <v>3</v>
      </c>
      <c r="AO2683" s="21">
        <v>8</v>
      </c>
      <c r="AP2683" s="21">
        <v>5</v>
      </c>
      <c r="AQ2683" s="21">
        <v>12</v>
      </c>
      <c r="AR2683" s="21"/>
      <c r="AS2683" s="21"/>
      <c r="AT2683" s="12" t="str">
        <f>HYPERLINK("http://www.openstreetmap.org/?mlat=35.356&amp;mlon=45.6296&amp;zoom=12#map=12/35.356/45.6296","Maplink1")</f>
        <v>Maplink1</v>
      </c>
      <c r="AU2683" s="12" t="str">
        <f>HYPERLINK("https://www.google.iq/maps/search/+35.356,45.6296/@35.356,45.6296,14z?hl=en","Maplink2")</f>
        <v>Maplink2</v>
      </c>
      <c r="AV2683" s="12" t="str">
        <f>HYPERLINK("http://www.bing.com/maps/?lvl=14&amp;sty=h&amp;cp=35.356~45.6296&amp;sp=point.35.356_45.6296","Maplink3")</f>
        <v>Maplink3</v>
      </c>
    </row>
    <row r="2684" spans="1:48" ht="15" customHeight="1" x14ac:dyDescent="0.25">
      <c r="A2684" s="19">
        <v>25648</v>
      </c>
      <c r="B2684" s="20" t="s">
        <v>24</v>
      </c>
      <c r="C2684" s="20" t="s">
        <v>4643</v>
      </c>
      <c r="D2684" s="20" t="s">
        <v>4680</v>
      </c>
      <c r="E2684" s="20" t="s">
        <v>4681</v>
      </c>
      <c r="F2684" s="20">
        <v>35.245080000000002</v>
      </c>
      <c r="G2684" s="20">
        <v>45.728409999999997</v>
      </c>
      <c r="H2684" s="22">
        <v>4</v>
      </c>
      <c r="I2684" s="22">
        <v>24</v>
      </c>
      <c r="J2684" s="21"/>
      <c r="K2684" s="21">
        <v>4</v>
      </c>
      <c r="L2684" s="21"/>
      <c r="M2684" s="21"/>
      <c r="N2684" s="21"/>
      <c r="O2684" s="21"/>
      <c r="P2684" s="21"/>
      <c r="Q2684" s="21"/>
      <c r="R2684" s="21"/>
      <c r="S2684" s="21"/>
      <c r="T2684" s="21"/>
      <c r="U2684" s="21"/>
      <c r="V2684" s="21"/>
      <c r="W2684" s="21"/>
      <c r="X2684" s="21"/>
      <c r="Y2684" s="21"/>
      <c r="Z2684" s="21"/>
      <c r="AA2684" s="21"/>
      <c r="AB2684" s="21"/>
      <c r="AC2684" s="21"/>
      <c r="AD2684" s="21"/>
      <c r="AE2684" s="21"/>
      <c r="AF2684" s="21"/>
      <c r="AG2684" s="21"/>
      <c r="AH2684" s="21">
        <v>4</v>
      </c>
      <c r="AI2684" s="21"/>
      <c r="AJ2684" s="21"/>
      <c r="AK2684" s="21"/>
      <c r="AL2684" s="21"/>
      <c r="AM2684" s="21">
        <v>4</v>
      </c>
      <c r="AN2684" s="21"/>
      <c r="AO2684" s="21"/>
      <c r="AP2684" s="21"/>
      <c r="AQ2684" s="21"/>
      <c r="AR2684" s="21"/>
      <c r="AS2684" s="21"/>
      <c r="AT2684" s="12" t="str">
        <f>HYPERLINK("http://www.openstreetmap.org/?mlat=35.2451&amp;mlon=45.7284&amp;zoom=12#map=12/35.2451/45.7284","Maplink1")</f>
        <v>Maplink1</v>
      </c>
      <c r="AU2684" s="12" t="str">
        <f>HYPERLINK("https://www.google.iq/maps/search/+35.2451,45.7284/@35.2451,45.7284,14z?hl=en","Maplink2")</f>
        <v>Maplink2</v>
      </c>
      <c r="AV2684" s="12" t="str">
        <f>HYPERLINK("http://www.bing.com/maps/?lvl=14&amp;sty=h&amp;cp=35.2451~45.7284&amp;sp=point.35.2451_45.7284","Maplink3")</f>
        <v>Maplink3</v>
      </c>
    </row>
    <row r="2685" spans="1:48" ht="15" customHeight="1" x14ac:dyDescent="0.25">
      <c r="A2685" s="19">
        <v>4882</v>
      </c>
      <c r="B2685" s="20" t="s">
        <v>24</v>
      </c>
      <c r="C2685" s="20" t="s">
        <v>4643</v>
      </c>
      <c r="D2685" s="20" t="s">
        <v>4682</v>
      </c>
      <c r="E2685" s="20" t="s">
        <v>4683</v>
      </c>
      <c r="F2685" s="20">
        <v>35.363050000000001</v>
      </c>
      <c r="G2685" s="20">
        <v>45.789490000000001</v>
      </c>
      <c r="H2685" s="22">
        <v>3</v>
      </c>
      <c r="I2685" s="22">
        <v>18</v>
      </c>
      <c r="J2685" s="21"/>
      <c r="K2685" s="21"/>
      <c r="L2685" s="21"/>
      <c r="M2685" s="21"/>
      <c r="N2685" s="21"/>
      <c r="O2685" s="21">
        <v>1</v>
      </c>
      <c r="P2685" s="21"/>
      <c r="Q2685" s="21"/>
      <c r="R2685" s="21"/>
      <c r="S2685" s="21"/>
      <c r="T2685" s="21"/>
      <c r="U2685" s="21"/>
      <c r="V2685" s="21"/>
      <c r="W2685" s="21"/>
      <c r="X2685" s="21">
        <v>2</v>
      </c>
      <c r="Y2685" s="21"/>
      <c r="Z2685" s="21"/>
      <c r="AA2685" s="21"/>
      <c r="AB2685" s="21"/>
      <c r="AC2685" s="21"/>
      <c r="AD2685" s="21"/>
      <c r="AE2685" s="21"/>
      <c r="AF2685" s="21"/>
      <c r="AG2685" s="21"/>
      <c r="AH2685" s="21">
        <v>3</v>
      </c>
      <c r="AI2685" s="21"/>
      <c r="AJ2685" s="21"/>
      <c r="AK2685" s="21"/>
      <c r="AL2685" s="21"/>
      <c r="AM2685" s="21"/>
      <c r="AN2685" s="21"/>
      <c r="AO2685" s="21">
        <v>1</v>
      </c>
      <c r="AP2685" s="21">
        <v>1</v>
      </c>
      <c r="AQ2685" s="21"/>
      <c r="AR2685" s="21"/>
      <c r="AS2685" s="21">
        <v>1</v>
      </c>
      <c r="AT2685" s="12" t="str">
        <f>HYPERLINK("http://www.openstreetmap.org/?mlat=35.3631&amp;mlon=45.7895&amp;zoom=12#map=12/35.3631/45.7895","Maplink1")</f>
        <v>Maplink1</v>
      </c>
      <c r="AU2685" s="12" t="str">
        <f>HYPERLINK("https://www.google.iq/maps/search/+35.3631,45.7895/@35.3631,45.7895,14z?hl=en","Maplink2")</f>
        <v>Maplink2</v>
      </c>
      <c r="AV2685" s="12" t="str">
        <f>HYPERLINK("http://www.bing.com/maps/?lvl=14&amp;sty=h&amp;cp=35.3631~45.7895&amp;sp=point.35.3631_45.7895","Maplink3")</f>
        <v>Maplink3</v>
      </c>
    </row>
    <row r="2686" spans="1:48" ht="15" customHeight="1" x14ac:dyDescent="0.25">
      <c r="A2686" s="19">
        <v>31862</v>
      </c>
      <c r="B2686" s="20" t="s">
        <v>24</v>
      </c>
      <c r="C2686" s="20" t="s">
        <v>4643</v>
      </c>
      <c r="D2686" s="20" t="s">
        <v>4573</v>
      </c>
      <c r="E2686" s="20" t="s">
        <v>2563</v>
      </c>
      <c r="F2686" s="20">
        <v>35.25611</v>
      </c>
      <c r="G2686" s="20">
        <v>45.935409999999997</v>
      </c>
      <c r="H2686" s="22">
        <v>26</v>
      </c>
      <c r="I2686" s="22">
        <v>156</v>
      </c>
      <c r="J2686" s="21">
        <v>4</v>
      </c>
      <c r="K2686" s="21">
        <v>1</v>
      </c>
      <c r="L2686" s="21">
        <v>7</v>
      </c>
      <c r="M2686" s="21"/>
      <c r="N2686" s="21"/>
      <c r="O2686" s="21">
        <v>5</v>
      </c>
      <c r="P2686" s="21"/>
      <c r="Q2686" s="21"/>
      <c r="R2686" s="21"/>
      <c r="S2686" s="21"/>
      <c r="T2686" s="21"/>
      <c r="U2686" s="21"/>
      <c r="V2686" s="21">
        <v>6</v>
      </c>
      <c r="W2686" s="21"/>
      <c r="X2686" s="21">
        <v>3</v>
      </c>
      <c r="Y2686" s="21"/>
      <c r="Z2686" s="21"/>
      <c r="AA2686" s="21"/>
      <c r="AB2686" s="21"/>
      <c r="AC2686" s="21"/>
      <c r="AD2686" s="21"/>
      <c r="AE2686" s="21"/>
      <c r="AF2686" s="21"/>
      <c r="AG2686" s="21"/>
      <c r="AH2686" s="21">
        <v>26</v>
      </c>
      <c r="AI2686" s="21"/>
      <c r="AJ2686" s="21"/>
      <c r="AK2686" s="21"/>
      <c r="AL2686" s="21"/>
      <c r="AM2686" s="21">
        <v>3</v>
      </c>
      <c r="AN2686" s="21">
        <v>3</v>
      </c>
      <c r="AO2686" s="21">
        <v>6</v>
      </c>
      <c r="AP2686" s="21">
        <v>2</v>
      </c>
      <c r="AQ2686" s="21">
        <v>2</v>
      </c>
      <c r="AR2686" s="21">
        <v>2</v>
      </c>
      <c r="AS2686" s="21">
        <v>8</v>
      </c>
      <c r="AT2686" s="12" t="str">
        <f>HYPERLINK("http://www.openstreetmap.org/?mlat=35.2561&amp;mlon=45.9354&amp;zoom=12#map=12/35.2561/45.9354","Maplink1")</f>
        <v>Maplink1</v>
      </c>
      <c r="AU2686" s="12" t="str">
        <f>HYPERLINK("https://www.google.iq/maps/search/+35.2561,45.9354/@35.2561,45.9354,14z?hl=en","Maplink2")</f>
        <v>Maplink2</v>
      </c>
      <c r="AV2686" s="12" t="str">
        <f>HYPERLINK("http://www.bing.com/maps/?lvl=14&amp;sty=h&amp;cp=35.2561~45.9354&amp;sp=point.35.2561_45.9354","Maplink3")</f>
        <v>Maplink3</v>
      </c>
    </row>
    <row r="2687" spans="1:48" ht="15" customHeight="1" x14ac:dyDescent="0.25">
      <c r="A2687" s="19">
        <v>23078</v>
      </c>
      <c r="B2687" s="20" t="s">
        <v>24</v>
      </c>
      <c r="C2687" s="20" t="s">
        <v>4643</v>
      </c>
      <c r="D2687" s="20" t="s">
        <v>4684</v>
      </c>
      <c r="E2687" s="20" t="s">
        <v>4685</v>
      </c>
      <c r="F2687" s="20">
        <v>35.321086129999998</v>
      </c>
      <c r="G2687" s="20">
        <v>45.679825579999999</v>
      </c>
      <c r="H2687" s="22">
        <v>45</v>
      </c>
      <c r="I2687" s="22">
        <v>270</v>
      </c>
      <c r="J2687" s="21">
        <v>12</v>
      </c>
      <c r="K2687" s="21"/>
      <c r="L2687" s="21">
        <v>13</v>
      </c>
      <c r="M2687" s="21"/>
      <c r="N2687" s="21"/>
      <c r="O2687" s="21">
        <v>12</v>
      </c>
      <c r="P2687" s="21"/>
      <c r="Q2687" s="21"/>
      <c r="R2687" s="21"/>
      <c r="S2687" s="21"/>
      <c r="T2687" s="21"/>
      <c r="U2687" s="21"/>
      <c r="V2687" s="21"/>
      <c r="W2687" s="21"/>
      <c r="X2687" s="21">
        <v>8</v>
      </c>
      <c r="Y2687" s="21"/>
      <c r="Z2687" s="21"/>
      <c r="AA2687" s="21"/>
      <c r="AB2687" s="21"/>
      <c r="AC2687" s="21"/>
      <c r="AD2687" s="21"/>
      <c r="AE2687" s="21"/>
      <c r="AF2687" s="21"/>
      <c r="AG2687" s="21"/>
      <c r="AH2687" s="21">
        <v>45</v>
      </c>
      <c r="AI2687" s="21"/>
      <c r="AJ2687" s="21"/>
      <c r="AK2687" s="21"/>
      <c r="AL2687" s="21">
        <v>2</v>
      </c>
      <c r="AM2687" s="21">
        <v>15</v>
      </c>
      <c r="AN2687" s="21">
        <v>2</v>
      </c>
      <c r="AO2687" s="21">
        <v>11</v>
      </c>
      <c r="AP2687" s="21">
        <v>5</v>
      </c>
      <c r="AQ2687" s="21">
        <v>8</v>
      </c>
      <c r="AR2687" s="21">
        <v>2</v>
      </c>
      <c r="AS2687" s="21"/>
      <c r="AT2687" s="12" t="str">
        <f>HYPERLINK("http://www.openstreetmap.org/?mlat=35.3211&amp;mlon=45.6798&amp;zoom=12#map=12/35.3211/45.6798","Maplink1")</f>
        <v>Maplink1</v>
      </c>
      <c r="AU2687" s="12" t="str">
        <f>HYPERLINK("https://www.google.iq/maps/search/+35.3211,45.6798/@35.3211,45.6798,14z?hl=en","Maplink2")</f>
        <v>Maplink2</v>
      </c>
      <c r="AV2687" s="12" t="str">
        <f>HYPERLINK("http://www.bing.com/maps/?lvl=14&amp;sty=h&amp;cp=35.3211~45.6798&amp;sp=point.35.3211_45.6798","Maplink3")</f>
        <v>Maplink3</v>
      </c>
    </row>
    <row r="2688" spans="1:48" ht="15" customHeight="1" x14ac:dyDescent="0.25">
      <c r="A2688" s="19">
        <v>33349</v>
      </c>
      <c r="B2688" s="20" t="s">
        <v>24</v>
      </c>
      <c r="C2688" s="20" t="s">
        <v>4643</v>
      </c>
      <c r="D2688" s="20" t="s">
        <v>5813</v>
      </c>
      <c r="E2688" s="20" t="s">
        <v>5814</v>
      </c>
      <c r="F2688" s="20">
        <v>35.312109999999997</v>
      </c>
      <c r="G2688" s="20">
        <v>45.693710000000003</v>
      </c>
      <c r="H2688" s="22">
        <v>28</v>
      </c>
      <c r="I2688" s="22">
        <v>168</v>
      </c>
      <c r="J2688" s="21">
        <v>13</v>
      </c>
      <c r="K2688" s="21">
        <v>1</v>
      </c>
      <c r="L2688" s="21">
        <v>4</v>
      </c>
      <c r="M2688" s="21"/>
      <c r="N2688" s="21"/>
      <c r="O2688" s="21">
        <v>7</v>
      </c>
      <c r="P2688" s="21"/>
      <c r="Q2688" s="21"/>
      <c r="R2688" s="21"/>
      <c r="S2688" s="21"/>
      <c r="T2688" s="21"/>
      <c r="U2688" s="21"/>
      <c r="V2688" s="21"/>
      <c r="W2688" s="21"/>
      <c r="X2688" s="21">
        <v>3</v>
      </c>
      <c r="Y2688" s="21"/>
      <c r="Z2688" s="21"/>
      <c r="AA2688" s="21"/>
      <c r="AB2688" s="21"/>
      <c r="AC2688" s="21"/>
      <c r="AD2688" s="21"/>
      <c r="AE2688" s="21"/>
      <c r="AF2688" s="21"/>
      <c r="AG2688" s="21"/>
      <c r="AH2688" s="21">
        <v>28</v>
      </c>
      <c r="AI2688" s="21"/>
      <c r="AJ2688" s="21"/>
      <c r="AK2688" s="21"/>
      <c r="AL2688" s="21"/>
      <c r="AM2688" s="21">
        <v>4</v>
      </c>
      <c r="AN2688" s="21">
        <v>3</v>
      </c>
      <c r="AO2688" s="21">
        <v>8</v>
      </c>
      <c r="AP2688" s="21">
        <v>5</v>
      </c>
      <c r="AQ2688" s="21">
        <v>3</v>
      </c>
      <c r="AR2688" s="21">
        <v>5</v>
      </c>
      <c r="AS2688" s="21"/>
      <c r="AT2688" s="12" t="str">
        <f>HYPERLINK("http://www.openstreetmap.org/?mlat=35.3121&amp;mlon=45.6937&amp;zoom=12#map=12/35.3121/45.6937","Maplink1")</f>
        <v>Maplink1</v>
      </c>
      <c r="AU2688" s="12" t="str">
        <f>HYPERLINK("https://www.google.iq/maps/search/+35.3121,45.6937/@35.3121,45.6937,14z?hl=en","Maplink2")</f>
        <v>Maplink2</v>
      </c>
      <c r="AV2688" s="12" t="str">
        <f>HYPERLINK("http://www.bing.com/maps/?lvl=14&amp;sty=h&amp;cp=35.3121~45.6937&amp;sp=point.35.3121_45.6937","Maplink3")</f>
        <v>Maplink3</v>
      </c>
    </row>
    <row r="2689" spans="1:48" ht="15" customHeight="1" x14ac:dyDescent="0.25">
      <c r="A2689" s="19">
        <v>25081</v>
      </c>
      <c r="B2689" s="20" t="s">
        <v>24</v>
      </c>
      <c r="C2689" s="20" t="s">
        <v>4643</v>
      </c>
      <c r="D2689" s="20" t="s">
        <v>4576</v>
      </c>
      <c r="E2689" s="20" t="s">
        <v>4577</v>
      </c>
      <c r="F2689" s="20">
        <v>35.351110640000002</v>
      </c>
      <c r="G2689" s="20">
        <v>45.863508060000001</v>
      </c>
      <c r="H2689" s="22">
        <v>31</v>
      </c>
      <c r="I2689" s="22">
        <v>186</v>
      </c>
      <c r="J2689" s="21">
        <v>4</v>
      </c>
      <c r="K2689" s="21">
        <v>2</v>
      </c>
      <c r="L2689" s="21">
        <v>8</v>
      </c>
      <c r="M2689" s="21"/>
      <c r="N2689" s="21"/>
      <c r="O2689" s="21">
        <v>2</v>
      </c>
      <c r="P2689" s="21"/>
      <c r="Q2689" s="21"/>
      <c r="R2689" s="21">
        <v>4</v>
      </c>
      <c r="S2689" s="21"/>
      <c r="T2689" s="21"/>
      <c r="U2689" s="21"/>
      <c r="V2689" s="21">
        <v>1</v>
      </c>
      <c r="W2689" s="21"/>
      <c r="X2689" s="21">
        <v>10</v>
      </c>
      <c r="Y2689" s="21"/>
      <c r="Z2689" s="21"/>
      <c r="AA2689" s="21"/>
      <c r="AB2689" s="21"/>
      <c r="AC2689" s="21"/>
      <c r="AD2689" s="21"/>
      <c r="AE2689" s="21"/>
      <c r="AF2689" s="21"/>
      <c r="AG2689" s="21"/>
      <c r="AH2689" s="21">
        <v>31</v>
      </c>
      <c r="AI2689" s="21"/>
      <c r="AJ2689" s="21"/>
      <c r="AK2689" s="21"/>
      <c r="AL2689" s="21">
        <v>2</v>
      </c>
      <c r="AM2689" s="21">
        <v>5</v>
      </c>
      <c r="AN2689" s="21">
        <v>3</v>
      </c>
      <c r="AO2689" s="21">
        <v>5</v>
      </c>
      <c r="AP2689" s="21">
        <v>10</v>
      </c>
      <c r="AQ2689" s="21"/>
      <c r="AR2689" s="21">
        <v>2</v>
      </c>
      <c r="AS2689" s="21">
        <v>4</v>
      </c>
      <c r="AT2689" s="12" t="str">
        <f>HYPERLINK("http://www.openstreetmap.org/?mlat=35.3511&amp;mlon=45.8635&amp;zoom=12#map=12/35.3511/45.8635","Maplink1")</f>
        <v>Maplink1</v>
      </c>
      <c r="AU2689" s="12" t="str">
        <f>HYPERLINK("https://www.google.iq/maps/search/+35.3511,45.8635/@35.3511,45.8635,14z?hl=en","Maplink2")</f>
        <v>Maplink2</v>
      </c>
      <c r="AV2689" s="12" t="str">
        <f>HYPERLINK("http://www.bing.com/maps/?lvl=14&amp;sty=h&amp;cp=35.3511~45.8635&amp;sp=point.35.3511_45.8635","Maplink3")</f>
        <v>Maplink3</v>
      </c>
    </row>
    <row r="2690" spans="1:48" ht="15" customHeight="1" x14ac:dyDescent="0.25">
      <c r="A2690" s="19">
        <v>4603</v>
      </c>
      <c r="B2690" s="20" t="s">
        <v>24</v>
      </c>
      <c r="C2690" s="20" t="s">
        <v>4643</v>
      </c>
      <c r="D2690" s="20" t="s">
        <v>4686</v>
      </c>
      <c r="E2690" s="20" t="s">
        <v>4687</v>
      </c>
      <c r="F2690" s="20">
        <v>35.370190100000002</v>
      </c>
      <c r="G2690" s="20">
        <v>45.826812009999998</v>
      </c>
      <c r="H2690" s="22">
        <v>6</v>
      </c>
      <c r="I2690" s="22">
        <v>36</v>
      </c>
      <c r="J2690" s="21"/>
      <c r="K2690" s="21"/>
      <c r="L2690" s="21">
        <v>2</v>
      </c>
      <c r="M2690" s="21"/>
      <c r="N2690" s="21"/>
      <c r="O2690" s="21">
        <v>3</v>
      </c>
      <c r="P2690" s="21"/>
      <c r="Q2690" s="21"/>
      <c r="R2690" s="21"/>
      <c r="S2690" s="21"/>
      <c r="T2690" s="21"/>
      <c r="U2690" s="21"/>
      <c r="V2690" s="21"/>
      <c r="W2690" s="21"/>
      <c r="X2690" s="21">
        <v>1</v>
      </c>
      <c r="Y2690" s="21"/>
      <c r="Z2690" s="21"/>
      <c r="AA2690" s="21"/>
      <c r="AB2690" s="21"/>
      <c r="AC2690" s="21"/>
      <c r="AD2690" s="21"/>
      <c r="AE2690" s="21"/>
      <c r="AF2690" s="21"/>
      <c r="AG2690" s="21"/>
      <c r="AH2690" s="21">
        <v>6</v>
      </c>
      <c r="AI2690" s="21"/>
      <c r="AJ2690" s="21"/>
      <c r="AK2690" s="21"/>
      <c r="AL2690" s="21"/>
      <c r="AM2690" s="21"/>
      <c r="AN2690" s="21"/>
      <c r="AO2690" s="21">
        <v>1</v>
      </c>
      <c r="AP2690" s="21">
        <v>4</v>
      </c>
      <c r="AQ2690" s="21">
        <v>1</v>
      </c>
      <c r="AR2690" s="21"/>
      <c r="AS2690" s="21"/>
      <c r="AT2690" s="12" t="str">
        <f>HYPERLINK("http://www.openstreetmap.org/?mlat=35.3702&amp;mlon=45.8268&amp;zoom=12#map=12/35.3702/45.8268","Maplink1")</f>
        <v>Maplink1</v>
      </c>
      <c r="AU2690" s="12" t="str">
        <f>HYPERLINK("https://www.google.iq/maps/search/+35.3702,45.8268/@35.3702,45.8268,14z?hl=en","Maplink2")</f>
        <v>Maplink2</v>
      </c>
      <c r="AV2690" s="12" t="str">
        <f>HYPERLINK("http://www.bing.com/maps/?lvl=14&amp;sty=h&amp;cp=35.3702~45.8268&amp;sp=point.35.3702_45.8268","Maplink3")</f>
        <v>Maplink3</v>
      </c>
    </row>
    <row r="2691" spans="1:48" ht="15" customHeight="1" x14ac:dyDescent="0.25">
      <c r="A2691" s="19">
        <v>22994</v>
      </c>
      <c r="B2691" s="20" t="s">
        <v>24</v>
      </c>
      <c r="C2691" s="20" t="s">
        <v>4643</v>
      </c>
      <c r="D2691" s="20" t="s">
        <v>4688</v>
      </c>
      <c r="E2691" s="20" t="s">
        <v>4689</v>
      </c>
      <c r="F2691" s="20">
        <v>35.170663349999998</v>
      </c>
      <c r="G2691" s="20">
        <v>45.996142489999997</v>
      </c>
      <c r="H2691" s="22">
        <v>29</v>
      </c>
      <c r="I2691" s="22">
        <v>174</v>
      </c>
      <c r="J2691" s="21">
        <v>5</v>
      </c>
      <c r="K2691" s="21">
        <v>1</v>
      </c>
      <c r="L2691" s="21">
        <v>8</v>
      </c>
      <c r="M2691" s="21"/>
      <c r="N2691" s="21"/>
      <c r="O2691" s="21">
        <v>5</v>
      </c>
      <c r="P2691" s="21"/>
      <c r="Q2691" s="21"/>
      <c r="R2691" s="21"/>
      <c r="S2691" s="21"/>
      <c r="T2691" s="21"/>
      <c r="U2691" s="21"/>
      <c r="V2691" s="21">
        <v>1</v>
      </c>
      <c r="W2691" s="21"/>
      <c r="X2691" s="21">
        <v>9</v>
      </c>
      <c r="Y2691" s="21"/>
      <c r="Z2691" s="21"/>
      <c r="AA2691" s="21"/>
      <c r="AB2691" s="21"/>
      <c r="AC2691" s="21"/>
      <c r="AD2691" s="21"/>
      <c r="AE2691" s="21"/>
      <c r="AF2691" s="21"/>
      <c r="AG2691" s="21"/>
      <c r="AH2691" s="21">
        <v>29</v>
      </c>
      <c r="AI2691" s="21"/>
      <c r="AJ2691" s="21"/>
      <c r="AK2691" s="21"/>
      <c r="AL2691" s="21">
        <v>5</v>
      </c>
      <c r="AM2691" s="21">
        <v>5</v>
      </c>
      <c r="AN2691" s="21"/>
      <c r="AO2691" s="21">
        <v>3</v>
      </c>
      <c r="AP2691" s="21">
        <v>5</v>
      </c>
      <c r="AQ2691" s="21">
        <v>8</v>
      </c>
      <c r="AR2691" s="21">
        <v>2</v>
      </c>
      <c r="AS2691" s="21">
        <v>1</v>
      </c>
      <c r="AT2691" s="12" t="str">
        <f>HYPERLINK("http://www.openstreetmap.org/?mlat=35.1707&amp;mlon=45.9961&amp;zoom=12#map=12/35.1707/45.9961","Maplink1")</f>
        <v>Maplink1</v>
      </c>
      <c r="AU2691" s="12" t="str">
        <f>HYPERLINK("https://www.google.iq/maps/search/+35.1707,45.9961/@35.1707,45.9961,14z?hl=en","Maplink2")</f>
        <v>Maplink2</v>
      </c>
      <c r="AV2691" s="12" t="str">
        <f>HYPERLINK("http://www.bing.com/maps/?lvl=14&amp;sty=h&amp;cp=35.1707~45.9961&amp;sp=point.35.1707_45.9961","Maplink3")</f>
        <v>Maplink3</v>
      </c>
    </row>
    <row r="2692" spans="1:48" ht="15" customHeight="1" x14ac:dyDescent="0.25">
      <c r="A2692" s="19">
        <v>21858</v>
      </c>
      <c r="B2692" s="20" t="s">
        <v>24</v>
      </c>
      <c r="C2692" s="20" t="s">
        <v>4643</v>
      </c>
      <c r="D2692" s="20" t="s">
        <v>2064</v>
      </c>
      <c r="E2692" s="20" t="s">
        <v>2065</v>
      </c>
      <c r="F2692" s="20">
        <v>35.17949685</v>
      </c>
      <c r="G2692" s="20">
        <v>45.99011256</v>
      </c>
      <c r="H2692" s="22">
        <v>11</v>
      </c>
      <c r="I2692" s="22">
        <v>66</v>
      </c>
      <c r="J2692" s="21">
        <v>7</v>
      </c>
      <c r="K2692" s="21"/>
      <c r="L2692" s="21"/>
      <c r="M2692" s="21"/>
      <c r="N2692" s="21"/>
      <c r="O2692" s="21"/>
      <c r="P2692" s="21"/>
      <c r="Q2692" s="21"/>
      <c r="R2692" s="21">
        <v>1</v>
      </c>
      <c r="S2692" s="21"/>
      <c r="T2692" s="21"/>
      <c r="U2692" s="21"/>
      <c r="V2692" s="21">
        <v>3</v>
      </c>
      <c r="W2692" s="21"/>
      <c r="X2692" s="21"/>
      <c r="Y2692" s="21"/>
      <c r="Z2692" s="21"/>
      <c r="AA2692" s="21"/>
      <c r="AB2692" s="21"/>
      <c r="AC2692" s="21"/>
      <c r="AD2692" s="21"/>
      <c r="AE2692" s="21"/>
      <c r="AF2692" s="21"/>
      <c r="AG2692" s="21"/>
      <c r="AH2692" s="21">
        <v>11</v>
      </c>
      <c r="AI2692" s="21"/>
      <c r="AJ2692" s="21"/>
      <c r="AK2692" s="21"/>
      <c r="AL2692" s="21">
        <v>3</v>
      </c>
      <c r="AM2692" s="21">
        <v>3</v>
      </c>
      <c r="AN2692" s="21"/>
      <c r="AO2692" s="21"/>
      <c r="AP2692" s="21">
        <v>1</v>
      </c>
      <c r="AQ2692" s="21">
        <v>3</v>
      </c>
      <c r="AR2692" s="21"/>
      <c r="AS2692" s="21">
        <v>1</v>
      </c>
      <c r="AT2692" s="12" t="str">
        <f>HYPERLINK("http://www.openstreetmap.org/?mlat=35.1795&amp;mlon=45.9901&amp;zoom=12#map=12/35.1795/45.9901","Maplink1")</f>
        <v>Maplink1</v>
      </c>
      <c r="AU2692" s="12" t="str">
        <f>HYPERLINK("https://www.google.iq/maps/search/+35.1795,45.9901/@35.1795,45.9901,14z?hl=en","Maplink2")</f>
        <v>Maplink2</v>
      </c>
      <c r="AV2692" s="12" t="str">
        <f>HYPERLINK("http://www.bing.com/maps/?lvl=14&amp;sty=h&amp;cp=35.1795~45.9901&amp;sp=point.35.1795_45.9901","Maplink3")</f>
        <v>Maplink3</v>
      </c>
    </row>
    <row r="2693" spans="1:48" ht="15" customHeight="1" x14ac:dyDescent="0.25">
      <c r="A2693" s="19">
        <v>31863</v>
      </c>
      <c r="B2693" s="20" t="s">
        <v>24</v>
      </c>
      <c r="C2693" s="20" t="s">
        <v>4643</v>
      </c>
      <c r="D2693" s="20" t="s">
        <v>2064</v>
      </c>
      <c r="E2693" s="20" t="s">
        <v>2065</v>
      </c>
      <c r="F2693" s="20">
        <v>35.256320000000002</v>
      </c>
      <c r="G2693" s="20">
        <v>45.93824</v>
      </c>
      <c r="H2693" s="22">
        <v>13</v>
      </c>
      <c r="I2693" s="22">
        <v>78</v>
      </c>
      <c r="J2693" s="21"/>
      <c r="K2693" s="21"/>
      <c r="L2693" s="21">
        <v>9</v>
      </c>
      <c r="M2693" s="21"/>
      <c r="N2693" s="21"/>
      <c r="O2693" s="21">
        <v>3</v>
      </c>
      <c r="P2693" s="21"/>
      <c r="Q2693" s="21"/>
      <c r="R2693" s="21"/>
      <c r="S2693" s="21"/>
      <c r="T2693" s="21"/>
      <c r="U2693" s="21"/>
      <c r="V2693" s="21"/>
      <c r="W2693" s="21"/>
      <c r="X2693" s="21">
        <v>1</v>
      </c>
      <c r="Y2693" s="21"/>
      <c r="Z2693" s="21"/>
      <c r="AA2693" s="21"/>
      <c r="AB2693" s="21"/>
      <c r="AC2693" s="21"/>
      <c r="AD2693" s="21"/>
      <c r="AE2693" s="21"/>
      <c r="AF2693" s="21"/>
      <c r="AG2693" s="21"/>
      <c r="AH2693" s="21">
        <v>13</v>
      </c>
      <c r="AI2693" s="21"/>
      <c r="AJ2693" s="21"/>
      <c r="AK2693" s="21"/>
      <c r="AL2693" s="21"/>
      <c r="AM2693" s="21">
        <v>1</v>
      </c>
      <c r="AN2693" s="21"/>
      <c r="AO2693" s="21">
        <v>5</v>
      </c>
      <c r="AP2693" s="21">
        <v>4</v>
      </c>
      <c r="AQ2693" s="21">
        <v>3</v>
      </c>
      <c r="AR2693" s="21"/>
      <c r="AS2693" s="21"/>
      <c r="AT2693" s="12" t="str">
        <f>HYPERLINK("http://www.openstreetmap.org/?mlat=35.2563&amp;mlon=45.9382&amp;zoom=12#map=12/35.2563/45.9382","Maplink1")</f>
        <v>Maplink1</v>
      </c>
      <c r="AU2693" s="12" t="str">
        <f>HYPERLINK("https://www.google.iq/maps/search/+35.2563,45.9382/@35.2563,45.9382,14z?hl=en","Maplink2")</f>
        <v>Maplink2</v>
      </c>
      <c r="AV2693" s="12" t="str">
        <f>HYPERLINK("http://www.bing.com/maps/?lvl=14&amp;sty=h&amp;cp=35.2563~45.9382&amp;sp=point.35.2563_45.9382","Maplink3")</f>
        <v>Maplink3</v>
      </c>
    </row>
    <row r="2694" spans="1:48" ht="15" customHeight="1" x14ac:dyDescent="0.25">
      <c r="A2694" s="19">
        <v>33350</v>
      </c>
      <c r="B2694" s="20" t="s">
        <v>24</v>
      </c>
      <c r="C2694" s="20" t="s">
        <v>4643</v>
      </c>
      <c r="D2694" s="20" t="s">
        <v>5815</v>
      </c>
      <c r="E2694" s="20" t="s">
        <v>5816</v>
      </c>
      <c r="F2694" s="20">
        <v>35.360010000000003</v>
      </c>
      <c r="G2694" s="20">
        <v>45.851010000000002</v>
      </c>
      <c r="H2694" s="22">
        <v>11</v>
      </c>
      <c r="I2694" s="22">
        <v>66</v>
      </c>
      <c r="J2694" s="21"/>
      <c r="K2694" s="21"/>
      <c r="L2694" s="21">
        <v>5</v>
      </c>
      <c r="M2694" s="21"/>
      <c r="N2694" s="21"/>
      <c r="O2694" s="21">
        <v>4</v>
      </c>
      <c r="P2694" s="21"/>
      <c r="Q2694" s="21"/>
      <c r="R2694" s="21"/>
      <c r="S2694" s="21"/>
      <c r="T2694" s="21"/>
      <c r="U2694" s="21"/>
      <c r="V2694" s="21">
        <v>1</v>
      </c>
      <c r="W2694" s="21"/>
      <c r="X2694" s="21">
        <v>1</v>
      </c>
      <c r="Y2694" s="21"/>
      <c r="Z2694" s="21"/>
      <c r="AA2694" s="21"/>
      <c r="AB2694" s="21"/>
      <c r="AC2694" s="21"/>
      <c r="AD2694" s="21"/>
      <c r="AE2694" s="21"/>
      <c r="AF2694" s="21"/>
      <c r="AG2694" s="21"/>
      <c r="AH2694" s="21">
        <v>11</v>
      </c>
      <c r="AI2694" s="21"/>
      <c r="AJ2694" s="21"/>
      <c r="AK2694" s="21"/>
      <c r="AL2694" s="21">
        <v>2</v>
      </c>
      <c r="AM2694" s="21">
        <v>3</v>
      </c>
      <c r="AN2694" s="21">
        <v>1</v>
      </c>
      <c r="AO2694" s="21">
        <v>3</v>
      </c>
      <c r="AP2694" s="21"/>
      <c r="AQ2694" s="21">
        <v>1</v>
      </c>
      <c r="AR2694" s="21">
        <v>1</v>
      </c>
      <c r="AS2694" s="21"/>
      <c r="AT2694" s="12" t="str">
        <f>HYPERLINK("http://www.openstreetmap.org/?mlat=35.36&amp;mlon=45.851&amp;zoom=12#map=12/35.36/45.851","Maplink1")</f>
        <v>Maplink1</v>
      </c>
      <c r="AU2694" s="12" t="str">
        <f>HYPERLINK("https://www.google.iq/maps/search/+35.36,45.851/@35.36,45.851,14z?hl=en","Maplink2")</f>
        <v>Maplink2</v>
      </c>
      <c r="AV2694" s="12" t="str">
        <f>HYPERLINK("http://www.bing.com/maps/?lvl=14&amp;sty=h&amp;cp=35.36~45.851&amp;sp=point.35.36_45.851","Maplink3")</f>
        <v>Maplink3</v>
      </c>
    </row>
    <row r="2695" spans="1:48" ht="15" customHeight="1" x14ac:dyDescent="0.25">
      <c r="A2695" s="19">
        <v>25080</v>
      </c>
      <c r="B2695" s="20" t="s">
        <v>24</v>
      </c>
      <c r="C2695" s="20" t="s">
        <v>4643</v>
      </c>
      <c r="D2695" s="20" t="s">
        <v>4690</v>
      </c>
      <c r="E2695" s="20" t="s">
        <v>4691</v>
      </c>
      <c r="F2695" s="20">
        <v>35.324496359999998</v>
      </c>
      <c r="G2695" s="20">
        <v>45.697801839999997</v>
      </c>
      <c r="H2695" s="22">
        <v>22</v>
      </c>
      <c r="I2695" s="22">
        <v>132</v>
      </c>
      <c r="J2695" s="21">
        <v>2</v>
      </c>
      <c r="K2695" s="21"/>
      <c r="L2695" s="21">
        <v>4</v>
      </c>
      <c r="M2695" s="21"/>
      <c r="N2695" s="21"/>
      <c r="O2695" s="21">
        <v>12</v>
      </c>
      <c r="P2695" s="21"/>
      <c r="Q2695" s="21"/>
      <c r="R2695" s="21"/>
      <c r="S2695" s="21"/>
      <c r="T2695" s="21"/>
      <c r="U2695" s="21"/>
      <c r="V2695" s="21"/>
      <c r="W2695" s="21"/>
      <c r="X2695" s="21">
        <v>4</v>
      </c>
      <c r="Y2695" s="21"/>
      <c r="Z2695" s="21"/>
      <c r="AA2695" s="21"/>
      <c r="AB2695" s="21"/>
      <c r="AC2695" s="21"/>
      <c r="AD2695" s="21"/>
      <c r="AE2695" s="21"/>
      <c r="AF2695" s="21"/>
      <c r="AG2695" s="21"/>
      <c r="AH2695" s="21">
        <v>22</v>
      </c>
      <c r="AI2695" s="21"/>
      <c r="AJ2695" s="21"/>
      <c r="AK2695" s="21"/>
      <c r="AL2695" s="21"/>
      <c r="AM2695" s="21">
        <v>8</v>
      </c>
      <c r="AN2695" s="21">
        <v>6</v>
      </c>
      <c r="AO2695" s="21">
        <v>6</v>
      </c>
      <c r="AP2695" s="21"/>
      <c r="AQ2695" s="21">
        <v>2</v>
      </c>
      <c r="AR2695" s="21"/>
      <c r="AS2695" s="21"/>
      <c r="AT2695" s="12" t="str">
        <f>HYPERLINK("http://www.openstreetmap.org/?mlat=35.3245&amp;mlon=45.6978&amp;zoom=12#map=12/35.3245/45.6978","Maplink1")</f>
        <v>Maplink1</v>
      </c>
      <c r="AU2695" s="12" t="str">
        <f>HYPERLINK("https://www.google.iq/maps/search/+35.3245,45.6978/@35.3245,45.6978,14z?hl=en","Maplink2")</f>
        <v>Maplink2</v>
      </c>
      <c r="AV2695" s="12" t="str">
        <f>HYPERLINK("http://www.bing.com/maps/?lvl=14&amp;sty=h&amp;cp=35.3245~45.6978&amp;sp=point.35.3245_45.6978","Maplink3")</f>
        <v>Maplink3</v>
      </c>
    </row>
    <row r="2696" spans="1:48" ht="15" customHeight="1" x14ac:dyDescent="0.25">
      <c r="A2696" s="19">
        <v>23077</v>
      </c>
      <c r="B2696" s="20" t="s">
        <v>24</v>
      </c>
      <c r="C2696" s="20" t="s">
        <v>4643</v>
      </c>
      <c r="D2696" s="20" t="s">
        <v>4545</v>
      </c>
      <c r="E2696" s="20" t="s">
        <v>2740</v>
      </c>
      <c r="F2696" s="20">
        <v>35.313533829999997</v>
      </c>
      <c r="G2696" s="20">
        <v>45.692040560000002</v>
      </c>
      <c r="H2696" s="22">
        <v>51</v>
      </c>
      <c r="I2696" s="22">
        <v>306</v>
      </c>
      <c r="J2696" s="21">
        <v>17</v>
      </c>
      <c r="K2696" s="21"/>
      <c r="L2696" s="21">
        <v>6</v>
      </c>
      <c r="M2696" s="21"/>
      <c r="N2696" s="21"/>
      <c r="O2696" s="21">
        <v>12</v>
      </c>
      <c r="P2696" s="21"/>
      <c r="Q2696" s="21"/>
      <c r="R2696" s="21"/>
      <c r="S2696" s="21"/>
      <c r="T2696" s="21"/>
      <c r="U2696" s="21"/>
      <c r="V2696" s="21"/>
      <c r="W2696" s="21"/>
      <c r="X2696" s="21">
        <v>16</v>
      </c>
      <c r="Y2696" s="21"/>
      <c r="Z2696" s="21"/>
      <c r="AA2696" s="21"/>
      <c r="AB2696" s="21"/>
      <c r="AC2696" s="21"/>
      <c r="AD2696" s="21"/>
      <c r="AE2696" s="21"/>
      <c r="AF2696" s="21"/>
      <c r="AG2696" s="21"/>
      <c r="AH2696" s="21">
        <v>51</v>
      </c>
      <c r="AI2696" s="21"/>
      <c r="AJ2696" s="21"/>
      <c r="AK2696" s="21"/>
      <c r="AL2696" s="21"/>
      <c r="AM2696" s="21">
        <v>11</v>
      </c>
      <c r="AN2696" s="21">
        <v>1</v>
      </c>
      <c r="AO2696" s="21">
        <v>16</v>
      </c>
      <c r="AP2696" s="21">
        <v>13</v>
      </c>
      <c r="AQ2696" s="21">
        <v>7</v>
      </c>
      <c r="AR2696" s="21">
        <v>1</v>
      </c>
      <c r="AS2696" s="21">
        <v>2</v>
      </c>
      <c r="AT2696" s="12" t="str">
        <f>HYPERLINK("http://www.openstreetmap.org/?mlat=35.3135&amp;mlon=45.692&amp;zoom=12#map=12/35.3135/45.692","Maplink1")</f>
        <v>Maplink1</v>
      </c>
      <c r="AU2696" s="12" t="str">
        <f>HYPERLINK("https://www.google.iq/maps/search/+35.3135,45.692/@35.3135,45.692,14z?hl=en","Maplink2")</f>
        <v>Maplink2</v>
      </c>
      <c r="AV2696" s="12" t="str">
        <f>HYPERLINK("http://www.bing.com/maps/?lvl=14&amp;sty=h&amp;cp=35.3135~45.692&amp;sp=point.35.3135_45.692","Maplink3")</f>
        <v>Maplink3</v>
      </c>
    </row>
    <row r="2697" spans="1:48" ht="15" customHeight="1" x14ac:dyDescent="0.25">
      <c r="A2697" s="19">
        <v>21857</v>
      </c>
      <c r="B2697" s="20" t="s">
        <v>24</v>
      </c>
      <c r="C2697" s="20" t="s">
        <v>4643</v>
      </c>
      <c r="D2697" s="20" t="s">
        <v>4545</v>
      </c>
      <c r="E2697" s="20" t="s">
        <v>2740</v>
      </c>
      <c r="F2697" s="20">
        <v>35.189891430000003</v>
      </c>
      <c r="G2697" s="20">
        <v>45.993828309999998</v>
      </c>
      <c r="H2697" s="22">
        <v>24</v>
      </c>
      <c r="I2697" s="22">
        <v>144</v>
      </c>
      <c r="J2697" s="21">
        <v>4</v>
      </c>
      <c r="K2697" s="21"/>
      <c r="L2697" s="21">
        <v>6</v>
      </c>
      <c r="M2697" s="21"/>
      <c r="N2697" s="21"/>
      <c r="O2697" s="21"/>
      <c r="P2697" s="21"/>
      <c r="Q2697" s="21"/>
      <c r="R2697" s="21">
        <v>2</v>
      </c>
      <c r="S2697" s="21"/>
      <c r="T2697" s="21"/>
      <c r="U2697" s="21"/>
      <c r="V2697" s="21">
        <v>2</v>
      </c>
      <c r="W2697" s="21"/>
      <c r="X2697" s="21">
        <v>10</v>
      </c>
      <c r="Y2697" s="21"/>
      <c r="Z2697" s="21"/>
      <c r="AA2697" s="21"/>
      <c r="AB2697" s="21"/>
      <c r="AC2697" s="21"/>
      <c r="AD2697" s="21"/>
      <c r="AE2697" s="21"/>
      <c r="AF2697" s="21"/>
      <c r="AG2697" s="21"/>
      <c r="AH2697" s="21">
        <v>24</v>
      </c>
      <c r="AI2697" s="21"/>
      <c r="AJ2697" s="21"/>
      <c r="AK2697" s="21"/>
      <c r="AL2697" s="21">
        <v>5</v>
      </c>
      <c r="AM2697" s="21">
        <v>7</v>
      </c>
      <c r="AN2697" s="21"/>
      <c r="AO2697" s="21">
        <v>2</v>
      </c>
      <c r="AP2697" s="21">
        <v>2</v>
      </c>
      <c r="AQ2697" s="21">
        <v>6</v>
      </c>
      <c r="AR2697" s="21"/>
      <c r="AS2697" s="21">
        <v>2</v>
      </c>
      <c r="AT2697" s="12" t="str">
        <f>HYPERLINK("http://www.openstreetmap.org/?mlat=35.1899&amp;mlon=45.9938&amp;zoom=12#map=12/35.1899/45.9938","Maplink1")</f>
        <v>Maplink1</v>
      </c>
      <c r="AU2697" s="12" t="str">
        <f>HYPERLINK("https://www.google.iq/maps/search/+35.1899,45.9938/@35.1899,45.9938,14z?hl=en","Maplink2")</f>
        <v>Maplink2</v>
      </c>
      <c r="AV2697" s="12" t="str">
        <f>HYPERLINK("http://www.bing.com/maps/?lvl=14&amp;sty=h&amp;cp=35.1899~45.9938&amp;sp=point.35.1899_45.9938","Maplink3")</f>
        <v>Maplink3</v>
      </c>
    </row>
    <row r="2698" spans="1:48" ht="15" customHeight="1" x14ac:dyDescent="0.25">
      <c r="A2698" s="19">
        <v>22995</v>
      </c>
      <c r="B2698" s="20" t="s">
        <v>24</v>
      </c>
      <c r="C2698" s="20" t="s">
        <v>4643</v>
      </c>
      <c r="D2698" s="20" t="s">
        <v>4692</v>
      </c>
      <c r="E2698" s="20" t="s">
        <v>3663</v>
      </c>
      <c r="F2698" s="20">
        <v>35.35793323</v>
      </c>
      <c r="G2698" s="20">
        <v>45.863532759999998</v>
      </c>
      <c r="H2698" s="22">
        <v>43</v>
      </c>
      <c r="I2698" s="22">
        <v>258</v>
      </c>
      <c r="J2698" s="21">
        <v>14</v>
      </c>
      <c r="K2698" s="21"/>
      <c r="L2698" s="21">
        <v>7</v>
      </c>
      <c r="M2698" s="21"/>
      <c r="N2698" s="21"/>
      <c r="O2698" s="21">
        <v>15</v>
      </c>
      <c r="P2698" s="21"/>
      <c r="Q2698" s="21"/>
      <c r="R2698" s="21"/>
      <c r="S2698" s="21"/>
      <c r="T2698" s="21"/>
      <c r="U2698" s="21"/>
      <c r="V2698" s="21">
        <v>7</v>
      </c>
      <c r="W2698" s="21"/>
      <c r="X2698" s="21"/>
      <c r="Y2698" s="21"/>
      <c r="Z2698" s="21"/>
      <c r="AA2698" s="21"/>
      <c r="AB2698" s="21"/>
      <c r="AC2698" s="21"/>
      <c r="AD2698" s="21"/>
      <c r="AE2698" s="21"/>
      <c r="AF2698" s="21"/>
      <c r="AG2698" s="21"/>
      <c r="AH2698" s="21">
        <v>43</v>
      </c>
      <c r="AI2698" s="21"/>
      <c r="AJ2698" s="21"/>
      <c r="AK2698" s="21"/>
      <c r="AL2698" s="21">
        <v>6</v>
      </c>
      <c r="AM2698" s="21">
        <v>5</v>
      </c>
      <c r="AN2698" s="21">
        <v>11</v>
      </c>
      <c r="AO2698" s="21">
        <v>8</v>
      </c>
      <c r="AP2698" s="21">
        <v>7</v>
      </c>
      <c r="AQ2698" s="21">
        <v>3</v>
      </c>
      <c r="AR2698" s="21">
        <v>1</v>
      </c>
      <c r="AS2698" s="21">
        <v>2</v>
      </c>
      <c r="AT2698" s="12" t="str">
        <f>HYPERLINK("http://www.openstreetmap.org/?mlat=35.3579&amp;mlon=45.8635&amp;zoom=12#map=12/35.3579/45.8635","Maplink1")</f>
        <v>Maplink1</v>
      </c>
      <c r="AU2698" s="12" t="str">
        <f>HYPERLINK("https://www.google.iq/maps/search/+35.3579,45.8635/@35.3579,45.8635,14z?hl=en","Maplink2")</f>
        <v>Maplink2</v>
      </c>
      <c r="AV2698" s="12" t="str">
        <f>HYPERLINK("http://www.bing.com/maps/?lvl=14&amp;sty=h&amp;cp=35.3579~45.8635&amp;sp=point.35.3579_45.8635","Maplink3")</f>
        <v>Maplink3</v>
      </c>
    </row>
    <row r="2699" spans="1:48" ht="15" customHeight="1" x14ac:dyDescent="0.25">
      <c r="A2699" s="19">
        <v>23079</v>
      </c>
      <c r="B2699" s="20" t="s">
        <v>24</v>
      </c>
      <c r="C2699" s="20" t="s">
        <v>4643</v>
      </c>
      <c r="D2699" s="20" t="s">
        <v>4693</v>
      </c>
      <c r="E2699" s="20" t="s">
        <v>4694</v>
      </c>
      <c r="F2699" s="20">
        <v>35.32167312</v>
      </c>
      <c r="G2699" s="20">
        <v>45.70061699</v>
      </c>
      <c r="H2699" s="22">
        <v>26</v>
      </c>
      <c r="I2699" s="22">
        <v>156</v>
      </c>
      <c r="J2699" s="21">
        <v>2</v>
      </c>
      <c r="K2699" s="21"/>
      <c r="L2699" s="21">
        <v>5</v>
      </c>
      <c r="M2699" s="21"/>
      <c r="N2699" s="21"/>
      <c r="O2699" s="21">
        <v>10</v>
      </c>
      <c r="P2699" s="21"/>
      <c r="Q2699" s="21"/>
      <c r="R2699" s="21">
        <v>4</v>
      </c>
      <c r="S2699" s="21"/>
      <c r="T2699" s="21"/>
      <c r="U2699" s="21"/>
      <c r="V2699" s="21"/>
      <c r="W2699" s="21"/>
      <c r="X2699" s="21">
        <v>5</v>
      </c>
      <c r="Y2699" s="21"/>
      <c r="Z2699" s="21"/>
      <c r="AA2699" s="21"/>
      <c r="AB2699" s="21"/>
      <c r="AC2699" s="21"/>
      <c r="AD2699" s="21"/>
      <c r="AE2699" s="21"/>
      <c r="AF2699" s="21"/>
      <c r="AG2699" s="21"/>
      <c r="AH2699" s="21">
        <v>26</v>
      </c>
      <c r="AI2699" s="21"/>
      <c r="AJ2699" s="21"/>
      <c r="AK2699" s="21"/>
      <c r="AL2699" s="21"/>
      <c r="AM2699" s="21">
        <v>7</v>
      </c>
      <c r="AN2699" s="21"/>
      <c r="AO2699" s="21">
        <v>11</v>
      </c>
      <c r="AP2699" s="21">
        <v>2</v>
      </c>
      <c r="AQ2699" s="21"/>
      <c r="AR2699" s="21">
        <v>2</v>
      </c>
      <c r="AS2699" s="21">
        <v>4</v>
      </c>
      <c r="AT2699" s="12" t="str">
        <f>HYPERLINK("http://www.openstreetmap.org/?mlat=35.3217&amp;mlon=45.7006&amp;zoom=12#map=12/35.3217/45.7006","Maplink1")</f>
        <v>Maplink1</v>
      </c>
      <c r="AU2699" s="12" t="str">
        <f>HYPERLINK("https://www.google.iq/maps/search/+35.3217,45.7006/@35.3217,45.7006,14z?hl=en","Maplink2")</f>
        <v>Maplink2</v>
      </c>
      <c r="AV2699" s="12" t="str">
        <f>HYPERLINK("http://www.bing.com/maps/?lvl=14&amp;sty=h&amp;cp=35.3217~45.7006&amp;sp=point.35.3217_45.7006","Maplink3")</f>
        <v>Maplink3</v>
      </c>
    </row>
    <row r="2700" spans="1:48" ht="15" customHeight="1" x14ac:dyDescent="0.25">
      <c r="A2700" s="19">
        <v>6056</v>
      </c>
      <c r="B2700" s="20" t="s">
        <v>24</v>
      </c>
      <c r="C2700" s="20" t="s">
        <v>4643</v>
      </c>
      <c r="D2700" s="20" t="s">
        <v>4695</v>
      </c>
      <c r="E2700" s="20" t="s">
        <v>4696</v>
      </c>
      <c r="F2700" s="20">
        <v>35.255560000000003</v>
      </c>
      <c r="G2700" s="20">
        <v>45.992460000000001</v>
      </c>
      <c r="H2700" s="22">
        <v>13</v>
      </c>
      <c r="I2700" s="22">
        <v>78</v>
      </c>
      <c r="J2700" s="21"/>
      <c r="K2700" s="21">
        <v>7</v>
      </c>
      <c r="L2700" s="21">
        <v>3</v>
      </c>
      <c r="M2700" s="21"/>
      <c r="N2700" s="21"/>
      <c r="O2700" s="21"/>
      <c r="P2700" s="21"/>
      <c r="Q2700" s="21"/>
      <c r="R2700" s="21"/>
      <c r="S2700" s="21"/>
      <c r="T2700" s="21"/>
      <c r="U2700" s="21"/>
      <c r="V2700" s="21"/>
      <c r="W2700" s="21"/>
      <c r="X2700" s="21">
        <v>3</v>
      </c>
      <c r="Y2700" s="21"/>
      <c r="Z2700" s="21"/>
      <c r="AA2700" s="21"/>
      <c r="AB2700" s="21"/>
      <c r="AC2700" s="21"/>
      <c r="AD2700" s="21"/>
      <c r="AE2700" s="21"/>
      <c r="AF2700" s="21"/>
      <c r="AG2700" s="21"/>
      <c r="AH2700" s="21">
        <v>13</v>
      </c>
      <c r="AI2700" s="21"/>
      <c r="AJ2700" s="21"/>
      <c r="AK2700" s="21"/>
      <c r="AL2700" s="21">
        <v>3</v>
      </c>
      <c r="AM2700" s="21">
        <v>4</v>
      </c>
      <c r="AN2700" s="21"/>
      <c r="AO2700" s="21"/>
      <c r="AP2700" s="21">
        <v>1</v>
      </c>
      <c r="AQ2700" s="21">
        <v>1</v>
      </c>
      <c r="AR2700" s="21">
        <v>2</v>
      </c>
      <c r="AS2700" s="21">
        <v>2</v>
      </c>
      <c r="AT2700" s="12" t="str">
        <f>HYPERLINK("http://www.openstreetmap.org/?mlat=35.2556&amp;mlon=45.9925&amp;zoom=12#map=12/35.2556/45.9925","Maplink1")</f>
        <v>Maplink1</v>
      </c>
      <c r="AU2700" s="12" t="str">
        <f>HYPERLINK("https://www.google.iq/maps/search/+35.2556,45.9925/@35.2556,45.9925,14z?hl=en","Maplink2")</f>
        <v>Maplink2</v>
      </c>
      <c r="AV2700" s="12" t="str">
        <f>HYPERLINK("http://www.bing.com/maps/?lvl=14&amp;sty=h&amp;cp=35.2556~45.9925&amp;sp=point.35.2556_45.9925","Maplink3")</f>
        <v>Maplink3</v>
      </c>
    </row>
    <row r="2701" spans="1:48" ht="15" customHeight="1" x14ac:dyDescent="0.25">
      <c r="A2701" s="19">
        <v>29689</v>
      </c>
      <c r="B2701" s="20" t="s">
        <v>24</v>
      </c>
      <c r="C2701" s="20" t="s">
        <v>4697</v>
      </c>
      <c r="D2701" s="20" t="s">
        <v>4698</v>
      </c>
      <c r="E2701" s="20" t="s">
        <v>4699</v>
      </c>
      <c r="F2701" s="20">
        <v>34.539810000000003</v>
      </c>
      <c r="G2701" s="20">
        <v>45.038930000000001</v>
      </c>
      <c r="H2701" s="22">
        <v>15</v>
      </c>
      <c r="I2701" s="22">
        <v>90</v>
      </c>
      <c r="J2701" s="21"/>
      <c r="K2701" s="21"/>
      <c r="L2701" s="21"/>
      <c r="M2701" s="21"/>
      <c r="N2701" s="21"/>
      <c r="O2701" s="21">
        <v>15</v>
      </c>
      <c r="P2701" s="21"/>
      <c r="Q2701" s="21"/>
      <c r="R2701" s="21"/>
      <c r="S2701" s="21"/>
      <c r="T2701" s="21"/>
      <c r="U2701" s="21"/>
      <c r="V2701" s="21"/>
      <c r="W2701" s="21"/>
      <c r="X2701" s="21"/>
      <c r="Y2701" s="21"/>
      <c r="Z2701" s="21"/>
      <c r="AA2701" s="21"/>
      <c r="AB2701" s="21"/>
      <c r="AC2701" s="21">
        <v>15</v>
      </c>
      <c r="AD2701" s="21"/>
      <c r="AE2701" s="21"/>
      <c r="AF2701" s="21"/>
      <c r="AG2701" s="21"/>
      <c r="AH2701" s="21"/>
      <c r="AI2701" s="21"/>
      <c r="AJ2701" s="21"/>
      <c r="AK2701" s="21"/>
      <c r="AL2701" s="21"/>
      <c r="AM2701" s="21">
        <v>15</v>
      </c>
      <c r="AN2701" s="21"/>
      <c r="AO2701" s="21"/>
      <c r="AP2701" s="21"/>
      <c r="AQ2701" s="21"/>
      <c r="AR2701" s="21"/>
      <c r="AS2701" s="21"/>
      <c r="AT2701" s="12" t="str">
        <f>HYPERLINK("http://www.openstreetmap.org/?mlat=34.5398&amp;mlon=45.0389&amp;zoom=12#map=12/34.5398/45.0389","Maplink1")</f>
        <v>Maplink1</v>
      </c>
      <c r="AU2701" s="12" t="str">
        <f>HYPERLINK("https://www.google.iq/maps/search/+34.5398,45.0389/@34.5398,45.0389,14z?hl=en","Maplink2")</f>
        <v>Maplink2</v>
      </c>
      <c r="AV2701" s="12" t="str">
        <f>HYPERLINK("http://www.bing.com/maps/?lvl=14&amp;sty=h&amp;cp=34.5398~45.0389&amp;sp=point.34.5398_45.0389","Maplink3")</f>
        <v>Maplink3</v>
      </c>
    </row>
    <row r="2702" spans="1:48" ht="15" customHeight="1" x14ac:dyDescent="0.25">
      <c r="A2702" s="19">
        <v>27306</v>
      </c>
      <c r="B2702" s="20" t="s">
        <v>24</v>
      </c>
      <c r="C2702" s="20" t="s">
        <v>4697</v>
      </c>
      <c r="D2702" s="20" t="s">
        <v>4700</v>
      </c>
      <c r="E2702" s="20" t="s">
        <v>4701</v>
      </c>
      <c r="F2702" s="20">
        <v>34.630490000000002</v>
      </c>
      <c r="G2702" s="20">
        <v>45.329160000000002</v>
      </c>
      <c r="H2702" s="22">
        <v>10</v>
      </c>
      <c r="I2702" s="22">
        <v>60</v>
      </c>
      <c r="J2702" s="21">
        <v>1</v>
      </c>
      <c r="K2702" s="21"/>
      <c r="L2702" s="21"/>
      <c r="M2702" s="21"/>
      <c r="N2702" s="21"/>
      <c r="O2702" s="21">
        <v>2</v>
      </c>
      <c r="P2702" s="21"/>
      <c r="Q2702" s="21"/>
      <c r="R2702" s="21"/>
      <c r="S2702" s="21"/>
      <c r="T2702" s="21"/>
      <c r="U2702" s="21"/>
      <c r="V2702" s="21"/>
      <c r="W2702" s="21"/>
      <c r="X2702" s="21">
        <v>7</v>
      </c>
      <c r="Y2702" s="21"/>
      <c r="Z2702" s="21"/>
      <c r="AA2702" s="21"/>
      <c r="AB2702" s="21"/>
      <c r="AC2702" s="21"/>
      <c r="AD2702" s="21"/>
      <c r="AE2702" s="21"/>
      <c r="AF2702" s="21"/>
      <c r="AG2702" s="21"/>
      <c r="AH2702" s="21">
        <v>10</v>
      </c>
      <c r="AI2702" s="21"/>
      <c r="AJ2702" s="21"/>
      <c r="AK2702" s="21"/>
      <c r="AL2702" s="21">
        <v>1</v>
      </c>
      <c r="AM2702" s="21"/>
      <c r="AN2702" s="21"/>
      <c r="AO2702" s="21">
        <v>1</v>
      </c>
      <c r="AP2702" s="21"/>
      <c r="AQ2702" s="21"/>
      <c r="AR2702" s="21">
        <v>1</v>
      </c>
      <c r="AS2702" s="21">
        <v>7</v>
      </c>
      <c r="AT2702" s="12" t="str">
        <f>HYPERLINK("http://www.openstreetmap.org/?mlat=34.6305&amp;mlon=45.3292&amp;zoom=12#map=12/34.6305/45.3292","Maplink1")</f>
        <v>Maplink1</v>
      </c>
      <c r="AU2702" s="12" t="str">
        <f>HYPERLINK("https://www.google.iq/maps/search/+34.6305,45.3292/@34.6305,45.3292,14z?hl=en","Maplink2")</f>
        <v>Maplink2</v>
      </c>
      <c r="AV2702" s="12" t="str">
        <f>HYPERLINK("http://www.bing.com/maps/?lvl=14&amp;sty=h&amp;cp=34.6305~45.3292&amp;sp=point.34.6305_45.3292","Maplink3")</f>
        <v>Maplink3</v>
      </c>
    </row>
    <row r="2703" spans="1:48" ht="15" customHeight="1" x14ac:dyDescent="0.25">
      <c r="A2703" s="19">
        <v>31931</v>
      </c>
      <c r="B2703" s="20" t="s">
        <v>24</v>
      </c>
      <c r="C2703" s="20" t="s">
        <v>4697</v>
      </c>
      <c r="D2703" s="20" t="s">
        <v>4490</v>
      </c>
      <c r="E2703" s="20" t="s">
        <v>4491</v>
      </c>
      <c r="F2703" s="20">
        <v>34.655560000000001</v>
      </c>
      <c r="G2703" s="20">
        <v>45.25121</v>
      </c>
      <c r="H2703" s="22">
        <v>139</v>
      </c>
      <c r="I2703" s="22">
        <v>834</v>
      </c>
      <c r="J2703" s="21">
        <v>6</v>
      </c>
      <c r="K2703" s="21">
        <v>8</v>
      </c>
      <c r="L2703" s="21">
        <v>1</v>
      </c>
      <c r="M2703" s="21"/>
      <c r="N2703" s="21"/>
      <c r="O2703" s="21">
        <v>71</v>
      </c>
      <c r="P2703" s="21"/>
      <c r="Q2703" s="21"/>
      <c r="R2703" s="21"/>
      <c r="S2703" s="21"/>
      <c r="T2703" s="21"/>
      <c r="U2703" s="21"/>
      <c r="V2703" s="21"/>
      <c r="W2703" s="21"/>
      <c r="X2703" s="21">
        <v>53</v>
      </c>
      <c r="Y2703" s="21"/>
      <c r="Z2703" s="21"/>
      <c r="AA2703" s="21"/>
      <c r="AB2703" s="21"/>
      <c r="AC2703" s="21"/>
      <c r="AD2703" s="21"/>
      <c r="AE2703" s="21"/>
      <c r="AF2703" s="21"/>
      <c r="AG2703" s="21"/>
      <c r="AH2703" s="21">
        <v>139</v>
      </c>
      <c r="AI2703" s="21"/>
      <c r="AJ2703" s="21"/>
      <c r="AK2703" s="21"/>
      <c r="AL2703" s="21">
        <v>13</v>
      </c>
      <c r="AM2703" s="21">
        <v>33</v>
      </c>
      <c r="AN2703" s="21">
        <v>11</v>
      </c>
      <c r="AO2703" s="21">
        <v>24</v>
      </c>
      <c r="AP2703" s="21">
        <v>16</v>
      </c>
      <c r="AQ2703" s="21">
        <v>5</v>
      </c>
      <c r="AR2703" s="21">
        <v>4</v>
      </c>
      <c r="AS2703" s="21">
        <v>33</v>
      </c>
      <c r="AT2703" s="12" t="str">
        <f>HYPERLINK("http://www.openstreetmap.org/?mlat=34.6556&amp;mlon=45.2512&amp;zoom=12#map=12/34.6556/45.2512","Maplink1")</f>
        <v>Maplink1</v>
      </c>
      <c r="AU2703" s="12" t="str">
        <f>HYPERLINK("https://www.google.iq/maps/search/+34.6556,45.2512/@34.6556,45.2512,14z?hl=en","Maplink2")</f>
        <v>Maplink2</v>
      </c>
      <c r="AV2703" s="12" t="str">
        <f>HYPERLINK("http://www.bing.com/maps/?lvl=14&amp;sty=h&amp;cp=34.6556~45.2512&amp;sp=point.34.6556_45.2512","Maplink3")</f>
        <v>Maplink3</v>
      </c>
    </row>
    <row r="2704" spans="1:48" ht="15" customHeight="1" x14ac:dyDescent="0.25">
      <c r="A2704" s="19">
        <v>31996</v>
      </c>
      <c r="B2704" s="20" t="s">
        <v>24</v>
      </c>
      <c r="C2704" s="20" t="s">
        <v>4697</v>
      </c>
      <c r="D2704" s="20" t="s">
        <v>4702</v>
      </c>
      <c r="E2704" s="20" t="s">
        <v>4703</v>
      </c>
      <c r="F2704" s="20">
        <v>34.640709999999999</v>
      </c>
      <c r="G2704" s="20">
        <v>45.312080000000002</v>
      </c>
      <c r="H2704" s="22">
        <v>21</v>
      </c>
      <c r="I2704" s="22">
        <v>126</v>
      </c>
      <c r="J2704" s="21">
        <v>1</v>
      </c>
      <c r="K2704" s="21"/>
      <c r="L2704" s="21"/>
      <c r="M2704" s="21"/>
      <c r="N2704" s="21"/>
      <c r="O2704" s="21">
        <v>4</v>
      </c>
      <c r="P2704" s="21"/>
      <c r="Q2704" s="21"/>
      <c r="R2704" s="21"/>
      <c r="S2704" s="21"/>
      <c r="T2704" s="21"/>
      <c r="U2704" s="21"/>
      <c r="V2704" s="21">
        <v>1</v>
      </c>
      <c r="W2704" s="21"/>
      <c r="X2704" s="21">
        <v>15</v>
      </c>
      <c r="Y2704" s="21"/>
      <c r="Z2704" s="21"/>
      <c r="AA2704" s="21"/>
      <c r="AB2704" s="21"/>
      <c r="AC2704" s="21"/>
      <c r="AD2704" s="21"/>
      <c r="AE2704" s="21"/>
      <c r="AF2704" s="21"/>
      <c r="AG2704" s="21"/>
      <c r="AH2704" s="21">
        <v>21</v>
      </c>
      <c r="AI2704" s="21"/>
      <c r="AJ2704" s="21"/>
      <c r="AK2704" s="21"/>
      <c r="AL2704" s="21">
        <v>1</v>
      </c>
      <c r="AM2704" s="21"/>
      <c r="AN2704" s="21"/>
      <c r="AO2704" s="21">
        <v>4</v>
      </c>
      <c r="AP2704" s="21">
        <v>1</v>
      </c>
      <c r="AQ2704" s="21"/>
      <c r="AR2704" s="21">
        <v>1</v>
      </c>
      <c r="AS2704" s="21">
        <v>14</v>
      </c>
      <c r="AT2704" s="12" t="str">
        <f>HYPERLINK("http://www.openstreetmap.org/?mlat=34.6407&amp;mlon=45.3121&amp;zoom=12#map=12/34.6407/45.3121","Maplink1")</f>
        <v>Maplink1</v>
      </c>
      <c r="AU2704" s="12" t="str">
        <f>HYPERLINK("https://www.google.iq/maps/search/+34.6407,45.3121/@34.6407,45.3121,14z?hl=en","Maplink2")</f>
        <v>Maplink2</v>
      </c>
      <c r="AV2704" s="12" t="str">
        <f>HYPERLINK("http://www.bing.com/maps/?lvl=14&amp;sty=h&amp;cp=34.6407~45.3121&amp;sp=point.34.6407_45.3121","Maplink3")</f>
        <v>Maplink3</v>
      </c>
    </row>
    <row r="2705" spans="1:48" ht="15" customHeight="1" x14ac:dyDescent="0.25">
      <c r="A2705" s="19">
        <v>29697</v>
      </c>
      <c r="B2705" s="20" t="s">
        <v>24</v>
      </c>
      <c r="C2705" s="20" t="s">
        <v>4697</v>
      </c>
      <c r="D2705" s="20" t="s">
        <v>4704</v>
      </c>
      <c r="E2705" s="20" t="s">
        <v>4705</v>
      </c>
      <c r="F2705" s="20">
        <v>34.521639999999998</v>
      </c>
      <c r="G2705" s="20">
        <v>45.156829999999999</v>
      </c>
      <c r="H2705" s="22">
        <v>6</v>
      </c>
      <c r="I2705" s="22">
        <v>36</v>
      </c>
      <c r="J2705" s="21"/>
      <c r="K2705" s="21"/>
      <c r="L2705" s="21"/>
      <c r="M2705" s="21"/>
      <c r="N2705" s="21"/>
      <c r="O2705" s="21">
        <v>6</v>
      </c>
      <c r="P2705" s="21"/>
      <c r="Q2705" s="21"/>
      <c r="R2705" s="21"/>
      <c r="S2705" s="21"/>
      <c r="T2705" s="21"/>
      <c r="U2705" s="21"/>
      <c r="V2705" s="21"/>
      <c r="W2705" s="21"/>
      <c r="X2705" s="21"/>
      <c r="Y2705" s="21"/>
      <c r="Z2705" s="21"/>
      <c r="AA2705" s="21"/>
      <c r="AB2705" s="21"/>
      <c r="AC2705" s="21"/>
      <c r="AD2705" s="21"/>
      <c r="AE2705" s="21"/>
      <c r="AF2705" s="21"/>
      <c r="AG2705" s="21"/>
      <c r="AH2705" s="21">
        <v>6</v>
      </c>
      <c r="AI2705" s="21"/>
      <c r="AJ2705" s="21"/>
      <c r="AK2705" s="21"/>
      <c r="AL2705" s="21"/>
      <c r="AM2705" s="21">
        <v>6</v>
      </c>
      <c r="AN2705" s="21"/>
      <c r="AO2705" s="21"/>
      <c r="AP2705" s="21"/>
      <c r="AQ2705" s="21"/>
      <c r="AR2705" s="21"/>
      <c r="AS2705" s="21"/>
      <c r="AT2705" s="12" t="str">
        <f>HYPERLINK("http://www.openstreetmap.org/?mlat=34.5216&amp;mlon=45.1568&amp;zoom=12#map=12/34.5216/45.1568","Maplink1")</f>
        <v>Maplink1</v>
      </c>
      <c r="AU2705" s="12" t="str">
        <f>HYPERLINK("https://www.google.iq/maps/search/+34.5216,45.1568/@34.5216,45.1568,14z?hl=en","Maplink2")</f>
        <v>Maplink2</v>
      </c>
      <c r="AV2705" s="12" t="str">
        <f>HYPERLINK("http://www.bing.com/maps/?lvl=14&amp;sty=h&amp;cp=34.5216~45.1568&amp;sp=point.34.5216_45.1568","Maplink3")</f>
        <v>Maplink3</v>
      </c>
    </row>
    <row r="2706" spans="1:48" ht="15" customHeight="1" x14ac:dyDescent="0.25">
      <c r="A2706" s="19">
        <v>21852</v>
      </c>
      <c r="B2706" s="20" t="s">
        <v>24</v>
      </c>
      <c r="C2706" s="20" t="s">
        <v>4697</v>
      </c>
      <c r="D2706" s="20" t="s">
        <v>4706</v>
      </c>
      <c r="E2706" s="20" t="s">
        <v>4707</v>
      </c>
      <c r="F2706" s="20">
        <v>34.666719999999998</v>
      </c>
      <c r="G2706" s="20">
        <v>45.243139999999997</v>
      </c>
      <c r="H2706" s="22">
        <v>245</v>
      </c>
      <c r="I2706" s="22">
        <v>1470</v>
      </c>
      <c r="J2706" s="21">
        <v>18</v>
      </c>
      <c r="K2706" s="21">
        <v>50</v>
      </c>
      <c r="L2706" s="21">
        <v>4</v>
      </c>
      <c r="M2706" s="21"/>
      <c r="N2706" s="21"/>
      <c r="O2706" s="21">
        <v>94</v>
      </c>
      <c r="P2706" s="21"/>
      <c r="Q2706" s="21"/>
      <c r="R2706" s="21"/>
      <c r="S2706" s="21"/>
      <c r="T2706" s="21"/>
      <c r="U2706" s="21"/>
      <c r="V2706" s="21"/>
      <c r="W2706" s="21"/>
      <c r="X2706" s="21">
        <v>79</v>
      </c>
      <c r="Y2706" s="21"/>
      <c r="Z2706" s="21"/>
      <c r="AA2706" s="21"/>
      <c r="AB2706" s="21"/>
      <c r="AC2706" s="21"/>
      <c r="AD2706" s="21"/>
      <c r="AE2706" s="21"/>
      <c r="AF2706" s="21"/>
      <c r="AG2706" s="21"/>
      <c r="AH2706" s="21">
        <v>245</v>
      </c>
      <c r="AI2706" s="21"/>
      <c r="AJ2706" s="21"/>
      <c r="AK2706" s="21"/>
      <c r="AL2706" s="21">
        <v>32</v>
      </c>
      <c r="AM2706" s="21">
        <v>40</v>
      </c>
      <c r="AN2706" s="21">
        <v>13</v>
      </c>
      <c r="AO2706" s="21">
        <v>44</v>
      </c>
      <c r="AP2706" s="21">
        <v>19</v>
      </c>
      <c r="AQ2706" s="21">
        <v>6</v>
      </c>
      <c r="AR2706" s="21">
        <v>11</v>
      </c>
      <c r="AS2706" s="21">
        <v>80</v>
      </c>
      <c r="AT2706" s="12" t="str">
        <f>HYPERLINK("http://www.openstreetmap.org/?mlat=34.6667&amp;mlon=45.2431&amp;zoom=12#map=12/34.6667/45.2431","Maplink1")</f>
        <v>Maplink1</v>
      </c>
      <c r="AU2706" s="12" t="str">
        <f>HYPERLINK("https://www.google.iq/maps/search/+34.6667,45.2431/@34.6667,45.2431,14z?hl=en","Maplink2")</f>
        <v>Maplink2</v>
      </c>
      <c r="AV2706" s="12" t="str">
        <f>HYPERLINK("http://www.bing.com/maps/?lvl=14&amp;sty=h&amp;cp=34.6667~45.2431&amp;sp=point.34.6667_45.2431","Maplink3")</f>
        <v>Maplink3</v>
      </c>
    </row>
    <row r="2707" spans="1:48" ht="15" customHeight="1" x14ac:dyDescent="0.25">
      <c r="A2707" s="19">
        <v>24891</v>
      </c>
      <c r="B2707" s="20" t="s">
        <v>24</v>
      </c>
      <c r="C2707" s="20" t="s">
        <v>4697</v>
      </c>
      <c r="D2707" s="20" t="s">
        <v>1951</v>
      </c>
      <c r="E2707" s="20" t="s">
        <v>2777</v>
      </c>
      <c r="F2707" s="20">
        <v>34.630057119999996</v>
      </c>
      <c r="G2707" s="20">
        <v>45.340254690000002</v>
      </c>
      <c r="H2707" s="22">
        <v>86</v>
      </c>
      <c r="I2707" s="22">
        <v>516</v>
      </c>
      <c r="J2707" s="21">
        <v>13</v>
      </c>
      <c r="K2707" s="21"/>
      <c r="L2707" s="21">
        <v>4</v>
      </c>
      <c r="M2707" s="21"/>
      <c r="N2707" s="21"/>
      <c r="O2707" s="21">
        <v>57</v>
      </c>
      <c r="P2707" s="21"/>
      <c r="Q2707" s="21"/>
      <c r="R2707" s="21"/>
      <c r="S2707" s="21"/>
      <c r="T2707" s="21"/>
      <c r="U2707" s="21"/>
      <c r="V2707" s="21"/>
      <c r="W2707" s="21"/>
      <c r="X2707" s="21">
        <v>12</v>
      </c>
      <c r="Y2707" s="21"/>
      <c r="Z2707" s="21"/>
      <c r="AA2707" s="21"/>
      <c r="AB2707" s="21"/>
      <c r="AC2707" s="21"/>
      <c r="AD2707" s="21"/>
      <c r="AE2707" s="21"/>
      <c r="AF2707" s="21"/>
      <c r="AG2707" s="21"/>
      <c r="AH2707" s="21">
        <v>86</v>
      </c>
      <c r="AI2707" s="21"/>
      <c r="AJ2707" s="21"/>
      <c r="AK2707" s="21"/>
      <c r="AL2707" s="21">
        <v>9</v>
      </c>
      <c r="AM2707" s="21">
        <v>26</v>
      </c>
      <c r="AN2707" s="21">
        <v>5</v>
      </c>
      <c r="AO2707" s="21">
        <v>16</v>
      </c>
      <c r="AP2707" s="21">
        <v>3</v>
      </c>
      <c r="AQ2707" s="21">
        <v>2</v>
      </c>
      <c r="AR2707" s="21">
        <v>13</v>
      </c>
      <c r="AS2707" s="21">
        <v>12</v>
      </c>
      <c r="AT2707" s="12" t="str">
        <f>HYPERLINK("http://www.openstreetmap.org/?mlat=34.6301&amp;mlon=45.3403&amp;zoom=12#map=12/34.6301/45.3403","Maplink1")</f>
        <v>Maplink1</v>
      </c>
      <c r="AU2707" s="12" t="str">
        <f>HYPERLINK("https://www.google.iq/maps/search/+34.6301,45.3403/@34.6301,45.3403,14z?hl=en","Maplink2")</f>
        <v>Maplink2</v>
      </c>
      <c r="AV2707" s="12" t="str">
        <f>HYPERLINK("http://www.bing.com/maps/?lvl=14&amp;sty=h&amp;cp=34.6301~45.3403&amp;sp=point.34.6301_45.3403","Maplink3")</f>
        <v>Maplink3</v>
      </c>
    </row>
    <row r="2708" spans="1:48" ht="15" customHeight="1" x14ac:dyDescent="0.25">
      <c r="A2708" s="19">
        <v>31932</v>
      </c>
      <c r="B2708" s="20" t="s">
        <v>24</v>
      </c>
      <c r="C2708" s="20" t="s">
        <v>4697</v>
      </c>
      <c r="D2708" s="20" t="s">
        <v>1951</v>
      </c>
      <c r="E2708" s="20" t="s">
        <v>2777</v>
      </c>
      <c r="F2708" s="20">
        <v>34.658760000000001</v>
      </c>
      <c r="G2708" s="20">
        <v>45.238819999999997</v>
      </c>
      <c r="H2708" s="22">
        <v>57</v>
      </c>
      <c r="I2708" s="22">
        <v>342</v>
      </c>
      <c r="J2708" s="21">
        <v>2</v>
      </c>
      <c r="K2708" s="21">
        <v>5</v>
      </c>
      <c r="L2708" s="21">
        <v>1</v>
      </c>
      <c r="M2708" s="21"/>
      <c r="N2708" s="21"/>
      <c r="O2708" s="21">
        <v>41</v>
      </c>
      <c r="P2708" s="21"/>
      <c r="Q2708" s="21"/>
      <c r="R2708" s="21"/>
      <c r="S2708" s="21"/>
      <c r="T2708" s="21"/>
      <c r="U2708" s="21"/>
      <c r="V2708" s="21"/>
      <c r="W2708" s="21"/>
      <c r="X2708" s="21">
        <v>8</v>
      </c>
      <c r="Y2708" s="21"/>
      <c r="Z2708" s="21"/>
      <c r="AA2708" s="21"/>
      <c r="AB2708" s="21"/>
      <c r="AC2708" s="21"/>
      <c r="AD2708" s="21"/>
      <c r="AE2708" s="21"/>
      <c r="AF2708" s="21"/>
      <c r="AG2708" s="21"/>
      <c r="AH2708" s="21">
        <v>57</v>
      </c>
      <c r="AI2708" s="21"/>
      <c r="AJ2708" s="21"/>
      <c r="AK2708" s="21"/>
      <c r="AL2708" s="21">
        <v>3</v>
      </c>
      <c r="AM2708" s="21">
        <v>31</v>
      </c>
      <c r="AN2708" s="21">
        <v>3</v>
      </c>
      <c r="AO2708" s="21">
        <v>7</v>
      </c>
      <c r="AP2708" s="21">
        <v>4</v>
      </c>
      <c r="AQ2708" s="21">
        <v>1</v>
      </c>
      <c r="AR2708" s="21">
        <v>1</v>
      </c>
      <c r="AS2708" s="21">
        <v>7</v>
      </c>
      <c r="AT2708" s="12" t="str">
        <f>HYPERLINK("http://www.openstreetmap.org/?mlat=34.6588&amp;mlon=45.2388&amp;zoom=12#map=12/34.6588/45.2388","Maplink1")</f>
        <v>Maplink1</v>
      </c>
      <c r="AU2708" s="12" t="str">
        <f>HYPERLINK("https://www.google.iq/maps/search/+34.6588,45.2388/@34.6588,45.2388,14z?hl=en","Maplink2")</f>
        <v>Maplink2</v>
      </c>
      <c r="AV2708" s="12" t="str">
        <f>HYPERLINK("http://www.bing.com/maps/?lvl=14&amp;sty=h&amp;cp=34.6588~45.2388&amp;sp=point.34.6588_45.2388","Maplink3")</f>
        <v>Maplink3</v>
      </c>
    </row>
    <row r="2709" spans="1:48" ht="15" customHeight="1" x14ac:dyDescent="0.25">
      <c r="A2709" s="19">
        <v>24886</v>
      </c>
      <c r="B2709" s="20" t="s">
        <v>24</v>
      </c>
      <c r="C2709" s="20" t="s">
        <v>4697</v>
      </c>
      <c r="D2709" s="20" t="s">
        <v>4708</v>
      </c>
      <c r="E2709" s="20" t="s">
        <v>4709</v>
      </c>
      <c r="F2709" s="20">
        <v>34.522141679999997</v>
      </c>
      <c r="G2709" s="20">
        <v>45.216427899999999</v>
      </c>
      <c r="H2709" s="22">
        <v>51</v>
      </c>
      <c r="I2709" s="22">
        <v>306</v>
      </c>
      <c r="J2709" s="21"/>
      <c r="K2709" s="21"/>
      <c r="L2709" s="21">
        <v>3</v>
      </c>
      <c r="M2709" s="21"/>
      <c r="N2709" s="21"/>
      <c r="O2709" s="21">
        <v>42</v>
      </c>
      <c r="P2709" s="21"/>
      <c r="Q2709" s="21"/>
      <c r="R2709" s="21"/>
      <c r="S2709" s="21"/>
      <c r="T2709" s="21"/>
      <c r="U2709" s="21"/>
      <c r="V2709" s="21"/>
      <c r="W2709" s="21"/>
      <c r="X2709" s="21">
        <v>6</v>
      </c>
      <c r="Y2709" s="21"/>
      <c r="Z2709" s="21"/>
      <c r="AA2709" s="21"/>
      <c r="AB2709" s="21"/>
      <c r="AC2709" s="21"/>
      <c r="AD2709" s="21"/>
      <c r="AE2709" s="21"/>
      <c r="AF2709" s="21"/>
      <c r="AG2709" s="21"/>
      <c r="AH2709" s="21">
        <v>51</v>
      </c>
      <c r="AI2709" s="21"/>
      <c r="AJ2709" s="21"/>
      <c r="AK2709" s="21"/>
      <c r="AL2709" s="21">
        <v>1</v>
      </c>
      <c r="AM2709" s="21">
        <v>26</v>
      </c>
      <c r="AN2709" s="21">
        <v>8</v>
      </c>
      <c r="AO2709" s="21">
        <v>7</v>
      </c>
      <c r="AP2709" s="21">
        <v>3</v>
      </c>
      <c r="AQ2709" s="21">
        <v>2</v>
      </c>
      <c r="AR2709" s="21"/>
      <c r="AS2709" s="21">
        <v>4</v>
      </c>
      <c r="AT2709" s="12" t="str">
        <f>HYPERLINK("http://www.openstreetmap.org/?mlat=34.5221&amp;mlon=45.2164&amp;zoom=12#map=12/34.5221/45.2164","Maplink1")</f>
        <v>Maplink1</v>
      </c>
      <c r="AU2709" s="12" t="str">
        <f>HYPERLINK("https://www.google.iq/maps/search/+34.5221,45.2164/@34.5221,45.2164,14z?hl=en","Maplink2")</f>
        <v>Maplink2</v>
      </c>
      <c r="AV2709" s="12" t="str">
        <f>HYPERLINK("http://www.bing.com/maps/?lvl=14&amp;sty=h&amp;cp=34.5221~45.2164&amp;sp=point.34.5221_45.2164","Maplink3")</f>
        <v>Maplink3</v>
      </c>
    </row>
    <row r="2710" spans="1:48" ht="15" customHeight="1" x14ac:dyDescent="0.25">
      <c r="A2710" s="19">
        <v>29696</v>
      </c>
      <c r="B2710" s="20" t="s">
        <v>24</v>
      </c>
      <c r="C2710" s="20" t="s">
        <v>4697</v>
      </c>
      <c r="D2710" s="20" t="s">
        <v>4710</v>
      </c>
      <c r="E2710" s="20" t="s">
        <v>4711</v>
      </c>
      <c r="F2710" s="20">
        <v>34.477960000000003</v>
      </c>
      <c r="G2710" s="20">
        <v>45.143140000000002</v>
      </c>
      <c r="H2710" s="22">
        <v>13</v>
      </c>
      <c r="I2710" s="22">
        <v>78</v>
      </c>
      <c r="J2710" s="21"/>
      <c r="K2710" s="21"/>
      <c r="L2710" s="21"/>
      <c r="M2710" s="21"/>
      <c r="N2710" s="21"/>
      <c r="O2710" s="21">
        <v>13</v>
      </c>
      <c r="P2710" s="21"/>
      <c r="Q2710" s="21"/>
      <c r="R2710" s="21"/>
      <c r="S2710" s="21"/>
      <c r="T2710" s="21"/>
      <c r="U2710" s="21"/>
      <c r="V2710" s="21"/>
      <c r="W2710" s="21"/>
      <c r="X2710" s="21"/>
      <c r="Y2710" s="21"/>
      <c r="Z2710" s="21"/>
      <c r="AA2710" s="21"/>
      <c r="AB2710" s="21"/>
      <c r="AC2710" s="21">
        <v>13</v>
      </c>
      <c r="AD2710" s="21"/>
      <c r="AE2710" s="21"/>
      <c r="AF2710" s="21"/>
      <c r="AG2710" s="21"/>
      <c r="AH2710" s="21"/>
      <c r="AI2710" s="21"/>
      <c r="AJ2710" s="21"/>
      <c r="AK2710" s="21"/>
      <c r="AL2710" s="21"/>
      <c r="AM2710" s="21">
        <v>13</v>
      </c>
      <c r="AN2710" s="21"/>
      <c r="AO2710" s="21"/>
      <c r="AP2710" s="21"/>
      <c r="AQ2710" s="21"/>
      <c r="AR2710" s="21"/>
      <c r="AS2710" s="21"/>
      <c r="AT2710" s="12" t="str">
        <f>HYPERLINK("http://www.openstreetmap.org/?mlat=34.478&amp;mlon=45.1431&amp;zoom=12#map=12/34.478/45.1431","Maplink1")</f>
        <v>Maplink1</v>
      </c>
      <c r="AU2710" s="12" t="str">
        <f>HYPERLINK("https://www.google.iq/maps/search/+34.478,45.1431/@34.478,45.1431,14z?hl=en","Maplink2")</f>
        <v>Maplink2</v>
      </c>
      <c r="AV2710" s="12" t="str">
        <f>HYPERLINK("http://www.bing.com/maps/?lvl=14&amp;sty=h&amp;cp=34.478~45.1431&amp;sp=point.34.478_45.1431","Maplink3")</f>
        <v>Maplink3</v>
      </c>
    </row>
    <row r="2711" spans="1:48" ht="15" customHeight="1" x14ac:dyDescent="0.25">
      <c r="A2711" s="19">
        <v>3939</v>
      </c>
      <c r="B2711" s="20" t="s">
        <v>24</v>
      </c>
      <c r="C2711" s="20" t="s">
        <v>4697</v>
      </c>
      <c r="D2711" s="20" t="s">
        <v>4712</v>
      </c>
      <c r="E2711" s="20" t="s">
        <v>4713</v>
      </c>
      <c r="F2711" s="20">
        <v>34.642763799999997</v>
      </c>
      <c r="G2711" s="20">
        <v>45.347865830000003</v>
      </c>
      <c r="H2711" s="22">
        <v>77</v>
      </c>
      <c r="I2711" s="22">
        <v>462</v>
      </c>
      <c r="J2711" s="21">
        <v>2</v>
      </c>
      <c r="K2711" s="21"/>
      <c r="L2711" s="21">
        <v>6</v>
      </c>
      <c r="M2711" s="21"/>
      <c r="N2711" s="21"/>
      <c r="O2711" s="21">
        <v>49</v>
      </c>
      <c r="P2711" s="21"/>
      <c r="Q2711" s="21"/>
      <c r="R2711" s="21"/>
      <c r="S2711" s="21"/>
      <c r="T2711" s="21"/>
      <c r="U2711" s="21"/>
      <c r="V2711" s="21"/>
      <c r="W2711" s="21"/>
      <c r="X2711" s="21">
        <v>20</v>
      </c>
      <c r="Y2711" s="21"/>
      <c r="Z2711" s="21"/>
      <c r="AA2711" s="21"/>
      <c r="AB2711" s="21"/>
      <c r="AC2711" s="21"/>
      <c r="AD2711" s="21"/>
      <c r="AE2711" s="21"/>
      <c r="AF2711" s="21"/>
      <c r="AG2711" s="21"/>
      <c r="AH2711" s="21">
        <v>77</v>
      </c>
      <c r="AI2711" s="21"/>
      <c r="AJ2711" s="21"/>
      <c r="AK2711" s="21"/>
      <c r="AL2711" s="21">
        <v>2</v>
      </c>
      <c r="AM2711" s="21">
        <v>18</v>
      </c>
      <c r="AN2711" s="21">
        <v>5</v>
      </c>
      <c r="AO2711" s="21">
        <v>13</v>
      </c>
      <c r="AP2711" s="21">
        <v>12</v>
      </c>
      <c r="AQ2711" s="21">
        <v>4</v>
      </c>
      <c r="AR2711" s="21">
        <v>8</v>
      </c>
      <c r="AS2711" s="21">
        <v>15</v>
      </c>
      <c r="AT2711" s="12" t="str">
        <f>HYPERLINK("http://www.openstreetmap.org/?mlat=34.6428&amp;mlon=45.3479&amp;zoom=12#map=12/34.6428/45.3479","Maplink1")</f>
        <v>Maplink1</v>
      </c>
      <c r="AU2711" s="12" t="str">
        <f>HYPERLINK("https://www.google.iq/maps/search/+34.6428,45.3479/@34.6428,45.3479,14z?hl=en","Maplink2")</f>
        <v>Maplink2</v>
      </c>
      <c r="AV2711" s="12" t="str">
        <f>HYPERLINK("http://www.bing.com/maps/?lvl=14&amp;sty=h&amp;cp=34.6428~45.3479&amp;sp=point.34.6428_45.3479","Maplink3")</f>
        <v>Maplink3</v>
      </c>
    </row>
    <row r="2712" spans="1:48" ht="15" customHeight="1" x14ac:dyDescent="0.25">
      <c r="A2712" s="19">
        <v>23768</v>
      </c>
      <c r="B2712" s="20" t="s">
        <v>24</v>
      </c>
      <c r="C2712" s="20" t="s">
        <v>4697</v>
      </c>
      <c r="D2712" s="20" t="s">
        <v>4714</v>
      </c>
      <c r="E2712" s="20" t="s">
        <v>4715</v>
      </c>
      <c r="F2712" s="20">
        <v>34.613787139999999</v>
      </c>
      <c r="G2712" s="20">
        <v>45.314883500000001</v>
      </c>
      <c r="H2712" s="22">
        <v>48</v>
      </c>
      <c r="I2712" s="22">
        <v>288</v>
      </c>
      <c r="J2712" s="21">
        <v>6</v>
      </c>
      <c r="K2712" s="21"/>
      <c r="L2712" s="21">
        <v>3</v>
      </c>
      <c r="M2712" s="21"/>
      <c r="N2712" s="21"/>
      <c r="O2712" s="21">
        <v>26</v>
      </c>
      <c r="P2712" s="21"/>
      <c r="Q2712" s="21"/>
      <c r="R2712" s="21"/>
      <c r="S2712" s="21"/>
      <c r="T2712" s="21"/>
      <c r="U2712" s="21"/>
      <c r="V2712" s="21">
        <v>1</v>
      </c>
      <c r="W2712" s="21"/>
      <c r="X2712" s="21">
        <v>12</v>
      </c>
      <c r="Y2712" s="21"/>
      <c r="Z2712" s="21"/>
      <c r="AA2712" s="21"/>
      <c r="AB2712" s="21"/>
      <c r="AC2712" s="21"/>
      <c r="AD2712" s="21"/>
      <c r="AE2712" s="21"/>
      <c r="AF2712" s="21"/>
      <c r="AG2712" s="21"/>
      <c r="AH2712" s="21">
        <v>48</v>
      </c>
      <c r="AI2712" s="21"/>
      <c r="AJ2712" s="21"/>
      <c r="AK2712" s="21"/>
      <c r="AL2712" s="21">
        <v>5</v>
      </c>
      <c r="AM2712" s="21">
        <v>9</v>
      </c>
      <c r="AN2712" s="21">
        <v>7</v>
      </c>
      <c r="AO2712" s="21">
        <v>9</v>
      </c>
      <c r="AP2712" s="21">
        <v>5</v>
      </c>
      <c r="AQ2712" s="21">
        <v>5</v>
      </c>
      <c r="AR2712" s="21"/>
      <c r="AS2712" s="21">
        <v>8</v>
      </c>
      <c r="AT2712" s="12" t="str">
        <f>HYPERLINK("http://www.openstreetmap.org/?mlat=34.6138&amp;mlon=45.3149&amp;zoom=12#map=12/34.6138/45.3149","Maplink1")</f>
        <v>Maplink1</v>
      </c>
      <c r="AU2712" s="12" t="str">
        <f>HYPERLINK("https://www.google.iq/maps/search/+34.6138,45.3149/@34.6138,45.3149,14z?hl=en","Maplink2")</f>
        <v>Maplink2</v>
      </c>
      <c r="AV2712" s="12" t="str">
        <f>HYPERLINK("http://www.bing.com/maps/?lvl=14&amp;sty=h&amp;cp=34.6138~45.3149&amp;sp=point.34.6138_45.3149","Maplink3")</f>
        <v>Maplink3</v>
      </c>
    </row>
    <row r="2713" spans="1:48" ht="15" customHeight="1" x14ac:dyDescent="0.25">
      <c r="A2713" s="19">
        <v>6285</v>
      </c>
      <c r="B2713" s="20" t="s">
        <v>24</v>
      </c>
      <c r="C2713" s="20" t="s">
        <v>4697</v>
      </c>
      <c r="D2713" s="20" t="s">
        <v>4596</v>
      </c>
      <c r="E2713" s="20" t="s">
        <v>4597</v>
      </c>
      <c r="F2713" s="20">
        <v>34.619790809999998</v>
      </c>
      <c r="G2713" s="20">
        <v>45.318433910000003</v>
      </c>
      <c r="H2713" s="22">
        <v>78</v>
      </c>
      <c r="I2713" s="22">
        <v>468</v>
      </c>
      <c r="J2713" s="21">
        <v>14</v>
      </c>
      <c r="K2713" s="21"/>
      <c r="L2713" s="21">
        <v>6</v>
      </c>
      <c r="M2713" s="21"/>
      <c r="N2713" s="21"/>
      <c r="O2713" s="21">
        <v>51</v>
      </c>
      <c r="P2713" s="21"/>
      <c r="Q2713" s="21"/>
      <c r="R2713" s="21"/>
      <c r="S2713" s="21"/>
      <c r="T2713" s="21"/>
      <c r="U2713" s="21"/>
      <c r="V2713" s="21"/>
      <c r="W2713" s="21"/>
      <c r="X2713" s="21">
        <v>7</v>
      </c>
      <c r="Y2713" s="21"/>
      <c r="Z2713" s="21"/>
      <c r="AA2713" s="21"/>
      <c r="AB2713" s="21"/>
      <c r="AC2713" s="21"/>
      <c r="AD2713" s="21"/>
      <c r="AE2713" s="21"/>
      <c r="AF2713" s="21"/>
      <c r="AG2713" s="21"/>
      <c r="AH2713" s="21">
        <v>78</v>
      </c>
      <c r="AI2713" s="21"/>
      <c r="AJ2713" s="21"/>
      <c r="AK2713" s="21"/>
      <c r="AL2713" s="21">
        <v>12</v>
      </c>
      <c r="AM2713" s="21">
        <v>15</v>
      </c>
      <c r="AN2713" s="21">
        <v>8</v>
      </c>
      <c r="AO2713" s="21">
        <v>15</v>
      </c>
      <c r="AP2713" s="21">
        <v>10</v>
      </c>
      <c r="AQ2713" s="21">
        <v>4</v>
      </c>
      <c r="AR2713" s="21">
        <v>9</v>
      </c>
      <c r="AS2713" s="21">
        <v>5</v>
      </c>
      <c r="AT2713" s="12" t="str">
        <f>HYPERLINK("http://www.openstreetmap.org/?mlat=34.6198&amp;mlon=45.3184&amp;zoom=12#map=12/34.6198/45.3184","Maplink1")</f>
        <v>Maplink1</v>
      </c>
      <c r="AU2713" s="12" t="str">
        <f>HYPERLINK("https://www.google.iq/maps/search/+34.6198,45.3184/@34.6198,45.3184,14z?hl=en","Maplink2")</f>
        <v>Maplink2</v>
      </c>
      <c r="AV2713" s="12" t="str">
        <f>HYPERLINK("http://www.bing.com/maps/?lvl=14&amp;sty=h&amp;cp=34.6198~45.3184&amp;sp=point.34.6198_45.3184","Maplink3")</f>
        <v>Maplink3</v>
      </c>
    </row>
    <row r="2714" spans="1:48" ht="15" customHeight="1" x14ac:dyDescent="0.25">
      <c r="A2714" s="19">
        <v>21861</v>
      </c>
      <c r="B2714" s="20" t="s">
        <v>24</v>
      </c>
      <c r="C2714" s="20" t="s">
        <v>4697</v>
      </c>
      <c r="D2714" s="20" t="s">
        <v>4716</v>
      </c>
      <c r="E2714" s="20" t="s">
        <v>4717</v>
      </c>
      <c r="F2714" s="20">
        <v>34.661580000000001</v>
      </c>
      <c r="G2714" s="20">
        <v>45.231960000000001</v>
      </c>
      <c r="H2714" s="22">
        <v>179</v>
      </c>
      <c r="I2714" s="22">
        <v>1074</v>
      </c>
      <c r="J2714" s="21">
        <v>7</v>
      </c>
      <c r="K2714" s="21">
        <v>42</v>
      </c>
      <c r="L2714" s="21">
        <v>5</v>
      </c>
      <c r="M2714" s="21"/>
      <c r="N2714" s="21"/>
      <c r="O2714" s="21">
        <v>94</v>
      </c>
      <c r="P2714" s="21"/>
      <c r="Q2714" s="21"/>
      <c r="R2714" s="21">
        <v>1</v>
      </c>
      <c r="S2714" s="21"/>
      <c r="T2714" s="21"/>
      <c r="U2714" s="21"/>
      <c r="V2714" s="21"/>
      <c r="W2714" s="21"/>
      <c r="X2714" s="21">
        <v>30</v>
      </c>
      <c r="Y2714" s="21"/>
      <c r="Z2714" s="21"/>
      <c r="AA2714" s="21"/>
      <c r="AB2714" s="21"/>
      <c r="AC2714" s="21"/>
      <c r="AD2714" s="21"/>
      <c r="AE2714" s="21"/>
      <c r="AF2714" s="21"/>
      <c r="AG2714" s="21"/>
      <c r="AH2714" s="21">
        <v>179</v>
      </c>
      <c r="AI2714" s="21"/>
      <c r="AJ2714" s="21"/>
      <c r="AK2714" s="21"/>
      <c r="AL2714" s="21">
        <v>33</v>
      </c>
      <c r="AM2714" s="21">
        <v>40</v>
      </c>
      <c r="AN2714" s="21">
        <v>15</v>
      </c>
      <c r="AO2714" s="21">
        <v>40</v>
      </c>
      <c r="AP2714" s="21">
        <v>18</v>
      </c>
      <c r="AQ2714" s="21">
        <v>4</v>
      </c>
      <c r="AR2714" s="21">
        <v>1</v>
      </c>
      <c r="AS2714" s="21">
        <v>28</v>
      </c>
      <c r="AT2714" s="12" t="str">
        <f>HYPERLINK("http://www.openstreetmap.org/?mlat=34.6616&amp;mlon=45.232&amp;zoom=12#map=12/34.6616/45.232","Maplink1")</f>
        <v>Maplink1</v>
      </c>
      <c r="AU2714" s="12" t="str">
        <f>HYPERLINK("https://www.google.iq/maps/search/+34.6616,45.232/@34.6616,45.232,14z?hl=en","Maplink2")</f>
        <v>Maplink2</v>
      </c>
      <c r="AV2714" s="12" t="str">
        <f>HYPERLINK("http://www.bing.com/maps/?lvl=14&amp;sty=h&amp;cp=34.6616~45.232&amp;sp=point.34.6616_45.232","Maplink3")</f>
        <v>Maplink3</v>
      </c>
    </row>
    <row r="2715" spans="1:48" ht="15" customHeight="1" x14ac:dyDescent="0.25">
      <c r="A2715" s="19">
        <v>5849</v>
      </c>
      <c r="B2715" s="20" t="s">
        <v>24</v>
      </c>
      <c r="C2715" s="20" t="s">
        <v>4697</v>
      </c>
      <c r="D2715" s="20" t="s">
        <v>4718</v>
      </c>
      <c r="E2715" s="20" t="s">
        <v>4719</v>
      </c>
      <c r="F2715" s="20">
        <v>34.560969999999998</v>
      </c>
      <c r="G2715" s="20">
        <v>45.163310000000003</v>
      </c>
      <c r="H2715" s="22">
        <v>4</v>
      </c>
      <c r="I2715" s="22">
        <v>24</v>
      </c>
      <c r="J2715" s="21"/>
      <c r="K2715" s="21"/>
      <c r="L2715" s="21"/>
      <c r="M2715" s="21"/>
      <c r="N2715" s="21"/>
      <c r="O2715" s="21">
        <v>4</v>
      </c>
      <c r="P2715" s="21"/>
      <c r="Q2715" s="21"/>
      <c r="R2715" s="21"/>
      <c r="S2715" s="21"/>
      <c r="T2715" s="21"/>
      <c r="U2715" s="21"/>
      <c r="V2715" s="21"/>
      <c r="W2715" s="21"/>
      <c r="X2715" s="21"/>
      <c r="Y2715" s="21"/>
      <c r="Z2715" s="21"/>
      <c r="AA2715" s="21"/>
      <c r="AB2715" s="21"/>
      <c r="AC2715" s="21"/>
      <c r="AD2715" s="21"/>
      <c r="AE2715" s="21"/>
      <c r="AF2715" s="21"/>
      <c r="AG2715" s="21"/>
      <c r="AH2715" s="21">
        <v>4</v>
      </c>
      <c r="AI2715" s="21"/>
      <c r="AJ2715" s="21"/>
      <c r="AK2715" s="21"/>
      <c r="AL2715" s="21"/>
      <c r="AM2715" s="21">
        <v>4</v>
      </c>
      <c r="AN2715" s="21"/>
      <c r="AO2715" s="21"/>
      <c r="AP2715" s="21"/>
      <c r="AQ2715" s="21"/>
      <c r="AR2715" s="21"/>
      <c r="AS2715" s="21"/>
      <c r="AT2715" s="12" t="str">
        <f>HYPERLINK("http://www.openstreetmap.org/?mlat=34.561&amp;mlon=45.1633&amp;zoom=12#map=12/34.561/45.1633","Maplink1")</f>
        <v>Maplink1</v>
      </c>
      <c r="AU2715" s="12" t="str">
        <f>HYPERLINK("https://www.google.iq/maps/search/+34.561,45.1633/@34.561,45.1633,14z?hl=en","Maplink2")</f>
        <v>Maplink2</v>
      </c>
      <c r="AV2715" s="12" t="str">
        <f>HYPERLINK("http://www.bing.com/maps/?lvl=14&amp;sty=h&amp;cp=34.561~45.1633&amp;sp=point.34.561_45.1633","Maplink3")</f>
        <v>Maplink3</v>
      </c>
    </row>
    <row r="2716" spans="1:48" ht="15" customHeight="1" x14ac:dyDescent="0.25">
      <c r="A2716" s="19">
        <v>23767</v>
      </c>
      <c r="B2716" s="20" t="s">
        <v>24</v>
      </c>
      <c r="C2716" s="20" t="s">
        <v>4697</v>
      </c>
      <c r="D2716" s="20" t="s">
        <v>4720</v>
      </c>
      <c r="E2716" s="20" t="s">
        <v>4721</v>
      </c>
      <c r="F2716" s="20">
        <v>34.635379880000002</v>
      </c>
      <c r="G2716" s="20">
        <v>45.33813189</v>
      </c>
      <c r="H2716" s="22">
        <v>34</v>
      </c>
      <c r="I2716" s="22">
        <v>204</v>
      </c>
      <c r="J2716" s="21">
        <v>6</v>
      </c>
      <c r="K2716" s="21">
        <v>1</v>
      </c>
      <c r="L2716" s="21"/>
      <c r="M2716" s="21"/>
      <c r="N2716" s="21"/>
      <c r="O2716" s="21">
        <v>23</v>
      </c>
      <c r="P2716" s="21"/>
      <c r="Q2716" s="21"/>
      <c r="R2716" s="21"/>
      <c r="S2716" s="21"/>
      <c r="T2716" s="21"/>
      <c r="U2716" s="21"/>
      <c r="V2716" s="21">
        <v>1</v>
      </c>
      <c r="W2716" s="21"/>
      <c r="X2716" s="21">
        <v>3</v>
      </c>
      <c r="Y2716" s="21"/>
      <c r="Z2716" s="21"/>
      <c r="AA2716" s="21"/>
      <c r="AB2716" s="21"/>
      <c r="AC2716" s="21"/>
      <c r="AD2716" s="21"/>
      <c r="AE2716" s="21"/>
      <c r="AF2716" s="21"/>
      <c r="AG2716" s="21"/>
      <c r="AH2716" s="21">
        <v>34</v>
      </c>
      <c r="AI2716" s="21"/>
      <c r="AJ2716" s="21"/>
      <c r="AK2716" s="21"/>
      <c r="AL2716" s="21">
        <v>6</v>
      </c>
      <c r="AM2716" s="21">
        <v>9</v>
      </c>
      <c r="AN2716" s="21">
        <v>2</v>
      </c>
      <c r="AO2716" s="21">
        <v>4</v>
      </c>
      <c r="AP2716" s="21">
        <v>8</v>
      </c>
      <c r="AQ2716" s="21"/>
      <c r="AR2716" s="21">
        <v>2</v>
      </c>
      <c r="AS2716" s="21">
        <v>3</v>
      </c>
      <c r="AT2716" s="12" t="str">
        <f>HYPERLINK("http://www.openstreetmap.org/?mlat=34.6354&amp;mlon=45.3381&amp;zoom=12#map=12/34.6354/45.3381","Maplink1")</f>
        <v>Maplink1</v>
      </c>
      <c r="AU2716" s="12" t="str">
        <f>HYPERLINK("https://www.google.iq/maps/search/+34.6354,45.3381/@34.6354,45.3381,14z?hl=en","Maplink2")</f>
        <v>Maplink2</v>
      </c>
      <c r="AV2716" s="12" t="str">
        <f>HYPERLINK("http://www.bing.com/maps/?lvl=14&amp;sty=h&amp;cp=34.6354~45.3381&amp;sp=point.34.6354_45.3381","Maplink3")</f>
        <v>Maplink3</v>
      </c>
    </row>
    <row r="2717" spans="1:48" ht="15" customHeight="1" x14ac:dyDescent="0.25">
      <c r="A2717" s="19">
        <v>5995</v>
      </c>
      <c r="B2717" s="20" t="s">
        <v>24</v>
      </c>
      <c r="C2717" s="20" t="s">
        <v>4697</v>
      </c>
      <c r="D2717" s="20" t="s">
        <v>4722</v>
      </c>
      <c r="E2717" s="20" t="s">
        <v>4723</v>
      </c>
      <c r="F2717" s="20">
        <v>34.589195850000003</v>
      </c>
      <c r="G2717" s="20">
        <v>45.287694510000001</v>
      </c>
      <c r="H2717" s="22">
        <v>119</v>
      </c>
      <c r="I2717" s="22">
        <v>714</v>
      </c>
      <c r="J2717" s="21">
        <v>2</v>
      </c>
      <c r="K2717" s="21">
        <v>1</v>
      </c>
      <c r="L2717" s="21"/>
      <c r="M2717" s="21"/>
      <c r="N2717" s="21"/>
      <c r="O2717" s="21">
        <v>101</v>
      </c>
      <c r="P2717" s="21"/>
      <c r="Q2717" s="21"/>
      <c r="R2717" s="21"/>
      <c r="S2717" s="21"/>
      <c r="T2717" s="21"/>
      <c r="U2717" s="21"/>
      <c r="V2717" s="21"/>
      <c r="W2717" s="21"/>
      <c r="X2717" s="21">
        <v>15</v>
      </c>
      <c r="Y2717" s="21"/>
      <c r="Z2717" s="21"/>
      <c r="AA2717" s="21"/>
      <c r="AB2717" s="21"/>
      <c r="AC2717" s="21"/>
      <c r="AD2717" s="21"/>
      <c r="AE2717" s="21"/>
      <c r="AF2717" s="21"/>
      <c r="AG2717" s="21"/>
      <c r="AH2717" s="21">
        <v>119</v>
      </c>
      <c r="AI2717" s="21"/>
      <c r="AJ2717" s="21"/>
      <c r="AK2717" s="21"/>
      <c r="AL2717" s="21">
        <v>3</v>
      </c>
      <c r="AM2717" s="21">
        <v>25</v>
      </c>
      <c r="AN2717" s="21">
        <v>12</v>
      </c>
      <c r="AO2717" s="21">
        <v>33</v>
      </c>
      <c r="AP2717" s="21">
        <v>20</v>
      </c>
      <c r="AQ2717" s="21">
        <v>5</v>
      </c>
      <c r="AR2717" s="21">
        <v>10</v>
      </c>
      <c r="AS2717" s="21">
        <v>11</v>
      </c>
      <c r="AT2717" s="12" t="str">
        <f>HYPERLINK("http://www.openstreetmap.org/?mlat=34.5892&amp;mlon=45.2877&amp;zoom=12#map=12/34.5892/45.2877","Maplink1")</f>
        <v>Maplink1</v>
      </c>
      <c r="AU2717" s="12" t="str">
        <f>HYPERLINK("https://www.google.iq/maps/search/+34.5892,45.2877/@34.5892,45.2877,14z?hl=en","Maplink2")</f>
        <v>Maplink2</v>
      </c>
      <c r="AV2717" s="12" t="str">
        <f>HYPERLINK("http://www.bing.com/maps/?lvl=14&amp;sty=h&amp;cp=34.5892~45.2877&amp;sp=point.34.5892_45.2877","Maplink3")</f>
        <v>Maplink3</v>
      </c>
    </row>
    <row r="2718" spans="1:48" ht="15" customHeight="1" x14ac:dyDescent="0.25">
      <c r="A2718" s="19">
        <v>24892</v>
      </c>
      <c r="B2718" s="20" t="s">
        <v>24</v>
      </c>
      <c r="C2718" s="20" t="s">
        <v>4697</v>
      </c>
      <c r="D2718" s="20" t="s">
        <v>4724</v>
      </c>
      <c r="E2718" s="20" t="s">
        <v>4725</v>
      </c>
      <c r="F2718" s="20">
        <v>34.615747239999997</v>
      </c>
      <c r="G2718" s="20">
        <v>45.307975200000001</v>
      </c>
      <c r="H2718" s="22">
        <v>94</v>
      </c>
      <c r="I2718" s="22">
        <v>564</v>
      </c>
      <c r="J2718" s="21">
        <v>1</v>
      </c>
      <c r="K2718" s="21"/>
      <c r="L2718" s="21">
        <v>4</v>
      </c>
      <c r="M2718" s="21"/>
      <c r="N2718" s="21"/>
      <c r="O2718" s="21">
        <v>73</v>
      </c>
      <c r="P2718" s="21"/>
      <c r="Q2718" s="21"/>
      <c r="R2718" s="21"/>
      <c r="S2718" s="21"/>
      <c r="T2718" s="21"/>
      <c r="U2718" s="21"/>
      <c r="V2718" s="21"/>
      <c r="W2718" s="21"/>
      <c r="X2718" s="21">
        <v>16</v>
      </c>
      <c r="Y2718" s="21"/>
      <c r="Z2718" s="21"/>
      <c r="AA2718" s="21"/>
      <c r="AB2718" s="21"/>
      <c r="AC2718" s="21"/>
      <c r="AD2718" s="21"/>
      <c r="AE2718" s="21"/>
      <c r="AF2718" s="21"/>
      <c r="AG2718" s="21"/>
      <c r="AH2718" s="21">
        <v>94</v>
      </c>
      <c r="AI2718" s="21"/>
      <c r="AJ2718" s="21"/>
      <c r="AK2718" s="21"/>
      <c r="AL2718" s="21">
        <v>1</v>
      </c>
      <c r="AM2718" s="21">
        <v>30</v>
      </c>
      <c r="AN2718" s="21">
        <v>4</v>
      </c>
      <c r="AO2718" s="21">
        <v>20</v>
      </c>
      <c r="AP2718" s="21">
        <v>5</v>
      </c>
      <c r="AQ2718" s="21">
        <v>4</v>
      </c>
      <c r="AR2718" s="21">
        <v>18</v>
      </c>
      <c r="AS2718" s="21">
        <v>12</v>
      </c>
      <c r="AT2718" s="12" t="str">
        <f>HYPERLINK("http://www.openstreetmap.org/?mlat=34.6157&amp;mlon=45.308&amp;zoom=12#map=12/34.6157/45.308","Maplink1")</f>
        <v>Maplink1</v>
      </c>
      <c r="AU2718" s="12" t="str">
        <f>HYPERLINK("https://www.google.iq/maps/search/+34.6157,45.308/@34.6157,45.308,14z?hl=en","Maplink2")</f>
        <v>Maplink2</v>
      </c>
      <c r="AV2718" s="12" t="str">
        <f>HYPERLINK("http://www.bing.com/maps/?lvl=14&amp;sty=h&amp;cp=34.6157~45.308&amp;sp=point.34.6157_45.308","Maplink3")</f>
        <v>Maplink3</v>
      </c>
    </row>
    <row r="2719" spans="1:48" ht="15" customHeight="1" x14ac:dyDescent="0.25">
      <c r="A2719" s="19">
        <v>21982</v>
      </c>
      <c r="B2719" s="20" t="s">
        <v>24</v>
      </c>
      <c r="C2719" s="20" t="s">
        <v>4697</v>
      </c>
      <c r="D2719" s="20" t="s">
        <v>4726</v>
      </c>
      <c r="E2719" s="20" t="s">
        <v>4725</v>
      </c>
      <c r="F2719" s="20">
        <v>34.65784</v>
      </c>
      <c r="G2719" s="20">
        <v>45.250770000000003</v>
      </c>
      <c r="H2719" s="22">
        <v>113</v>
      </c>
      <c r="I2719" s="22">
        <v>678</v>
      </c>
      <c r="J2719" s="21">
        <v>3</v>
      </c>
      <c r="K2719" s="21">
        <v>15</v>
      </c>
      <c r="L2719" s="21">
        <v>5</v>
      </c>
      <c r="M2719" s="21"/>
      <c r="N2719" s="21"/>
      <c r="O2719" s="21">
        <v>64</v>
      </c>
      <c r="P2719" s="21"/>
      <c r="Q2719" s="21"/>
      <c r="R2719" s="21">
        <v>1</v>
      </c>
      <c r="S2719" s="21"/>
      <c r="T2719" s="21"/>
      <c r="U2719" s="21"/>
      <c r="V2719" s="21"/>
      <c r="W2719" s="21"/>
      <c r="X2719" s="21">
        <v>25</v>
      </c>
      <c r="Y2719" s="21"/>
      <c r="Z2719" s="21"/>
      <c r="AA2719" s="21"/>
      <c r="AB2719" s="21"/>
      <c r="AC2719" s="21"/>
      <c r="AD2719" s="21"/>
      <c r="AE2719" s="21"/>
      <c r="AF2719" s="21"/>
      <c r="AG2719" s="21"/>
      <c r="AH2719" s="21">
        <v>113</v>
      </c>
      <c r="AI2719" s="21"/>
      <c r="AJ2719" s="21"/>
      <c r="AK2719" s="21"/>
      <c r="AL2719" s="21">
        <v>18</v>
      </c>
      <c r="AM2719" s="21">
        <v>18</v>
      </c>
      <c r="AN2719" s="21">
        <v>4</v>
      </c>
      <c r="AO2719" s="21">
        <v>37</v>
      </c>
      <c r="AP2719" s="21">
        <v>6</v>
      </c>
      <c r="AQ2719" s="21">
        <v>3</v>
      </c>
      <c r="AR2719" s="21">
        <v>4</v>
      </c>
      <c r="AS2719" s="21">
        <v>23</v>
      </c>
      <c r="AT2719" s="12" t="str">
        <f>HYPERLINK("http://www.openstreetmap.org/?mlat=34.6578&amp;mlon=45.2508&amp;zoom=12#map=12/34.6578/45.2508","Maplink1")</f>
        <v>Maplink1</v>
      </c>
      <c r="AU2719" s="12" t="str">
        <f>HYPERLINK("https://www.google.iq/maps/search/+34.6578,45.2508/@34.6578,45.2508,14z?hl=en","Maplink2")</f>
        <v>Maplink2</v>
      </c>
      <c r="AV2719" s="12" t="str">
        <f>HYPERLINK("http://www.bing.com/maps/?lvl=14&amp;sty=h&amp;cp=34.6578~45.2508&amp;sp=point.34.6578_45.2508","Maplink3")</f>
        <v>Maplink3</v>
      </c>
    </row>
    <row r="2720" spans="1:48" ht="15" customHeight="1" x14ac:dyDescent="0.25">
      <c r="A2720" s="19">
        <v>6286</v>
      </c>
      <c r="B2720" s="20" t="s">
        <v>24</v>
      </c>
      <c r="C2720" s="20" t="s">
        <v>4697</v>
      </c>
      <c r="D2720" s="20" t="s">
        <v>4727</v>
      </c>
      <c r="E2720" s="20" t="s">
        <v>4728</v>
      </c>
      <c r="F2720" s="20">
        <v>34.637206620000001</v>
      </c>
      <c r="G2720" s="20">
        <v>45.302353609999997</v>
      </c>
      <c r="H2720" s="22">
        <v>205</v>
      </c>
      <c r="I2720" s="22">
        <v>1230</v>
      </c>
      <c r="J2720" s="21">
        <v>5</v>
      </c>
      <c r="K2720" s="21"/>
      <c r="L2720" s="21">
        <v>7</v>
      </c>
      <c r="M2720" s="21"/>
      <c r="N2720" s="21"/>
      <c r="O2720" s="21">
        <v>126</v>
      </c>
      <c r="P2720" s="21"/>
      <c r="Q2720" s="21"/>
      <c r="R2720" s="21"/>
      <c r="S2720" s="21"/>
      <c r="T2720" s="21"/>
      <c r="U2720" s="21"/>
      <c r="V2720" s="21"/>
      <c r="W2720" s="21"/>
      <c r="X2720" s="21">
        <v>67</v>
      </c>
      <c r="Y2720" s="21"/>
      <c r="Z2720" s="21"/>
      <c r="AA2720" s="21"/>
      <c r="AB2720" s="21"/>
      <c r="AC2720" s="21"/>
      <c r="AD2720" s="21"/>
      <c r="AE2720" s="21"/>
      <c r="AF2720" s="21"/>
      <c r="AG2720" s="21"/>
      <c r="AH2720" s="21">
        <v>205</v>
      </c>
      <c r="AI2720" s="21"/>
      <c r="AJ2720" s="21"/>
      <c r="AK2720" s="21"/>
      <c r="AL2720" s="21">
        <v>2</v>
      </c>
      <c r="AM2720" s="21">
        <v>27</v>
      </c>
      <c r="AN2720" s="21">
        <v>10</v>
      </c>
      <c r="AO2720" s="21">
        <v>36</v>
      </c>
      <c r="AP2720" s="21">
        <v>21</v>
      </c>
      <c r="AQ2720" s="21">
        <v>6</v>
      </c>
      <c r="AR2720" s="21">
        <v>27</v>
      </c>
      <c r="AS2720" s="21">
        <v>76</v>
      </c>
      <c r="AT2720" s="12" t="str">
        <f>HYPERLINK("http://www.openstreetmap.org/?mlat=34.6372&amp;mlon=45.3024&amp;zoom=12#map=12/34.6372/45.3024","Maplink1")</f>
        <v>Maplink1</v>
      </c>
      <c r="AU2720" s="12" t="str">
        <f>HYPERLINK("https://www.google.iq/maps/search/+34.6372,45.3024/@34.6372,45.3024,14z?hl=en","Maplink2")</f>
        <v>Maplink2</v>
      </c>
      <c r="AV2720" s="12" t="str">
        <f>HYPERLINK("http://www.bing.com/maps/?lvl=14&amp;sty=h&amp;cp=34.6372~45.3024&amp;sp=point.34.6372_45.3024","Maplink3")</f>
        <v>Maplink3</v>
      </c>
    </row>
    <row r="2721" spans="1:48" ht="15" customHeight="1" x14ac:dyDescent="0.25">
      <c r="A2721" s="19">
        <v>24893</v>
      </c>
      <c r="B2721" s="20" t="s">
        <v>24</v>
      </c>
      <c r="C2721" s="20" t="s">
        <v>4697</v>
      </c>
      <c r="D2721" s="20" t="s">
        <v>4729</v>
      </c>
      <c r="E2721" s="20" t="s">
        <v>4730</v>
      </c>
      <c r="F2721" s="20">
        <v>34.640675790000003</v>
      </c>
      <c r="G2721" s="20">
        <v>45.308988659999997</v>
      </c>
      <c r="H2721" s="22">
        <v>59</v>
      </c>
      <c r="I2721" s="22">
        <v>354</v>
      </c>
      <c r="J2721" s="21">
        <v>3</v>
      </c>
      <c r="K2721" s="21"/>
      <c r="L2721" s="21">
        <v>2</v>
      </c>
      <c r="M2721" s="21"/>
      <c r="N2721" s="21"/>
      <c r="O2721" s="21">
        <v>48</v>
      </c>
      <c r="P2721" s="21"/>
      <c r="Q2721" s="21"/>
      <c r="R2721" s="21"/>
      <c r="S2721" s="21"/>
      <c r="T2721" s="21"/>
      <c r="U2721" s="21"/>
      <c r="V2721" s="21"/>
      <c r="W2721" s="21"/>
      <c r="X2721" s="21">
        <v>6</v>
      </c>
      <c r="Y2721" s="21"/>
      <c r="Z2721" s="21"/>
      <c r="AA2721" s="21"/>
      <c r="AB2721" s="21"/>
      <c r="AC2721" s="21"/>
      <c r="AD2721" s="21"/>
      <c r="AE2721" s="21"/>
      <c r="AF2721" s="21"/>
      <c r="AG2721" s="21"/>
      <c r="AH2721" s="21">
        <v>59</v>
      </c>
      <c r="AI2721" s="21"/>
      <c r="AJ2721" s="21"/>
      <c r="AK2721" s="21"/>
      <c r="AL2721" s="21">
        <v>2</v>
      </c>
      <c r="AM2721" s="21">
        <v>7</v>
      </c>
      <c r="AN2721" s="21">
        <v>3</v>
      </c>
      <c r="AO2721" s="21">
        <v>11</v>
      </c>
      <c r="AP2721" s="21">
        <v>6</v>
      </c>
      <c r="AQ2721" s="21">
        <v>7</v>
      </c>
      <c r="AR2721" s="21">
        <v>9</v>
      </c>
      <c r="AS2721" s="21">
        <v>14</v>
      </c>
      <c r="AT2721" s="12" t="str">
        <f>HYPERLINK("http://www.openstreetmap.org/?mlat=34.6407&amp;mlon=45.309&amp;zoom=12#map=12/34.6407/45.309","Maplink1")</f>
        <v>Maplink1</v>
      </c>
      <c r="AU2721" s="12" t="str">
        <f>HYPERLINK("https://www.google.iq/maps/search/+34.6407,45.309/@34.6407,45.309,14z?hl=en","Maplink2")</f>
        <v>Maplink2</v>
      </c>
      <c r="AV2721" s="12" t="str">
        <f>HYPERLINK("http://www.bing.com/maps/?lvl=14&amp;sty=h&amp;cp=34.6407~45.309&amp;sp=point.34.6407_45.309","Maplink3")</f>
        <v>Maplink3</v>
      </c>
    </row>
    <row r="2722" spans="1:48" ht="15" customHeight="1" x14ac:dyDescent="0.25">
      <c r="A2722" s="19">
        <v>32000</v>
      </c>
      <c r="B2722" s="20" t="s">
        <v>24</v>
      </c>
      <c r="C2722" s="20" t="s">
        <v>4697</v>
      </c>
      <c r="D2722" s="20" t="s">
        <v>2659</v>
      </c>
      <c r="E2722" s="20" t="s">
        <v>2660</v>
      </c>
      <c r="F2722" s="20">
        <v>34.631270000000001</v>
      </c>
      <c r="G2722" s="20">
        <v>45.322890000000001</v>
      </c>
      <c r="H2722" s="22">
        <v>87</v>
      </c>
      <c r="I2722" s="22">
        <v>522</v>
      </c>
      <c r="J2722" s="21">
        <v>6</v>
      </c>
      <c r="K2722" s="21"/>
      <c r="L2722" s="21">
        <v>3</v>
      </c>
      <c r="M2722" s="21"/>
      <c r="N2722" s="21"/>
      <c r="O2722" s="21">
        <v>67</v>
      </c>
      <c r="P2722" s="21"/>
      <c r="Q2722" s="21"/>
      <c r="R2722" s="21"/>
      <c r="S2722" s="21"/>
      <c r="T2722" s="21"/>
      <c r="U2722" s="21"/>
      <c r="V2722" s="21"/>
      <c r="W2722" s="21"/>
      <c r="X2722" s="21">
        <v>11</v>
      </c>
      <c r="Y2722" s="21"/>
      <c r="Z2722" s="21"/>
      <c r="AA2722" s="21"/>
      <c r="AB2722" s="21"/>
      <c r="AC2722" s="21"/>
      <c r="AD2722" s="21"/>
      <c r="AE2722" s="21"/>
      <c r="AF2722" s="21"/>
      <c r="AG2722" s="21"/>
      <c r="AH2722" s="21">
        <v>87</v>
      </c>
      <c r="AI2722" s="21"/>
      <c r="AJ2722" s="21"/>
      <c r="AK2722" s="21"/>
      <c r="AL2722" s="21">
        <v>6</v>
      </c>
      <c r="AM2722" s="21">
        <v>25</v>
      </c>
      <c r="AN2722" s="21">
        <v>11</v>
      </c>
      <c r="AO2722" s="21">
        <v>20</v>
      </c>
      <c r="AP2722" s="21">
        <v>8</v>
      </c>
      <c r="AQ2722" s="21"/>
      <c r="AR2722" s="21">
        <v>10</v>
      </c>
      <c r="AS2722" s="21">
        <v>7</v>
      </c>
      <c r="AT2722" s="12" t="str">
        <f>HYPERLINK("http://www.openstreetmap.org/?mlat=34.6313&amp;mlon=45.3229&amp;zoom=12#map=12/34.6313/45.3229","Maplink1")</f>
        <v>Maplink1</v>
      </c>
      <c r="AU2722" s="12" t="str">
        <f>HYPERLINK("https://www.google.iq/maps/search/+34.6313,45.3229/@34.6313,45.3229,14z?hl=en","Maplink2")</f>
        <v>Maplink2</v>
      </c>
      <c r="AV2722" s="12" t="str">
        <f>HYPERLINK("http://www.bing.com/maps/?lvl=14&amp;sty=h&amp;cp=34.6313~45.3229&amp;sp=point.34.6313_45.3229","Maplink3")</f>
        <v>Maplink3</v>
      </c>
    </row>
    <row r="2723" spans="1:48" ht="15" customHeight="1" x14ac:dyDescent="0.25">
      <c r="A2723" s="19">
        <v>21855</v>
      </c>
      <c r="B2723" s="20" t="s">
        <v>24</v>
      </c>
      <c r="C2723" s="20" t="s">
        <v>4697</v>
      </c>
      <c r="D2723" s="20" t="s">
        <v>4731</v>
      </c>
      <c r="E2723" s="20" t="s">
        <v>4732</v>
      </c>
      <c r="F2723" s="20">
        <v>34.664439999999999</v>
      </c>
      <c r="G2723" s="20">
        <v>45.227910000000001</v>
      </c>
      <c r="H2723" s="22">
        <v>120</v>
      </c>
      <c r="I2723" s="22">
        <v>720</v>
      </c>
      <c r="J2723" s="21">
        <v>1</v>
      </c>
      <c r="K2723" s="21">
        <v>21</v>
      </c>
      <c r="L2723" s="21">
        <v>3</v>
      </c>
      <c r="M2723" s="21"/>
      <c r="N2723" s="21"/>
      <c r="O2723" s="21">
        <v>72</v>
      </c>
      <c r="P2723" s="21"/>
      <c r="Q2723" s="21"/>
      <c r="R2723" s="21"/>
      <c r="S2723" s="21"/>
      <c r="T2723" s="21"/>
      <c r="U2723" s="21"/>
      <c r="V2723" s="21"/>
      <c r="W2723" s="21"/>
      <c r="X2723" s="21">
        <v>23</v>
      </c>
      <c r="Y2723" s="21"/>
      <c r="Z2723" s="21"/>
      <c r="AA2723" s="21"/>
      <c r="AB2723" s="21"/>
      <c r="AC2723" s="21"/>
      <c r="AD2723" s="21"/>
      <c r="AE2723" s="21"/>
      <c r="AF2723" s="21"/>
      <c r="AG2723" s="21"/>
      <c r="AH2723" s="21">
        <v>120</v>
      </c>
      <c r="AI2723" s="21"/>
      <c r="AJ2723" s="21"/>
      <c r="AK2723" s="21"/>
      <c r="AL2723" s="21">
        <v>19</v>
      </c>
      <c r="AM2723" s="21">
        <v>32</v>
      </c>
      <c r="AN2723" s="21">
        <v>6</v>
      </c>
      <c r="AO2723" s="21">
        <v>23</v>
      </c>
      <c r="AP2723" s="21">
        <v>8</v>
      </c>
      <c r="AQ2723" s="21">
        <v>2</v>
      </c>
      <c r="AR2723" s="21">
        <v>4</v>
      </c>
      <c r="AS2723" s="21">
        <v>26</v>
      </c>
      <c r="AT2723" s="12" t="str">
        <f>HYPERLINK("http://www.openstreetmap.org/?mlat=34.6644&amp;mlon=45.2279&amp;zoom=12#map=12/34.6644/45.2279","Maplink1")</f>
        <v>Maplink1</v>
      </c>
      <c r="AU2723" s="12" t="str">
        <f>HYPERLINK("https://www.google.iq/maps/search/+34.6644,45.2279/@34.6644,45.2279,14z?hl=en","Maplink2")</f>
        <v>Maplink2</v>
      </c>
      <c r="AV2723" s="12" t="str">
        <f>HYPERLINK("http://www.bing.com/maps/?lvl=14&amp;sty=h&amp;cp=34.6644~45.2279&amp;sp=point.34.6644_45.2279","Maplink3")</f>
        <v>Maplink3</v>
      </c>
    </row>
    <row r="2724" spans="1:48" ht="15" customHeight="1" x14ac:dyDescent="0.25">
      <c r="A2724" s="19">
        <v>29694</v>
      </c>
      <c r="B2724" s="20" t="s">
        <v>24</v>
      </c>
      <c r="C2724" s="20" t="s">
        <v>4697</v>
      </c>
      <c r="D2724" s="20" t="s">
        <v>4733</v>
      </c>
      <c r="E2724" s="20" t="s">
        <v>4734</v>
      </c>
      <c r="F2724" s="20">
        <v>34.49436</v>
      </c>
      <c r="G2724" s="20">
        <v>45.109340000000003</v>
      </c>
      <c r="H2724" s="22">
        <v>15</v>
      </c>
      <c r="I2724" s="22">
        <v>90</v>
      </c>
      <c r="J2724" s="21"/>
      <c r="K2724" s="21"/>
      <c r="L2724" s="21"/>
      <c r="M2724" s="21"/>
      <c r="N2724" s="21"/>
      <c r="O2724" s="21">
        <v>15</v>
      </c>
      <c r="P2724" s="21"/>
      <c r="Q2724" s="21"/>
      <c r="R2724" s="21"/>
      <c r="S2724" s="21"/>
      <c r="T2724" s="21"/>
      <c r="U2724" s="21"/>
      <c r="V2724" s="21"/>
      <c r="W2724" s="21"/>
      <c r="X2724" s="21"/>
      <c r="Y2724" s="21"/>
      <c r="Z2724" s="21"/>
      <c r="AA2724" s="21"/>
      <c r="AB2724" s="21"/>
      <c r="AC2724" s="21">
        <v>11</v>
      </c>
      <c r="AD2724" s="21"/>
      <c r="AE2724" s="21"/>
      <c r="AF2724" s="21"/>
      <c r="AG2724" s="21"/>
      <c r="AH2724" s="21">
        <v>4</v>
      </c>
      <c r="AI2724" s="21"/>
      <c r="AJ2724" s="21"/>
      <c r="AK2724" s="21"/>
      <c r="AL2724" s="21"/>
      <c r="AM2724" s="21"/>
      <c r="AN2724" s="21">
        <v>15</v>
      </c>
      <c r="AO2724" s="21"/>
      <c r="AP2724" s="21"/>
      <c r="AQ2724" s="21"/>
      <c r="AR2724" s="21"/>
      <c r="AS2724" s="21"/>
      <c r="AT2724" s="12" t="str">
        <f>HYPERLINK("http://www.openstreetmap.org/?mlat=34.4944&amp;mlon=45.1093&amp;zoom=12#map=12/34.4944/45.1093","Maplink1")</f>
        <v>Maplink1</v>
      </c>
      <c r="AU2724" s="12" t="str">
        <f>HYPERLINK("https://www.google.iq/maps/search/+34.4944,45.1093/@34.4944,45.1093,14z?hl=en","Maplink2")</f>
        <v>Maplink2</v>
      </c>
      <c r="AV2724" s="12" t="str">
        <f>HYPERLINK("http://www.bing.com/maps/?lvl=14&amp;sty=h&amp;cp=34.4944~45.1093&amp;sp=point.34.4944_45.1093","Maplink3")</f>
        <v>Maplink3</v>
      </c>
    </row>
    <row r="2725" spans="1:48" ht="15" customHeight="1" x14ac:dyDescent="0.25">
      <c r="A2725" s="19">
        <v>3903</v>
      </c>
      <c r="B2725" s="20" t="s">
        <v>24</v>
      </c>
      <c r="C2725" s="20" t="s">
        <v>4697</v>
      </c>
      <c r="D2725" s="20" t="s">
        <v>4735</v>
      </c>
      <c r="E2725" s="20" t="s">
        <v>4736</v>
      </c>
      <c r="F2725" s="20">
        <v>34.467529999999996</v>
      </c>
      <c r="G2725" s="20">
        <v>45.165329999999997</v>
      </c>
      <c r="H2725" s="22">
        <v>344</v>
      </c>
      <c r="I2725" s="22">
        <v>2064</v>
      </c>
      <c r="J2725" s="21"/>
      <c r="K2725" s="21"/>
      <c r="L2725" s="21">
        <v>2</v>
      </c>
      <c r="M2725" s="21"/>
      <c r="N2725" s="21"/>
      <c r="O2725" s="21">
        <v>328</v>
      </c>
      <c r="P2725" s="21"/>
      <c r="Q2725" s="21"/>
      <c r="R2725" s="21"/>
      <c r="S2725" s="21"/>
      <c r="T2725" s="21"/>
      <c r="U2725" s="21"/>
      <c r="V2725" s="21"/>
      <c r="W2725" s="21"/>
      <c r="X2725" s="21">
        <v>14</v>
      </c>
      <c r="Y2725" s="21"/>
      <c r="Z2725" s="21"/>
      <c r="AA2725" s="21"/>
      <c r="AB2725" s="21"/>
      <c r="AC2725" s="21"/>
      <c r="AD2725" s="21"/>
      <c r="AE2725" s="21"/>
      <c r="AF2725" s="21"/>
      <c r="AG2725" s="21"/>
      <c r="AH2725" s="21">
        <v>344</v>
      </c>
      <c r="AI2725" s="21"/>
      <c r="AJ2725" s="21"/>
      <c r="AK2725" s="21"/>
      <c r="AL2725" s="21">
        <v>96</v>
      </c>
      <c r="AM2725" s="21">
        <v>110</v>
      </c>
      <c r="AN2725" s="21">
        <v>40</v>
      </c>
      <c r="AO2725" s="21">
        <v>42</v>
      </c>
      <c r="AP2725" s="21">
        <v>6</v>
      </c>
      <c r="AQ2725" s="21">
        <v>10</v>
      </c>
      <c r="AR2725" s="21">
        <v>19</v>
      </c>
      <c r="AS2725" s="21">
        <v>21</v>
      </c>
      <c r="AT2725" s="12" t="str">
        <f>HYPERLINK("http://www.openstreetmap.org/?mlat=34.4675&amp;mlon=45.1653&amp;zoom=12#map=12/34.4675/45.1653","Maplink1")</f>
        <v>Maplink1</v>
      </c>
      <c r="AU2725" s="12" t="str">
        <f>HYPERLINK("https://www.google.iq/maps/search/+34.4675,45.1653/@34.4675,45.1653,14z?hl=en","Maplink2")</f>
        <v>Maplink2</v>
      </c>
      <c r="AV2725" s="12" t="str">
        <f>HYPERLINK("http://www.bing.com/maps/?lvl=14&amp;sty=h&amp;cp=34.4675~45.1653&amp;sp=point.34.4675_45.1653","Maplink3")</f>
        <v>Maplink3</v>
      </c>
    </row>
    <row r="2726" spans="1:48" ht="15" customHeight="1" x14ac:dyDescent="0.25">
      <c r="A2726" s="19">
        <v>32001</v>
      </c>
      <c r="B2726" s="20" t="s">
        <v>24</v>
      </c>
      <c r="C2726" s="20" t="s">
        <v>4697</v>
      </c>
      <c r="D2726" s="20" t="s">
        <v>2673</v>
      </c>
      <c r="E2726" s="20" t="s">
        <v>2554</v>
      </c>
      <c r="F2726" s="20">
        <v>34.628169999999997</v>
      </c>
      <c r="G2726" s="20">
        <v>45.319209999999998</v>
      </c>
      <c r="H2726" s="22">
        <v>95</v>
      </c>
      <c r="I2726" s="22">
        <v>570</v>
      </c>
      <c r="J2726" s="21">
        <v>12</v>
      </c>
      <c r="K2726" s="21"/>
      <c r="L2726" s="21">
        <v>3</v>
      </c>
      <c r="M2726" s="21"/>
      <c r="N2726" s="21"/>
      <c r="O2726" s="21">
        <v>65</v>
      </c>
      <c r="P2726" s="21"/>
      <c r="Q2726" s="21"/>
      <c r="R2726" s="21"/>
      <c r="S2726" s="21"/>
      <c r="T2726" s="21"/>
      <c r="U2726" s="21"/>
      <c r="V2726" s="21"/>
      <c r="W2726" s="21"/>
      <c r="X2726" s="21">
        <v>15</v>
      </c>
      <c r="Y2726" s="21"/>
      <c r="Z2726" s="21"/>
      <c r="AA2726" s="21"/>
      <c r="AB2726" s="21"/>
      <c r="AC2726" s="21"/>
      <c r="AD2726" s="21"/>
      <c r="AE2726" s="21"/>
      <c r="AF2726" s="21"/>
      <c r="AG2726" s="21"/>
      <c r="AH2726" s="21">
        <v>95</v>
      </c>
      <c r="AI2726" s="21"/>
      <c r="AJ2726" s="21"/>
      <c r="AK2726" s="21"/>
      <c r="AL2726" s="21">
        <v>10</v>
      </c>
      <c r="AM2726" s="21">
        <v>28</v>
      </c>
      <c r="AN2726" s="21">
        <v>7</v>
      </c>
      <c r="AO2726" s="21">
        <v>16</v>
      </c>
      <c r="AP2726" s="21">
        <v>10</v>
      </c>
      <c r="AQ2726" s="21">
        <v>1</v>
      </c>
      <c r="AR2726" s="21">
        <v>12</v>
      </c>
      <c r="AS2726" s="21">
        <v>11</v>
      </c>
      <c r="AT2726" s="12" t="str">
        <f>HYPERLINK("http://www.openstreetmap.org/?mlat=34.6282&amp;mlon=45.3192&amp;zoom=12#map=12/34.6282/45.3192","Maplink1")</f>
        <v>Maplink1</v>
      </c>
      <c r="AU2726" s="12" t="str">
        <f>HYPERLINK("https://www.google.iq/maps/search/+34.6282,45.3192/@34.6282,45.3192,14z?hl=en","Maplink2")</f>
        <v>Maplink2</v>
      </c>
      <c r="AV2726" s="12" t="str">
        <f>HYPERLINK("http://www.bing.com/maps/?lvl=14&amp;sty=h&amp;cp=34.6282~45.3192&amp;sp=point.34.6282_45.3192","Maplink3")</f>
        <v>Maplink3</v>
      </c>
    </row>
    <row r="2727" spans="1:48" ht="15" customHeight="1" x14ac:dyDescent="0.25">
      <c r="A2727" s="19">
        <v>32018</v>
      </c>
      <c r="B2727" s="20" t="s">
        <v>24</v>
      </c>
      <c r="C2727" s="20" t="s">
        <v>4697</v>
      </c>
      <c r="D2727" s="20" t="s">
        <v>4737</v>
      </c>
      <c r="E2727" s="20" t="s">
        <v>2051</v>
      </c>
      <c r="F2727" s="20">
        <v>34.640410000000003</v>
      </c>
      <c r="G2727" s="20">
        <v>45.340820000000001</v>
      </c>
      <c r="H2727" s="22">
        <v>9</v>
      </c>
      <c r="I2727" s="22">
        <v>54</v>
      </c>
      <c r="J2727" s="21"/>
      <c r="K2727" s="21"/>
      <c r="L2727" s="21">
        <v>2</v>
      </c>
      <c r="M2727" s="21"/>
      <c r="N2727" s="21"/>
      <c r="O2727" s="21">
        <v>7</v>
      </c>
      <c r="P2727" s="21"/>
      <c r="Q2727" s="21"/>
      <c r="R2727" s="21"/>
      <c r="S2727" s="21"/>
      <c r="T2727" s="21"/>
      <c r="U2727" s="21"/>
      <c r="V2727" s="21"/>
      <c r="W2727" s="21"/>
      <c r="X2727" s="21"/>
      <c r="Y2727" s="21"/>
      <c r="Z2727" s="21"/>
      <c r="AA2727" s="21"/>
      <c r="AB2727" s="21"/>
      <c r="AC2727" s="21"/>
      <c r="AD2727" s="21"/>
      <c r="AE2727" s="21"/>
      <c r="AF2727" s="21"/>
      <c r="AG2727" s="21"/>
      <c r="AH2727" s="21">
        <v>9</v>
      </c>
      <c r="AI2727" s="21"/>
      <c r="AJ2727" s="21"/>
      <c r="AK2727" s="21"/>
      <c r="AL2727" s="21"/>
      <c r="AM2727" s="21"/>
      <c r="AN2727" s="21">
        <v>5</v>
      </c>
      <c r="AO2727" s="21">
        <v>2</v>
      </c>
      <c r="AP2727" s="21"/>
      <c r="AQ2727" s="21"/>
      <c r="AR2727" s="21">
        <v>2</v>
      </c>
      <c r="AS2727" s="21"/>
      <c r="AT2727" s="12" t="str">
        <f>HYPERLINK("http://www.openstreetmap.org/?mlat=34.6404&amp;mlon=45.3408&amp;zoom=12#map=12/34.6404/45.3408","Maplink1")</f>
        <v>Maplink1</v>
      </c>
      <c r="AU2727" s="12" t="str">
        <f>HYPERLINK("https://www.google.iq/maps/search/+34.6404,45.3408/@34.6404,45.3408,14z?hl=en","Maplink2")</f>
        <v>Maplink2</v>
      </c>
      <c r="AV2727" s="12" t="str">
        <f>HYPERLINK("http://www.bing.com/maps/?lvl=14&amp;sty=h&amp;cp=34.6404~45.3408&amp;sp=point.34.6404_45.3408","Maplink3")</f>
        <v>Maplink3</v>
      </c>
    </row>
    <row r="2728" spans="1:48" ht="15" customHeight="1" x14ac:dyDescent="0.25">
      <c r="A2728" s="19">
        <v>31928</v>
      </c>
      <c r="B2728" s="20" t="s">
        <v>24</v>
      </c>
      <c r="C2728" s="20" t="s">
        <v>4697</v>
      </c>
      <c r="D2728" s="20" t="s">
        <v>4737</v>
      </c>
      <c r="E2728" s="20" t="s">
        <v>2051</v>
      </c>
      <c r="F2728" s="20">
        <v>34.659149999999997</v>
      </c>
      <c r="G2728" s="20">
        <v>45.252589999999998</v>
      </c>
      <c r="H2728" s="22">
        <v>92</v>
      </c>
      <c r="I2728" s="22">
        <v>552</v>
      </c>
      <c r="J2728" s="21">
        <v>7</v>
      </c>
      <c r="K2728" s="21">
        <v>6</v>
      </c>
      <c r="L2728" s="21"/>
      <c r="M2728" s="21"/>
      <c r="N2728" s="21"/>
      <c r="O2728" s="21">
        <v>33</v>
      </c>
      <c r="P2728" s="21"/>
      <c r="Q2728" s="21"/>
      <c r="R2728" s="21"/>
      <c r="S2728" s="21"/>
      <c r="T2728" s="21"/>
      <c r="U2728" s="21"/>
      <c r="V2728" s="21"/>
      <c r="W2728" s="21"/>
      <c r="X2728" s="21">
        <v>46</v>
      </c>
      <c r="Y2728" s="21"/>
      <c r="Z2728" s="21"/>
      <c r="AA2728" s="21"/>
      <c r="AB2728" s="21"/>
      <c r="AC2728" s="21"/>
      <c r="AD2728" s="21"/>
      <c r="AE2728" s="21"/>
      <c r="AF2728" s="21"/>
      <c r="AG2728" s="21"/>
      <c r="AH2728" s="21">
        <v>92</v>
      </c>
      <c r="AI2728" s="21"/>
      <c r="AJ2728" s="21"/>
      <c r="AK2728" s="21"/>
      <c r="AL2728" s="21">
        <v>7</v>
      </c>
      <c r="AM2728" s="21">
        <v>11</v>
      </c>
      <c r="AN2728" s="21">
        <v>3</v>
      </c>
      <c r="AO2728" s="21">
        <v>15</v>
      </c>
      <c r="AP2728" s="21">
        <v>10</v>
      </c>
      <c r="AQ2728" s="21">
        <v>1</v>
      </c>
      <c r="AR2728" s="21">
        <v>2</v>
      </c>
      <c r="AS2728" s="21">
        <v>43</v>
      </c>
      <c r="AT2728" s="12" t="str">
        <f>HYPERLINK("http://www.openstreetmap.org/?mlat=34.6591&amp;mlon=45.2526&amp;zoom=12#map=12/34.6591/45.2526","Maplink1")</f>
        <v>Maplink1</v>
      </c>
      <c r="AU2728" s="12" t="str">
        <f>HYPERLINK("https://www.google.iq/maps/search/+34.6591,45.2526/@34.6591,45.2526,14z?hl=en","Maplink2")</f>
        <v>Maplink2</v>
      </c>
      <c r="AV2728" s="12" t="str">
        <f>HYPERLINK("http://www.bing.com/maps/?lvl=14&amp;sty=h&amp;cp=34.6591~45.2526&amp;sp=point.34.6591_45.2526","Maplink3")</f>
        <v>Maplink3</v>
      </c>
    </row>
    <row r="2729" spans="1:48" ht="15" customHeight="1" x14ac:dyDescent="0.25">
      <c r="A2729" s="19">
        <v>5976</v>
      </c>
      <c r="B2729" s="20" t="s">
        <v>24</v>
      </c>
      <c r="C2729" s="20" t="s">
        <v>4697</v>
      </c>
      <c r="D2729" s="20" t="s">
        <v>4738</v>
      </c>
      <c r="E2729" s="20" t="s">
        <v>4739</v>
      </c>
      <c r="F2729" s="20">
        <v>34.817721800000001</v>
      </c>
      <c r="G2729" s="20">
        <v>45.509600200000001</v>
      </c>
      <c r="H2729" s="22">
        <v>40</v>
      </c>
      <c r="I2729" s="22">
        <v>240</v>
      </c>
      <c r="J2729" s="21">
        <v>2</v>
      </c>
      <c r="K2729" s="21"/>
      <c r="L2729" s="21">
        <v>2</v>
      </c>
      <c r="M2729" s="21"/>
      <c r="N2729" s="21"/>
      <c r="O2729" s="21">
        <v>36</v>
      </c>
      <c r="P2729" s="21"/>
      <c r="Q2729" s="21"/>
      <c r="R2729" s="21"/>
      <c r="S2729" s="21"/>
      <c r="T2729" s="21"/>
      <c r="U2729" s="21"/>
      <c r="V2729" s="21"/>
      <c r="W2729" s="21"/>
      <c r="X2729" s="21"/>
      <c r="Y2729" s="21"/>
      <c r="Z2729" s="21"/>
      <c r="AA2729" s="21"/>
      <c r="AB2729" s="21"/>
      <c r="AC2729" s="21"/>
      <c r="AD2729" s="21"/>
      <c r="AE2729" s="21"/>
      <c r="AF2729" s="21"/>
      <c r="AG2729" s="21"/>
      <c r="AH2729" s="21">
        <v>40</v>
      </c>
      <c r="AI2729" s="21"/>
      <c r="AJ2729" s="21"/>
      <c r="AK2729" s="21"/>
      <c r="AL2729" s="21">
        <v>4</v>
      </c>
      <c r="AM2729" s="21">
        <v>8</v>
      </c>
      <c r="AN2729" s="21">
        <v>8</v>
      </c>
      <c r="AO2729" s="21">
        <v>10</v>
      </c>
      <c r="AP2729" s="21">
        <v>10</v>
      </c>
      <c r="AQ2729" s="21"/>
      <c r="AR2729" s="21"/>
      <c r="AS2729" s="21"/>
      <c r="AT2729" s="12" t="str">
        <f>HYPERLINK("http://www.openstreetmap.org/?mlat=34.8177&amp;mlon=45.5096&amp;zoom=12#map=12/34.8177/45.5096","Maplink1")</f>
        <v>Maplink1</v>
      </c>
      <c r="AU2729" s="12" t="str">
        <f>HYPERLINK("https://www.google.iq/maps/search/+34.8177,45.5096/@34.8177,45.5096,14z?hl=en","Maplink2")</f>
        <v>Maplink2</v>
      </c>
      <c r="AV2729" s="12" t="str">
        <f>HYPERLINK("http://www.bing.com/maps/?lvl=14&amp;sty=h&amp;cp=34.8177~45.5096&amp;sp=point.34.8177_45.5096","Maplink3")</f>
        <v>Maplink3</v>
      </c>
    </row>
    <row r="2730" spans="1:48" ht="15" customHeight="1" x14ac:dyDescent="0.25">
      <c r="A2730" s="19">
        <v>29688</v>
      </c>
      <c r="B2730" s="20" t="s">
        <v>24</v>
      </c>
      <c r="C2730" s="20" t="s">
        <v>4697</v>
      </c>
      <c r="D2730" s="20" t="s">
        <v>4740</v>
      </c>
      <c r="E2730" s="20" t="s">
        <v>4741</v>
      </c>
      <c r="F2730" s="20">
        <v>34.494109999999999</v>
      </c>
      <c r="G2730" s="20">
        <v>45.194780000000002</v>
      </c>
      <c r="H2730" s="22">
        <v>40</v>
      </c>
      <c r="I2730" s="22">
        <v>240</v>
      </c>
      <c r="J2730" s="21"/>
      <c r="K2730" s="21"/>
      <c r="L2730" s="21"/>
      <c r="M2730" s="21"/>
      <c r="N2730" s="21"/>
      <c r="O2730" s="21">
        <v>40</v>
      </c>
      <c r="P2730" s="21"/>
      <c r="Q2730" s="21"/>
      <c r="R2730" s="21"/>
      <c r="S2730" s="21"/>
      <c r="T2730" s="21"/>
      <c r="U2730" s="21"/>
      <c r="V2730" s="21"/>
      <c r="W2730" s="21"/>
      <c r="X2730" s="21"/>
      <c r="Y2730" s="21"/>
      <c r="Z2730" s="21"/>
      <c r="AA2730" s="21"/>
      <c r="AB2730" s="21"/>
      <c r="AC2730" s="21">
        <v>6</v>
      </c>
      <c r="AD2730" s="21"/>
      <c r="AE2730" s="21"/>
      <c r="AF2730" s="21"/>
      <c r="AG2730" s="21"/>
      <c r="AH2730" s="21">
        <v>29</v>
      </c>
      <c r="AI2730" s="21"/>
      <c r="AJ2730" s="21">
        <v>5</v>
      </c>
      <c r="AK2730" s="21"/>
      <c r="AL2730" s="21"/>
      <c r="AM2730" s="21">
        <v>36</v>
      </c>
      <c r="AN2730" s="21"/>
      <c r="AO2730" s="21"/>
      <c r="AP2730" s="21"/>
      <c r="AQ2730" s="21">
        <v>2</v>
      </c>
      <c r="AR2730" s="21"/>
      <c r="AS2730" s="21">
        <v>2</v>
      </c>
      <c r="AT2730" s="12" t="str">
        <f>HYPERLINK("http://www.openstreetmap.org/?mlat=34.4941&amp;mlon=45.1948&amp;zoom=12#map=12/34.4941/45.1948","Maplink1")</f>
        <v>Maplink1</v>
      </c>
      <c r="AU2730" s="12" t="str">
        <f>HYPERLINK("https://www.google.iq/maps/search/+34.4941,45.1948/@34.4941,45.1948,14z?hl=en","Maplink2")</f>
        <v>Maplink2</v>
      </c>
      <c r="AV2730" s="12" t="str">
        <f>HYPERLINK("http://www.bing.com/maps/?lvl=14&amp;sty=h&amp;cp=34.4941~45.1948&amp;sp=point.34.4941_45.1948","Maplink3")</f>
        <v>Maplink3</v>
      </c>
    </row>
    <row r="2731" spans="1:48" ht="15" customHeight="1" x14ac:dyDescent="0.25">
      <c r="A2731" s="19">
        <v>21983</v>
      </c>
      <c r="B2731" s="20" t="s">
        <v>24</v>
      </c>
      <c r="C2731" s="20" t="s">
        <v>4697</v>
      </c>
      <c r="D2731" s="20" t="s">
        <v>4742</v>
      </c>
      <c r="E2731" s="20" t="s">
        <v>2563</v>
      </c>
      <c r="F2731" s="20">
        <v>34.625680770000002</v>
      </c>
      <c r="G2731" s="20">
        <v>45.313297480000003</v>
      </c>
      <c r="H2731" s="22">
        <v>70</v>
      </c>
      <c r="I2731" s="22">
        <v>420</v>
      </c>
      <c r="J2731" s="21">
        <v>7</v>
      </c>
      <c r="K2731" s="21"/>
      <c r="L2731" s="21">
        <v>7</v>
      </c>
      <c r="M2731" s="21"/>
      <c r="N2731" s="21"/>
      <c r="O2731" s="21">
        <v>46</v>
      </c>
      <c r="P2731" s="21"/>
      <c r="Q2731" s="21"/>
      <c r="R2731" s="21">
        <v>1</v>
      </c>
      <c r="S2731" s="21"/>
      <c r="T2731" s="21"/>
      <c r="U2731" s="21"/>
      <c r="V2731" s="21"/>
      <c r="W2731" s="21"/>
      <c r="X2731" s="21">
        <v>9</v>
      </c>
      <c r="Y2731" s="21"/>
      <c r="Z2731" s="21"/>
      <c r="AA2731" s="21"/>
      <c r="AB2731" s="21"/>
      <c r="AC2731" s="21"/>
      <c r="AD2731" s="21"/>
      <c r="AE2731" s="21"/>
      <c r="AF2731" s="21"/>
      <c r="AG2731" s="21"/>
      <c r="AH2731" s="21">
        <v>70</v>
      </c>
      <c r="AI2731" s="21"/>
      <c r="AJ2731" s="21"/>
      <c r="AK2731" s="21"/>
      <c r="AL2731" s="21">
        <v>6</v>
      </c>
      <c r="AM2731" s="21">
        <v>20</v>
      </c>
      <c r="AN2731" s="21">
        <v>5</v>
      </c>
      <c r="AO2731" s="21">
        <v>12</v>
      </c>
      <c r="AP2731" s="21">
        <v>6</v>
      </c>
      <c r="AQ2731" s="21">
        <v>2</v>
      </c>
      <c r="AR2731" s="21">
        <v>10</v>
      </c>
      <c r="AS2731" s="21">
        <v>9</v>
      </c>
      <c r="AT2731" s="12" t="str">
        <f>HYPERLINK("http://www.openstreetmap.org/?mlat=34.6257&amp;mlon=45.3133&amp;zoom=12#map=12/34.6257/45.3133","Maplink1")</f>
        <v>Maplink1</v>
      </c>
      <c r="AU2731" s="12" t="str">
        <f>HYPERLINK("https://www.google.iq/maps/search/+34.6257,45.3133/@34.6257,45.3133,14z?hl=en","Maplink2")</f>
        <v>Maplink2</v>
      </c>
      <c r="AV2731" s="12" t="str">
        <f>HYPERLINK("http://www.bing.com/maps/?lvl=14&amp;sty=h&amp;cp=34.6257~45.3133&amp;sp=point.34.6257_45.3133","Maplink3")</f>
        <v>Maplink3</v>
      </c>
    </row>
    <row r="2732" spans="1:48" ht="15" customHeight="1" x14ac:dyDescent="0.25">
      <c r="A2732" s="19">
        <v>31997</v>
      </c>
      <c r="B2732" s="20" t="s">
        <v>24</v>
      </c>
      <c r="C2732" s="20" t="s">
        <v>4697</v>
      </c>
      <c r="D2732" s="20" t="s">
        <v>4743</v>
      </c>
      <c r="E2732" s="20" t="s">
        <v>2215</v>
      </c>
      <c r="F2732" s="20">
        <v>34.63852</v>
      </c>
      <c r="G2732" s="20">
        <v>45.319769999999998</v>
      </c>
      <c r="H2732" s="22">
        <v>89</v>
      </c>
      <c r="I2732" s="22">
        <v>534</v>
      </c>
      <c r="J2732" s="21">
        <v>6</v>
      </c>
      <c r="K2732" s="21"/>
      <c r="L2732" s="21">
        <v>2</v>
      </c>
      <c r="M2732" s="21"/>
      <c r="N2732" s="21"/>
      <c r="O2732" s="21">
        <v>67</v>
      </c>
      <c r="P2732" s="21"/>
      <c r="Q2732" s="21"/>
      <c r="R2732" s="21"/>
      <c r="S2732" s="21"/>
      <c r="T2732" s="21"/>
      <c r="U2732" s="21"/>
      <c r="V2732" s="21"/>
      <c r="W2732" s="21"/>
      <c r="X2732" s="21">
        <v>14</v>
      </c>
      <c r="Y2732" s="21"/>
      <c r="Z2732" s="21"/>
      <c r="AA2732" s="21"/>
      <c r="AB2732" s="21"/>
      <c r="AC2732" s="21"/>
      <c r="AD2732" s="21"/>
      <c r="AE2732" s="21"/>
      <c r="AF2732" s="21"/>
      <c r="AG2732" s="21"/>
      <c r="AH2732" s="21">
        <v>89</v>
      </c>
      <c r="AI2732" s="21"/>
      <c r="AJ2732" s="21"/>
      <c r="AK2732" s="21"/>
      <c r="AL2732" s="21">
        <v>4</v>
      </c>
      <c r="AM2732" s="21">
        <v>22</v>
      </c>
      <c r="AN2732" s="21">
        <v>8</v>
      </c>
      <c r="AO2732" s="21">
        <v>22</v>
      </c>
      <c r="AP2732" s="21">
        <v>12</v>
      </c>
      <c r="AQ2732" s="21"/>
      <c r="AR2732" s="21">
        <v>11</v>
      </c>
      <c r="AS2732" s="21">
        <v>10</v>
      </c>
      <c r="AT2732" s="12" t="str">
        <f>HYPERLINK("http://www.openstreetmap.org/?mlat=34.6385&amp;mlon=45.3198&amp;zoom=12#map=12/34.6385/45.3198","Maplink1")</f>
        <v>Maplink1</v>
      </c>
      <c r="AU2732" s="12" t="str">
        <f>HYPERLINK("https://www.google.iq/maps/search/+34.6385,45.3198/@34.6385,45.3198,14z?hl=en","Maplink2")</f>
        <v>Maplink2</v>
      </c>
      <c r="AV2732" s="12" t="str">
        <f>HYPERLINK("http://www.bing.com/maps/?lvl=14&amp;sty=h&amp;cp=34.6385~45.3198&amp;sp=point.34.6385_45.3198","Maplink3")</f>
        <v>Maplink3</v>
      </c>
    </row>
    <row r="2733" spans="1:48" ht="15" customHeight="1" x14ac:dyDescent="0.25">
      <c r="A2733" s="19">
        <v>29690</v>
      </c>
      <c r="B2733" s="20" t="s">
        <v>24</v>
      </c>
      <c r="C2733" s="20" t="s">
        <v>4697</v>
      </c>
      <c r="D2733" s="20" t="s">
        <v>4744</v>
      </c>
      <c r="E2733" s="20" t="s">
        <v>4745</v>
      </c>
      <c r="F2733" s="20">
        <v>34.550649999999997</v>
      </c>
      <c r="G2733" s="20">
        <v>45.023290000000003</v>
      </c>
      <c r="H2733" s="22">
        <v>11</v>
      </c>
      <c r="I2733" s="22">
        <v>66</v>
      </c>
      <c r="J2733" s="21"/>
      <c r="K2733" s="21"/>
      <c r="L2733" s="21"/>
      <c r="M2733" s="21"/>
      <c r="N2733" s="21"/>
      <c r="O2733" s="21">
        <v>11</v>
      </c>
      <c r="P2733" s="21"/>
      <c r="Q2733" s="21"/>
      <c r="R2733" s="21"/>
      <c r="S2733" s="21"/>
      <c r="T2733" s="21"/>
      <c r="U2733" s="21"/>
      <c r="V2733" s="21"/>
      <c r="W2733" s="21"/>
      <c r="X2733" s="21"/>
      <c r="Y2733" s="21"/>
      <c r="Z2733" s="21"/>
      <c r="AA2733" s="21"/>
      <c r="AB2733" s="21"/>
      <c r="AC2733" s="21">
        <v>7</v>
      </c>
      <c r="AD2733" s="21"/>
      <c r="AE2733" s="21"/>
      <c r="AF2733" s="21"/>
      <c r="AG2733" s="21"/>
      <c r="AH2733" s="21">
        <v>1</v>
      </c>
      <c r="AI2733" s="21">
        <v>3</v>
      </c>
      <c r="AJ2733" s="21"/>
      <c r="AK2733" s="21"/>
      <c r="AL2733" s="21"/>
      <c r="AM2733" s="21">
        <v>3</v>
      </c>
      <c r="AN2733" s="21">
        <v>8</v>
      </c>
      <c r="AO2733" s="21"/>
      <c r="AP2733" s="21"/>
      <c r="AQ2733" s="21"/>
      <c r="AR2733" s="21"/>
      <c r="AS2733" s="21"/>
      <c r="AT2733" s="12" t="str">
        <f>HYPERLINK("http://www.openstreetmap.org/?mlat=34.5506&amp;mlon=45.0233&amp;zoom=12#map=12/34.5506/45.0233","Maplink1")</f>
        <v>Maplink1</v>
      </c>
      <c r="AU2733" s="12" t="str">
        <f>HYPERLINK("https://www.google.iq/maps/search/+34.5506,45.0233/@34.5506,45.0233,14z?hl=en","Maplink2")</f>
        <v>Maplink2</v>
      </c>
      <c r="AV2733" s="12" t="str">
        <f>HYPERLINK("http://www.bing.com/maps/?lvl=14&amp;sty=h&amp;cp=34.5506~45.0233&amp;sp=point.34.5506_45.0233","Maplink3")</f>
        <v>Maplink3</v>
      </c>
    </row>
    <row r="2734" spans="1:48" ht="15" customHeight="1" x14ac:dyDescent="0.25">
      <c r="A2734" s="19">
        <v>31930</v>
      </c>
      <c r="B2734" s="20" t="s">
        <v>24</v>
      </c>
      <c r="C2734" s="20" t="s">
        <v>4697</v>
      </c>
      <c r="D2734" s="20" t="s">
        <v>4746</v>
      </c>
      <c r="E2734" s="20" t="s">
        <v>4747</v>
      </c>
      <c r="F2734" s="20">
        <v>34.668259999999997</v>
      </c>
      <c r="G2734" s="20">
        <v>45.224809999999998</v>
      </c>
      <c r="H2734" s="22">
        <v>190</v>
      </c>
      <c r="I2734" s="22">
        <v>1140</v>
      </c>
      <c r="J2734" s="21">
        <v>5</v>
      </c>
      <c r="K2734" s="21">
        <v>70</v>
      </c>
      <c r="L2734" s="21"/>
      <c r="M2734" s="21"/>
      <c r="N2734" s="21"/>
      <c r="O2734" s="21">
        <v>63</v>
      </c>
      <c r="P2734" s="21"/>
      <c r="Q2734" s="21"/>
      <c r="R2734" s="21"/>
      <c r="S2734" s="21"/>
      <c r="T2734" s="21"/>
      <c r="U2734" s="21"/>
      <c r="V2734" s="21"/>
      <c r="W2734" s="21"/>
      <c r="X2734" s="21">
        <v>52</v>
      </c>
      <c r="Y2734" s="21"/>
      <c r="Z2734" s="21"/>
      <c r="AA2734" s="21"/>
      <c r="AB2734" s="21"/>
      <c r="AC2734" s="21"/>
      <c r="AD2734" s="21"/>
      <c r="AE2734" s="21"/>
      <c r="AF2734" s="21"/>
      <c r="AG2734" s="21"/>
      <c r="AH2734" s="21">
        <v>190</v>
      </c>
      <c r="AI2734" s="21"/>
      <c r="AJ2734" s="21"/>
      <c r="AK2734" s="21"/>
      <c r="AL2734" s="21">
        <v>29</v>
      </c>
      <c r="AM2734" s="21">
        <v>49</v>
      </c>
      <c r="AN2734" s="21">
        <v>11</v>
      </c>
      <c r="AO2734" s="21">
        <v>31</v>
      </c>
      <c r="AP2734" s="21">
        <v>5</v>
      </c>
      <c r="AQ2734" s="21">
        <v>1</v>
      </c>
      <c r="AR2734" s="21">
        <v>3</v>
      </c>
      <c r="AS2734" s="21">
        <v>61</v>
      </c>
      <c r="AT2734" s="12" t="str">
        <f>HYPERLINK("http://www.openstreetmap.org/?mlat=34.6683&amp;mlon=45.2248&amp;zoom=12#map=12/34.6683/45.2248","Maplink1")</f>
        <v>Maplink1</v>
      </c>
      <c r="AU2734" s="12" t="str">
        <f>HYPERLINK("https://www.google.iq/maps/search/+34.6683,45.2248/@34.6683,45.2248,14z?hl=en","Maplink2")</f>
        <v>Maplink2</v>
      </c>
      <c r="AV2734" s="12" t="str">
        <f>HYPERLINK("http://www.bing.com/maps/?lvl=14&amp;sty=h&amp;cp=34.6683~45.2248&amp;sp=point.34.6683_45.2248","Maplink3")</f>
        <v>Maplink3</v>
      </c>
    </row>
    <row r="2735" spans="1:48" ht="15" customHeight="1" x14ac:dyDescent="0.25">
      <c r="A2735" s="19">
        <v>31999</v>
      </c>
      <c r="B2735" s="20" t="s">
        <v>24</v>
      </c>
      <c r="C2735" s="20" t="s">
        <v>4697</v>
      </c>
      <c r="D2735" s="20" t="s">
        <v>4748</v>
      </c>
      <c r="E2735" s="20" t="s">
        <v>4749</v>
      </c>
      <c r="F2735" s="20">
        <v>34.625160000000001</v>
      </c>
      <c r="G2735" s="20">
        <v>45.325209999999998</v>
      </c>
      <c r="H2735" s="22">
        <v>23</v>
      </c>
      <c r="I2735" s="22">
        <v>138</v>
      </c>
      <c r="J2735" s="21">
        <v>3</v>
      </c>
      <c r="K2735" s="21"/>
      <c r="L2735" s="21">
        <v>1</v>
      </c>
      <c r="M2735" s="21"/>
      <c r="N2735" s="21"/>
      <c r="O2735" s="21">
        <v>11</v>
      </c>
      <c r="P2735" s="21"/>
      <c r="Q2735" s="21"/>
      <c r="R2735" s="21">
        <v>1</v>
      </c>
      <c r="S2735" s="21"/>
      <c r="T2735" s="21"/>
      <c r="U2735" s="21"/>
      <c r="V2735" s="21"/>
      <c r="W2735" s="21"/>
      <c r="X2735" s="21">
        <v>7</v>
      </c>
      <c r="Y2735" s="21"/>
      <c r="Z2735" s="21"/>
      <c r="AA2735" s="21"/>
      <c r="AB2735" s="21"/>
      <c r="AC2735" s="21"/>
      <c r="AD2735" s="21"/>
      <c r="AE2735" s="21"/>
      <c r="AF2735" s="21"/>
      <c r="AG2735" s="21"/>
      <c r="AH2735" s="21">
        <v>23</v>
      </c>
      <c r="AI2735" s="21"/>
      <c r="AJ2735" s="21"/>
      <c r="AK2735" s="21"/>
      <c r="AL2735" s="21">
        <v>3</v>
      </c>
      <c r="AM2735" s="21">
        <v>2</v>
      </c>
      <c r="AN2735" s="21">
        <v>3</v>
      </c>
      <c r="AO2735" s="21">
        <v>4</v>
      </c>
      <c r="AP2735" s="21"/>
      <c r="AQ2735" s="21"/>
      <c r="AR2735" s="21">
        <v>4</v>
      </c>
      <c r="AS2735" s="21">
        <v>7</v>
      </c>
      <c r="AT2735" s="12" t="str">
        <f>HYPERLINK("http://www.openstreetmap.org/?mlat=34.6252&amp;mlon=45.3252&amp;zoom=12#map=12/34.6252/45.3252","Maplink1")</f>
        <v>Maplink1</v>
      </c>
      <c r="AU2735" s="12" t="str">
        <f>HYPERLINK("https://www.google.iq/maps/search/+34.6252,45.3252/@34.6252,45.3252,14z?hl=en","Maplink2")</f>
        <v>Maplink2</v>
      </c>
      <c r="AV2735" s="12" t="str">
        <f>HYPERLINK("http://www.bing.com/maps/?lvl=14&amp;sty=h&amp;cp=34.6252~45.3252&amp;sp=point.34.6252_45.3252","Maplink3")</f>
        <v>Maplink3</v>
      </c>
    </row>
    <row r="2736" spans="1:48" ht="15" customHeight="1" x14ac:dyDescent="0.25">
      <c r="A2736" s="19">
        <v>23928</v>
      </c>
      <c r="B2736" s="20" t="s">
        <v>24</v>
      </c>
      <c r="C2736" s="20" t="s">
        <v>4697</v>
      </c>
      <c r="D2736" s="20" t="s">
        <v>2064</v>
      </c>
      <c r="E2736" s="20" t="s">
        <v>2065</v>
      </c>
      <c r="F2736" s="20">
        <v>34.634608030000003</v>
      </c>
      <c r="G2736" s="20">
        <v>45.312947379999997</v>
      </c>
      <c r="H2736" s="22">
        <v>37</v>
      </c>
      <c r="I2736" s="22">
        <v>222</v>
      </c>
      <c r="J2736" s="21"/>
      <c r="K2736" s="21"/>
      <c r="L2736" s="21">
        <v>1</v>
      </c>
      <c r="M2736" s="21"/>
      <c r="N2736" s="21"/>
      <c r="O2736" s="21">
        <v>3</v>
      </c>
      <c r="P2736" s="21"/>
      <c r="Q2736" s="21"/>
      <c r="R2736" s="21"/>
      <c r="S2736" s="21"/>
      <c r="T2736" s="21"/>
      <c r="U2736" s="21"/>
      <c r="V2736" s="21"/>
      <c r="W2736" s="21"/>
      <c r="X2736" s="21">
        <v>33</v>
      </c>
      <c r="Y2736" s="21"/>
      <c r="Z2736" s="21"/>
      <c r="AA2736" s="21"/>
      <c r="AB2736" s="21"/>
      <c r="AC2736" s="21"/>
      <c r="AD2736" s="21"/>
      <c r="AE2736" s="21"/>
      <c r="AF2736" s="21"/>
      <c r="AG2736" s="21"/>
      <c r="AH2736" s="21">
        <v>37</v>
      </c>
      <c r="AI2736" s="21"/>
      <c r="AJ2736" s="21"/>
      <c r="AK2736" s="21"/>
      <c r="AL2736" s="21"/>
      <c r="AM2736" s="21">
        <v>1</v>
      </c>
      <c r="AN2736" s="21"/>
      <c r="AO2736" s="21"/>
      <c r="AP2736" s="21"/>
      <c r="AQ2736" s="21"/>
      <c r="AR2736" s="21"/>
      <c r="AS2736" s="21">
        <v>36</v>
      </c>
      <c r="AT2736" s="12" t="str">
        <f>HYPERLINK("http://www.openstreetmap.org/?mlat=34.6346&amp;mlon=45.3129&amp;zoom=12#map=12/34.6346/45.3129","Maplink1")</f>
        <v>Maplink1</v>
      </c>
      <c r="AU2736" s="12" t="str">
        <f>HYPERLINK("https://www.google.iq/maps/search/+34.6346,45.3129/@34.6346,45.3129,14z?hl=en","Maplink2")</f>
        <v>Maplink2</v>
      </c>
      <c r="AV2736" s="12" t="str">
        <f>HYPERLINK("http://www.bing.com/maps/?lvl=14&amp;sty=h&amp;cp=34.6346~45.3129&amp;sp=point.34.6346_45.3129","Maplink3")</f>
        <v>Maplink3</v>
      </c>
    </row>
    <row r="2737" spans="1:48" ht="15" customHeight="1" x14ac:dyDescent="0.25">
      <c r="A2737" s="19">
        <v>6161</v>
      </c>
      <c r="B2737" s="20" t="s">
        <v>24</v>
      </c>
      <c r="C2737" s="20" t="s">
        <v>4697</v>
      </c>
      <c r="D2737" s="20" t="s">
        <v>4750</v>
      </c>
      <c r="E2737" s="20" t="s">
        <v>4751</v>
      </c>
      <c r="F2737" s="20">
        <v>34.665970000000002</v>
      </c>
      <c r="G2737" s="20">
        <v>45.220939999999999</v>
      </c>
      <c r="H2737" s="22">
        <v>229</v>
      </c>
      <c r="I2737" s="22">
        <v>1374</v>
      </c>
      <c r="J2737" s="21">
        <v>1</v>
      </c>
      <c r="K2737" s="21">
        <v>58</v>
      </c>
      <c r="L2737" s="21">
        <v>4</v>
      </c>
      <c r="M2737" s="21"/>
      <c r="N2737" s="21"/>
      <c r="O2737" s="21">
        <v>137</v>
      </c>
      <c r="P2737" s="21"/>
      <c r="Q2737" s="21"/>
      <c r="R2737" s="21"/>
      <c r="S2737" s="21"/>
      <c r="T2737" s="21"/>
      <c r="U2737" s="21"/>
      <c r="V2737" s="21"/>
      <c r="W2737" s="21"/>
      <c r="X2737" s="21">
        <v>29</v>
      </c>
      <c r="Y2737" s="21"/>
      <c r="Z2737" s="21"/>
      <c r="AA2737" s="21"/>
      <c r="AB2737" s="21"/>
      <c r="AC2737" s="21"/>
      <c r="AD2737" s="21"/>
      <c r="AE2737" s="21"/>
      <c r="AF2737" s="21"/>
      <c r="AG2737" s="21"/>
      <c r="AH2737" s="21">
        <v>229</v>
      </c>
      <c r="AI2737" s="21"/>
      <c r="AJ2737" s="21"/>
      <c r="AK2737" s="21"/>
      <c r="AL2737" s="21">
        <v>59</v>
      </c>
      <c r="AM2737" s="21">
        <v>66</v>
      </c>
      <c r="AN2737" s="21">
        <v>15</v>
      </c>
      <c r="AO2737" s="21">
        <v>30</v>
      </c>
      <c r="AP2737" s="21">
        <v>13</v>
      </c>
      <c r="AQ2737" s="21">
        <v>5</v>
      </c>
      <c r="AR2737" s="21">
        <v>6</v>
      </c>
      <c r="AS2737" s="21">
        <v>35</v>
      </c>
      <c r="AT2737" s="12" t="str">
        <f>HYPERLINK("http://www.openstreetmap.org/?mlat=34.666&amp;mlon=45.2209&amp;zoom=12#map=12/34.666/45.2209","Maplink1")</f>
        <v>Maplink1</v>
      </c>
      <c r="AU2737" s="12" t="str">
        <f>HYPERLINK("https://www.google.iq/maps/search/+34.666,45.2209/@34.666,45.2209,14z?hl=en","Maplink2")</f>
        <v>Maplink2</v>
      </c>
      <c r="AV2737" s="12" t="str">
        <f>HYPERLINK("http://www.bing.com/maps/?lvl=14&amp;sty=h&amp;cp=34.666~45.2209&amp;sp=point.34.666_45.2209","Maplink3")</f>
        <v>Maplink3</v>
      </c>
    </row>
    <row r="2738" spans="1:48" ht="15" customHeight="1" x14ac:dyDescent="0.25">
      <c r="A2738" s="19">
        <v>24962</v>
      </c>
      <c r="B2738" s="20" t="s">
        <v>24</v>
      </c>
      <c r="C2738" s="20" t="s">
        <v>4697</v>
      </c>
      <c r="D2738" s="20" t="s">
        <v>4752</v>
      </c>
      <c r="E2738" s="20" t="s">
        <v>2740</v>
      </c>
      <c r="F2738" s="20">
        <v>34.63680961</v>
      </c>
      <c r="G2738" s="20">
        <v>45.312965050000003</v>
      </c>
      <c r="H2738" s="22">
        <v>153</v>
      </c>
      <c r="I2738" s="22">
        <v>918</v>
      </c>
      <c r="J2738" s="21">
        <v>20</v>
      </c>
      <c r="K2738" s="21"/>
      <c r="L2738" s="21">
        <v>9</v>
      </c>
      <c r="M2738" s="21"/>
      <c r="N2738" s="21"/>
      <c r="O2738" s="21">
        <v>107</v>
      </c>
      <c r="P2738" s="21"/>
      <c r="Q2738" s="21"/>
      <c r="R2738" s="21"/>
      <c r="S2738" s="21"/>
      <c r="T2738" s="21"/>
      <c r="U2738" s="21"/>
      <c r="V2738" s="21">
        <v>4</v>
      </c>
      <c r="W2738" s="21"/>
      <c r="X2738" s="21">
        <v>13</v>
      </c>
      <c r="Y2738" s="21"/>
      <c r="Z2738" s="21"/>
      <c r="AA2738" s="21"/>
      <c r="AB2738" s="21"/>
      <c r="AC2738" s="21"/>
      <c r="AD2738" s="21"/>
      <c r="AE2738" s="21"/>
      <c r="AF2738" s="21"/>
      <c r="AG2738" s="21"/>
      <c r="AH2738" s="21">
        <v>153</v>
      </c>
      <c r="AI2738" s="21"/>
      <c r="AJ2738" s="21"/>
      <c r="AK2738" s="21"/>
      <c r="AL2738" s="21">
        <v>13</v>
      </c>
      <c r="AM2738" s="21">
        <v>21</v>
      </c>
      <c r="AN2738" s="21">
        <v>12</v>
      </c>
      <c r="AO2738" s="21">
        <v>31</v>
      </c>
      <c r="AP2738" s="21">
        <v>13</v>
      </c>
      <c r="AQ2738" s="21">
        <v>9</v>
      </c>
      <c r="AR2738" s="21">
        <v>30</v>
      </c>
      <c r="AS2738" s="21">
        <v>24</v>
      </c>
      <c r="AT2738" s="12" t="str">
        <f>HYPERLINK("http://www.openstreetmap.org/?mlat=34.6368&amp;mlon=45.313&amp;zoom=12#map=12/34.6368/45.313","Maplink1")</f>
        <v>Maplink1</v>
      </c>
      <c r="AU2738" s="12" t="str">
        <f>HYPERLINK("https://www.google.iq/maps/search/+34.6368,45.313/@34.6368,45.313,14z?hl=en","Maplink2")</f>
        <v>Maplink2</v>
      </c>
      <c r="AV2738" s="12" t="str">
        <f>HYPERLINK("http://www.bing.com/maps/?lvl=14&amp;sty=h&amp;cp=34.6368~45.313&amp;sp=point.34.6368_45.313","Maplink3")</f>
        <v>Maplink3</v>
      </c>
    </row>
    <row r="2739" spans="1:48" ht="15" customHeight="1" x14ac:dyDescent="0.25">
      <c r="A2739" s="19">
        <v>6000</v>
      </c>
      <c r="B2739" s="20" t="s">
        <v>24</v>
      </c>
      <c r="C2739" s="20" t="s">
        <v>4697</v>
      </c>
      <c r="D2739" s="20" t="s">
        <v>4753</v>
      </c>
      <c r="E2739" s="20" t="s">
        <v>4754</v>
      </c>
      <c r="F2739" s="20">
        <v>34.55146834</v>
      </c>
      <c r="G2739" s="20">
        <v>45.250330120000001</v>
      </c>
      <c r="H2739" s="22">
        <v>208</v>
      </c>
      <c r="I2739" s="22">
        <v>1248</v>
      </c>
      <c r="J2739" s="21">
        <v>4</v>
      </c>
      <c r="K2739" s="21"/>
      <c r="L2739" s="21">
        <v>3</v>
      </c>
      <c r="M2739" s="21"/>
      <c r="N2739" s="21"/>
      <c r="O2739" s="21">
        <v>186</v>
      </c>
      <c r="P2739" s="21"/>
      <c r="Q2739" s="21"/>
      <c r="R2739" s="21"/>
      <c r="S2739" s="21"/>
      <c r="T2739" s="21"/>
      <c r="U2739" s="21"/>
      <c r="V2739" s="21"/>
      <c r="W2739" s="21"/>
      <c r="X2739" s="21">
        <v>15</v>
      </c>
      <c r="Y2739" s="21"/>
      <c r="Z2739" s="21"/>
      <c r="AA2739" s="21"/>
      <c r="AB2739" s="21"/>
      <c r="AC2739" s="21"/>
      <c r="AD2739" s="21"/>
      <c r="AE2739" s="21"/>
      <c r="AF2739" s="21"/>
      <c r="AG2739" s="21"/>
      <c r="AH2739" s="21">
        <v>208</v>
      </c>
      <c r="AI2739" s="21"/>
      <c r="AJ2739" s="21"/>
      <c r="AK2739" s="21"/>
      <c r="AL2739" s="21">
        <v>24</v>
      </c>
      <c r="AM2739" s="21">
        <v>28</v>
      </c>
      <c r="AN2739" s="21">
        <v>47</v>
      </c>
      <c r="AO2739" s="21">
        <v>29</v>
      </c>
      <c r="AP2739" s="21">
        <v>8</v>
      </c>
      <c r="AQ2739" s="21">
        <v>36</v>
      </c>
      <c r="AR2739" s="21">
        <v>7</v>
      </c>
      <c r="AS2739" s="21">
        <v>29</v>
      </c>
      <c r="AT2739" s="12" t="str">
        <f>HYPERLINK("http://www.openstreetmap.org/?mlat=34.5515&amp;mlon=45.2503&amp;zoom=12#map=12/34.5515/45.2503","Maplink1")</f>
        <v>Maplink1</v>
      </c>
      <c r="AU2739" s="12" t="str">
        <f>HYPERLINK("https://www.google.iq/maps/search/+34.5515,45.2503/@34.5515,45.2503,14z?hl=en","Maplink2")</f>
        <v>Maplink2</v>
      </c>
      <c r="AV2739" s="12" t="str">
        <f>HYPERLINK("http://www.bing.com/maps/?lvl=14&amp;sty=h&amp;cp=34.5515~45.2503&amp;sp=point.34.5515_45.2503","Maplink3")</f>
        <v>Maplink3</v>
      </c>
    </row>
    <row r="2740" spans="1:48" ht="15" customHeight="1" x14ac:dyDescent="0.25">
      <c r="A2740" s="19">
        <v>23769</v>
      </c>
      <c r="B2740" s="20" t="s">
        <v>24</v>
      </c>
      <c r="C2740" s="20" t="s">
        <v>4697</v>
      </c>
      <c r="D2740" s="20" t="s">
        <v>4755</v>
      </c>
      <c r="E2740" s="20" t="s">
        <v>4756</v>
      </c>
      <c r="F2740" s="20">
        <v>34.610065579999997</v>
      </c>
      <c r="G2740" s="20">
        <v>45.317585350000002</v>
      </c>
      <c r="H2740" s="22">
        <v>46</v>
      </c>
      <c r="I2740" s="22">
        <v>276</v>
      </c>
      <c r="J2740" s="21">
        <v>6</v>
      </c>
      <c r="K2740" s="21"/>
      <c r="L2740" s="21">
        <v>2</v>
      </c>
      <c r="M2740" s="21"/>
      <c r="N2740" s="21"/>
      <c r="O2740" s="21">
        <v>31</v>
      </c>
      <c r="P2740" s="21"/>
      <c r="Q2740" s="21"/>
      <c r="R2740" s="21">
        <v>1</v>
      </c>
      <c r="S2740" s="21"/>
      <c r="T2740" s="21"/>
      <c r="U2740" s="21"/>
      <c r="V2740" s="21"/>
      <c r="W2740" s="21"/>
      <c r="X2740" s="21">
        <v>6</v>
      </c>
      <c r="Y2740" s="21"/>
      <c r="Z2740" s="21"/>
      <c r="AA2740" s="21"/>
      <c r="AB2740" s="21"/>
      <c r="AC2740" s="21"/>
      <c r="AD2740" s="21"/>
      <c r="AE2740" s="21"/>
      <c r="AF2740" s="21"/>
      <c r="AG2740" s="21"/>
      <c r="AH2740" s="21">
        <v>46</v>
      </c>
      <c r="AI2740" s="21"/>
      <c r="AJ2740" s="21"/>
      <c r="AK2740" s="21"/>
      <c r="AL2740" s="21">
        <v>6</v>
      </c>
      <c r="AM2740" s="21">
        <v>12</v>
      </c>
      <c r="AN2740" s="21">
        <v>2</v>
      </c>
      <c r="AO2740" s="21">
        <v>9</v>
      </c>
      <c r="AP2740" s="21">
        <v>2</v>
      </c>
      <c r="AQ2740" s="21">
        <v>1</v>
      </c>
      <c r="AR2740" s="21">
        <v>9</v>
      </c>
      <c r="AS2740" s="21">
        <v>5</v>
      </c>
      <c r="AT2740" s="12" t="str">
        <f>HYPERLINK("http://www.openstreetmap.org/?mlat=34.6101&amp;mlon=45.3176&amp;zoom=12#map=12/34.6101/45.3176","Maplink1")</f>
        <v>Maplink1</v>
      </c>
      <c r="AU2740" s="12" t="str">
        <f>HYPERLINK("https://www.google.iq/maps/search/+34.6101,45.3176/@34.6101,45.3176,14z?hl=en","Maplink2")</f>
        <v>Maplink2</v>
      </c>
      <c r="AV2740" s="12" t="str">
        <f>HYPERLINK("http://www.bing.com/maps/?lvl=14&amp;sty=h&amp;cp=34.6101~45.3176&amp;sp=point.34.6101_45.3176","Maplink3")</f>
        <v>Maplink3</v>
      </c>
    </row>
    <row r="2741" spans="1:48" ht="15" customHeight="1" x14ac:dyDescent="0.25">
      <c r="A2741" s="19">
        <v>31998</v>
      </c>
      <c r="B2741" s="20" t="s">
        <v>24</v>
      </c>
      <c r="C2741" s="20" t="s">
        <v>4697</v>
      </c>
      <c r="D2741" s="20" t="s">
        <v>2745</v>
      </c>
      <c r="E2741" s="20" t="s">
        <v>2161</v>
      </c>
      <c r="F2741" s="20">
        <v>34.62294</v>
      </c>
      <c r="G2741" s="20">
        <v>45.309150000000002</v>
      </c>
      <c r="H2741" s="22">
        <v>51</v>
      </c>
      <c r="I2741" s="22">
        <v>306</v>
      </c>
      <c r="J2741" s="21">
        <v>3</v>
      </c>
      <c r="K2741" s="21"/>
      <c r="L2741" s="21">
        <v>2</v>
      </c>
      <c r="M2741" s="21"/>
      <c r="N2741" s="21"/>
      <c r="O2741" s="21">
        <v>42</v>
      </c>
      <c r="P2741" s="21"/>
      <c r="Q2741" s="21"/>
      <c r="R2741" s="21">
        <v>1</v>
      </c>
      <c r="S2741" s="21"/>
      <c r="T2741" s="21"/>
      <c r="U2741" s="21"/>
      <c r="V2741" s="21">
        <v>1</v>
      </c>
      <c r="W2741" s="21"/>
      <c r="X2741" s="21">
        <v>2</v>
      </c>
      <c r="Y2741" s="21"/>
      <c r="Z2741" s="21"/>
      <c r="AA2741" s="21"/>
      <c r="AB2741" s="21"/>
      <c r="AC2741" s="21"/>
      <c r="AD2741" s="21"/>
      <c r="AE2741" s="21"/>
      <c r="AF2741" s="21"/>
      <c r="AG2741" s="21"/>
      <c r="AH2741" s="21">
        <v>51</v>
      </c>
      <c r="AI2741" s="21"/>
      <c r="AJ2741" s="21"/>
      <c r="AK2741" s="21"/>
      <c r="AL2741" s="21">
        <v>1</v>
      </c>
      <c r="AM2741" s="21">
        <v>15</v>
      </c>
      <c r="AN2741" s="21">
        <v>4</v>
      </c>
      <c r="AO2741" s="21">
        <v>3</v>
      </c>
      <c r="AP2741" s="21">
        <v>8</v>
      </c>
      <c r="AQ2741" s="21">
        <v>3</v>
      </c>
      <c r="AR2741" s="21">
        <v>13</v>
      </c>
      <c r="AS2741" s="21">
        <v>4</v>
      </c>
      <c r="AT2741" s="12" t="str">
        <f>HYPERLINK("http://www.openstreetmap.org/?mlat=34.6229&amp;mlon=45.3092&amp;zoom=12#map=12/34.6229/45.3092","Maplink1")</f>
        <v>Maplink1</v>
      </c>
      <c r="AU2741" s="12" t="str">
        <f>HYPERLINK("https://www.google.iq/maps/search/+34.6229,45.3092/@34.6229,45.3092,14z?hl=en","Maplink2")</f>
        <v>Maplink2</v>
      </c>
      <c r="AV2741" s="12" t="str">
        <f>HYPERLINK("http://www.bing.com/maps/?lvl=14&amp;sty=h&amp;cp=34.6229~45.3092&amp;sp=point.34.6229_45.3092","Maplink3")</f>
        <v>Maplink3</v>
      </c>
    </row>
    <row r="2742" spans="1:48" ht="15" customHeight="1" x14ac:dyDescent="0.25">
      <c r="A2742" s="19">
        <v>24890</v>
      </c>
      <c r="B2742" s="20" t="s">
        <v>24</v>
      </c>
      <c r="C2742" s="20" t="s">
        <v>4697</v>
      </c>
      <c r="D2742" s="20" t="s">
        <v>4757</v>
      </c>
      <c r="E2742" s="20" t="s">
        <v>4758</v>
      </c>
      <c r="F2742" s="20">
        <v>34.621859909999998</v>
      </c>
      <c r="G2742" s="20">
        <v>45.331536419999999</v>
      </c>
      <c r="H2742" s="22">
        <v>50</v>
      </c>
      <c r="I2742" s="22">
        <v>300</v>
      </c>
      <c r="J2742" s="21">
        <v>1</v>
      </c>
      <c r="K2742" s="21"/>
      <c r="L2742" s="21"/>
      <c r="M2742" s="21"/>
      <c r="N2742" s="21"/>
      <c r="O2742" s="21">
        <v>36</v>
      </c>
      <c r="P2742" s="21"/>
      <c r="Q2742" s="21"/>
      <c r="R2742" s="21">
        <v>1</v>
      </c>
      <c r="S2742" s="21"/>
      <c r="T2742" s="21"/>
      <c r="U2742" s="21"/>
      <c r="V2742" s="21">
        <v>1</v>
      </c>
      <c r="W2742" s="21"/>
      <c r="X2742" s="21">
        <v>11</v>
      </c>
      <c r="Y2742" s="21"/>
      <c r="Z2742" s="21"/>
      <c r="AA2742" s="21"/>
      <c r="AB2742" s="21"/>
      <c r="AC2742" s="21"/>
      <c r="AD2742" s="21"/>
      <c r="AE2742" s="21"/>
      <c r="AF2742" s="21"/>
      <c r="AG2742" s="21"/>
      <c r="AH2742" s="21">
        <v>50</v>
      </c>
      <c r="AI2742" s="21"/>
      <c r="AJ2742" s="21"/>
      <c r="AK2742" s="21"/>
      <c r="AL2742" s="21">
        <v>2</v>
      </c>
      <c r="AM2742" s="21">
        <v>10</v>
      </c>
      <c r="AN2742" s="21">
        <v>3</v>
      </c>
      <c r="AO2742" s="21">
        <v>12</v>
      </c>
      <c r="AP2742" s="21">
        <v>3</v>
      </c>
      <c r="AQ2742" s="21"/>
      <c r="AR2742" s="21">
        <v>5</v>
      </c>
      <c r="AS2742" s="21">
        <v>15</v>
      </c>
      <c r="AT2742" s="12" t="str">
        <f>HYPERLINK("http://www.openstreetmap.org/?mlat=34.6219&amp;mlon=45.3315&amp;zoom=12#map=12/34.6219/45.3315","Maplink1")</f>
        <v>Maplink1</v>
      </c>
      <c r="AU2742" s="12" t="str">
        <f>HYPERLINK("https://www.google.iq/maps/search/+34.6219,45.3315/@34.6219,45.3315,14z?hl=en","Maplink2")</f>
        <v>Maplink2</v>
      </c>
      <c r="AV2742" s="12" t="str">
        <f>HYPERLINK("http://www.bing.com/maps/?lvl=14&amp;sty=h&amp;cp=34.6219~45.3315&amp;sp=point.34.6219_45.3315","Maplink3")</f>
        <v>Maplink3</v>
      </c>
    </row>
    <row r="2743" spans="1:48" ht="15" customHeight="1" x14ac:dyDescent="0.25">
      <c r="A2743" s="19">
        <v>29695</v>
      </c>
      <c r="B2743" s="20" t="s">
        <v>24</v>
      </c>
      <c r="C2743" s="20" t="s">
        <v>4697</v>
      </c>
      <c r="D2743" s="20" t="s">
        <v>4759</v>
      </c>
      <c r="E2743" s="20" t="s">
        <v>4760</v>
      </c>
      <c r="F2743" s="20">
        <v>34.490810000000003</v>
      </c>
      <c r="G2743" s="20">
        <v>45.119010000000003</v>
      </c>
      <c r="H2743" s="22">
        <v>8</v>
      </c>
      <c r="I2743" s="22">
        <v>48</v>
      </c>
      <c r="J2743" s="21"/>
      <c r="K2743" s="21"/>
      <c r="L2743" s="21"/>
      <c r="M2743" s="21"/>
      <c r="N2743" s="21"/>
      <c r="O2743" s="21">
        <v>8</v>
      </c>
      <c r="P2743" s="21"/>
      <c r="Q2743" s="21"/>
      <c r="R2743" s="21"/>
      <c r="S2743" s="21"/>
      <c r="T2743" s="21"/>
      <c r="U2743" s="21"/>
      <c r="V2743" s="21"/>
      <c r="W2743" s="21"/>
      <c r="X2743" s="21"/>
      <c r="Y2743" s="21"/>
      <c r="Z2743" s="21"/>
      <c r="AA2743" s="21"/>
      <c r="AB2743" s="21"/>
      <c r="AC2743" s="21">
        <v>7</v>
      </c>
      <c r="AD2743" s="21"/>
      <c r="AE2743" s="21"/>
      <c r="AF2743" s="21"/>
      <c r="AG2743" s="21"/>
      <c r="AH2743" s="21">
        <v>1</v>
      </c>
      <c r="AI2743" s="21"/>
      <c r="AJ2743" s="21"/>
      <c r="AK2743" s="21"/>
      <c r="AL2743" s="21"/>
      <c r="AM2743" s="21">
        <v>7</v>
      </c>
      <c r="AN2743" s="21"/>
      <c r="AO2743" s="21">
        <v>1</v>
      </c>
      <c r="AP2743" s="21"/>
      <c r="AQ2743" s="21"/>
      <c r="AR2743" s="21"/>
      <c r="AS2743" s="21"/>
      <c r="AT2743" s="12" t="str">
        <f>HYPERLINK("http://www.openstreetmap.org/?mlat=34.4908&amp;mlon=45.119&amp;zoom=12#map=12/34.4908/45.119","Maplink1")</f>
        <v>Maplink1</v>
      </c>
      <c r="AU2743" s="12" t="str">
        <f>HYPERLINK("https://www.google.iq/maps/search/+34.4908,45.119/@34.4908,45.119,14z?hl=en","Maplink2")</f>
        <v>Maplink2</v>
      </c>
      <c r="AV2743" s="12" t="str">
        <f>HYPERLINK("http://www.bing.com/maps/?lvl=14&amp;sty=h&amp;cp=34.4908~45.119&amp;sp=point.34.4908_45.119","Maplink3")</f>
        <v>Maplink3</v>
      </c>
    </row>
    <row r="2744" spans="1:48" ht="15" customHeight="1" x14ac:dyDescent="0.25">
      <c r="A2744" s="19">
        <v>26072</v>
      </c>
      <c r="B2744" s="20" t="s">
        <v>24</v>
      </c>
      <c r="C2744" s="20" t="s">
        <v>4697</v>
      </c>
      <c r="D2744" s="20" t="s">
        <v>4761</v>
      </c>
      <c r="E2744" s="20" t="s">
        <v>4762</v>
      </c>
      <c r="F2744" s="20">
        <v>34.705441540000002</v>
      </c>
      <c r="G2744" s="20">
        <v>45.449105850000002</v>
      </c>
      <c r="H2744" s="22">
        <v>338</v>
      </c>
      <c r="I2744" s="22">
        <v>2028</v>
      </c>
      <c r="J2744" s="21">
        <v>30</v>
      </c>
      <c r="K2744" s="21">
        <v>136</v>
      </c>
      <c r="L2744" s="21">
        <v>3</v>
      </c>
      <c r="M2744" s="21"/>
      <c r="N2744" s="21"/>
      <c r="O2744" s="21">
        <v>49</v>
      </c>
      <c r="P2744" s="21"/>
      <c r="Q2744" s="21"/>
      <c r="R2744" s="21"/>
      <c r="S2744" s="21"/>
      <c r="T2744" s="21"/>
      <c r="U2744" s="21"/>
      <c r="V2744" s="21">
        <v>26</v>
      </c>
      <c r="W2744" s="21"/>
      <c r="X2744" s="21">
        <v>94</v>
      </c>
      <c r="Y2744" s="21"/>
      <c r="Z2744" s="21"/>
      <c r="AA2744" s="21"/>
      <c r="AB2744" s="21">
        <v>338</v>
      </c>
      <c r="AC2744" s="21"/>
      <c r="AD2744" s="21"/>
      <c r="AE2744" s="21"/>
      <c r="AF2744" s="21"/>
      <c r="AG2744" s="21"/>
      <c r="AH2744" s="21"/>
      <c r="AI2744" s="21"/>
      <c r="AJ2744" s="21"/>
      <c r="AK2744" s="21"/>
      <c r="AL2744" s="21">
        <v>2</v>
      </c>
      <c r="AM2744" s="21">
        <v>105</v>
      </c>
      <c r="AN2744" s="21">
        <v>35</v>
      </c>
      <c r="AO2744" s="21">
        <v>55</v>
      </c>
      <c r="AP2744" s="21">
        <v>20</v>
      </c>
      <c r="AQ2744" s="21">
        <v>71</v>
      </c>
      <c r="AR2744" s="21">
        <v>36</v>
      </c>
      <c r="AS2744" s="21">
        <v>14</v>
      </c>
      <c r="AT2744" s="12" t="str">
        <f>HYPERLINK("http://www.openstreetmap.org/?mlat=34.7054&amp;mlon=45.4491&amp;zoom=12#map=12/34.7054/45.4491","Maplink1")</f>
        <v>Maplink1</v>
      </c>
      <c r="AU2744" s="12" t="str">
        <f>HYPERLINK("https://www.google.iq/maps/search/+34.7054,45.4491/@34.7054,45.4491,14z?hl=en","Maplink2")</f>
        <v>Maplink2</v>
      </c>
      <c r="AV2744" s="12" t="str">
        <f>HYPERLINK("http://www.bing.com/maps/?lvl=14&amp;sty=h&amp;cp=34.7054~45.4491&amp;sp=point.34.7054_45.4491","Maplink3")</f>
        <v>Maplink3</v>
      </c>
    </row>
    <row r="2745" spans="1:48" ht="15" customHeight="1" x14ac:dyDescent="0.25">
      <c r="A2745" s="19">
        <v>31929</v>
      </c>
      <c r="B2745" s="20" t="s">
        <v>24</v>
      </c>
      <c r="C2745" s="20" t="s">
        <v>4697</v>
      </c>
      <c r="D2745" s="20" t="s">
        <v>4763</v>
      </c>
      <c r="E2745" s="20" t="s">
        <v>4764</v>
      </c>
      <c r="F2745" s="20">
        <v>34.657449999999997</v>
      </c>
      <c r="G2745" s="20">
        <v>45.259329999999999</v>
      </c>
      <c r="H2745" s="22">
        <v>101</v>
      </c>
      <c r="I2745" s="22">
        <v>606</v>
      </c>
      <c r="J2745" s="21">
        <v>5</v>
      </c>
      <c r="K2745" s="21">
        <v>6</v>
      </c>
      <c r="L2745" s="21">
        <v>1</v>
      </c>
      <c r="M2745" s="21"/>
      <c r="N2745" s="21"/>
      <c r="O2745" s="21">
        <v>60</v>
      </c>
      <c r="P2745" s="21"/>
      <c r="Q2745" s="21"/>
      <c r="R2745" s="21"/>
      <c r="S2745" s="21"/>
      <c r="T2745" s="21"/>
      <c r="U2745" s="21"/>
      <c r="V2745" s="21"/>
      <c r="W2745" s="21"/>
      <c r="X2745" s="21">
        <v>29</v>
      </c>
      <c r="Y2745" s="21"/>
      <c r="Z2745" s="21"/>
      <c r="AA2745" s="21"/>
      <c r="AB2745" s="21"/>
      <c r="AC2745" s="21"/>
      <c r="AD2745" s="21"/>
      <c r="AE2745" s="21"/>
      <c r="AF2745" s="21"/>
      <c r="AG2745" s="21"/>
      <c r="AH2745" s="21">
        <v>101</v>
      </c>
      <c r="AI2745" s="21"/>
      <c r="AJ2745" s="21"/>
      <c r="AK2745" s="21"/>
      <c r="AL2745" s="21">
        <v>8</v>
      </c>
      <c r="AM2745" s="21">
        <v>15</v>
      </c>
      <c r="AN2745" s="21">
        <v>2</v>
      </c>
      <c r="AO2745" s="21">
        <v>17</v>
      </c>
      <c r="AP2745" s="21">
        <v>18</v>
      </c>
      <c r="AQ2745" s="21">
        <v>5</v>
      </c>
      <c r="AR2745" s="21">
        <v>3</v>
      </c>
      <c r="AS2745" s="21">
        <v>33</v>
      </c>
      <c r="AT2745" s="12" t="str">
        <f>HYPERLINK("http://www.openstreetmap.org/?mlat=34.6574&amp;mlon=45.2593&amp;zoom=12#map=12/34.6574/45.2593","Maplink1")</f>
        <v>Maplink1</v>
      </c>
      <c r="AU2745" s="12" t="str">
        <f>HYPERLINK("https://www.google.iq/maps/search/+34.6574,45.2593/@34.6574,45.2593,14z?hl=en","Maplink2")</f>
        <v>Maplink2</v>
      </c>
      <c r="AV2745" s="12" t="str">
        <f>HYPERLINK("http://www.bing.com/maps/?lvl=14&amp;sty=h&amp;cp=34.6574~45.2593&amp;sp=point.34.6574_45.2593","Maplink3")</f>
        <v>Maplink3</v>
      </c>
    </row>
    <row r="2746" spans="1:48" ht="15" customHeight="1" x14ac:dyDescent="0.25">
      <c r="A2746" s="19">
        <v>22459</v>
      </c>
      <c r="B2746" s="20" t="s">
        <v>24</v>
      </c>
      <c r="C2746" s="20" t="s">
        <v>4765</v>
      </c>
      <c r="D2746" s="20" t="s">
        <v>2673</v>
      </c>
      <c r="E2746" s="20" t="s">
        <v>2554</v>
      </c>
      <c r="F2746" s="20">
        <v>35.62305954</v>
      </c>
      <c r="G2746" s="20">
        <v>45.949051840000003</v>
      </c>
      <c r="H2746" s="22">
        <v>2</v>
      </c>
      <c r="I2746" s="22">
        <v>12</v>
      </c>
      <c r="J2746" s="21">
        <v>1</v>
      </c>
      <c r="K2746" s="21"/>
      <c r="L2746" s="21">
        <v>1</v>
      </c>
      <c r="M2746" s="21"/>
      <c r="N2746" s="21"/>
      <c r="O2746" s="21"/>
      <c r="P2746" s="21"/>
      <c r="Q2746" s="21"/>
      <c r="R2746" s="21"/>
      <c r="S2746" s="21"/>
      <c r="T2746" s="21"/>
      <c r="U2746" s="21"/>
      <c r="V2746" s="21"/>
      <c r="W2746" s="21"/>
      <c r="X2746" s="21"/>
      <c r="Y2746" s="21"/>
      <c r="Z2746" s="21"/>
      <c r="AA2746" s="21"/>
      <c r="AB2746" s="21"/>
      <c r="AC2746" s="21"/>
      <c r="AD2746" s="21"/>
      <c r="AE2746" s="21"/>
      <c r="AF2746" s="21"/>
      <c r="AG2746" s="21"/>
      <c r="AH2746" s="21">
        <v>2</v>
      </c>
      <c r="AI2746" s="21"/>
      <c r="AJ2746" s="21"/>
      <c r="AK2746" s="21"/>
      <c r="AL2746" s="21">
        <v>1</v>
      </c>
      <c r="AM2746" s="21"/>
      <c r="AN2746" s="21"/>
      <c r="AO2746" s="21">
        <v>1</v>
      </c>
      <c r="AP2746" s="21"/>
      <c r="AQ2746" s="21"/>
      <c r="AR2746" s="21"/>
      <c r="AS2746" s="21"/>
      <c r="AT2746" s="12" t="str">
        <f>HYPERLINK("http://www.openstreetmap.org/?mlat=35.6231&amp;mlon=45.9491&amp;zoom=12#map=12/35.6231/45.9491","Maplink1")</f>
        <v>Maplink1</v>
      </c>
      <c r="AU2746" s="12" t="str">
        <f>HYPERLINK("https://www.google.iq/maps/search/+35.6231,45.9491/@35.6231,45.9491,14z?hl=en","Maplink2")</f>
        <v>Maplink2</v>
      </c>
      <c r="AV2746" s="12" t="str">
        <f>HYPERLINK("http://www.bing.com/maps/?lvl=14&amp;sty=h&amp;cp=35.6231~45.9491&amp;sp=point.35.6231_45.9491","Maplink3")</f>
        <v>Maplink3</v>
      </c>
    </row>
    <row r="2747" spans="1:48" ht="15" customHeight="1" x14ac:dyDescent="0.25">
      <c r="A2747" s="19">
        <v>22591</v>
      </c>
      <c r="B2747" s="20" t="s">
        <v>24</v>
      </c>
      <c r="C2747" s="20" t="s">
        <v>4765</v>
      </c>
      <c r="D2747" s="20" t="s">
        <v>2722</v>
      </c>
      <c r="E2747" s="20" t="s">
        <v>2215</v>
      </c>
      <c r="F2747" s="20">
        <v>35.630229919999998</v>
      </c>
      <c r="G2747" s="20">
        <v>45.939754919999999</v>
      </c>
      <c r="H2747" s="22">
        <v>4</v>
      </c>
      <c r="I2747" s="22">
        <v>24</v>
      </c>
      <c r="J2747" s="21"/>
      <c r="K2747" s="21"/>
      <c r="L2747" s="21">
        <v>1</v>
      </c>
      <c r="M2747" s="21"/>
      <c r="N2747" s="21"/>
      <c r="O2747" s="21">
        <v>1</v>
      </c>
      <c r="P2747" s="21"/>
      <c r="Q2747" s="21"/>
      <c r="R2747" s="21"/>
      <c r="S2747" s="21"/>
      <c r="T2747" s="21"/>
      <c r="U2747" s="21"/>
      <c r="V2747" s="21"/>
      <c r="W2747" s="21"/>
      <c r="X2747" s="21">
        <v>2</v>
      </c>
      <c r="Y2747" s="21"/>
      <c r="Z2747" s="21"/>
      <c r="AA2747" s="21"/>
      <c r="AB2747" s="21"/>
      <c r="AC2747" s="21"/>
      <c r="AD2747" s="21"/>
      <c r="AE2747" s="21"/>
      <c r="AF2747" s="21"/>
      <c r="AG2747" s="21"/>
      <c r="AH2747" s="21">
        <v>4</v>
      </c>
      <c r="AI2747" s="21"/>
      <c r="AJ2747" s="21"/>
      <c r="AK2747" s="21"/>
      <c r="AL2747" s="21">
        <v>1</v>
      </c>
      <c r="AM2747" s="21">
        <v>3</v>
      </c>
      <c r="AN2747" s="21"/>
      <c r="AO2747" s="21"/>
      <c r="AP2747" s="21"/>
      <c r="AQ2747" s="21"/>
      <c r="AR2747" s="21"/>
      <c r="AS2747" s="21"/>
      <c r="AT2747" s="12" t="str">
        <f>HYPERLINK("http://www.openstreetmap.org/?mlat=35.6302&amp;mlon=45.9398&amp;zoom=12#map=12/35.6302/45.9398","Maplink1")</f>
        <v>Maplink1</v>
      </c>
      <c r="AU2747" s="12" t="str">
        <f>HYPERLINK("https://www.google.iq/maps/search/+35.6302,45.9398/@35.6302,45.9398,14z?hl=en","Maplink2")</f>
        <v>Maplink2</v>
      </c>
      <c r="AV2747" s="12" t="str">
        <f>HYPERLINK("http://www.bing.com/maps/?lvl=14&amp;sty=h&amp;cp=35.6302~45.9398&amp;sp=point.35.6302_45.9398","Maplink3")</f>
        <v>Maplink3</v>
      </c>
    </row>
    <row r="2748" spans="1:48" ht="15" customHeight="1" x14ac:dyDescent="0.25">
      <c r="A2748" s="19">
        <v>24669</v>
      </c>
      <c r="B2748" s="20" t="s">
        <v>24</v>
      </c>
      <c r="C2748" s="20" t="s">
        <v>4766</v>
      </c>
      <c r="D2748" s="20" t="s">
        <v>4767</v>
      </c>
      <c r="E2748" s="20" t="s">
        <v>4768</v>
      </c>
      <c r="F2748" s="20">
        <v>36.183275330000001</v>
      </c>
      <c r="G2748" s="20">
        <v>45.126748310000004</v>
      </c>
      <c r="H2748" s="22">
        <v>2</v>
      </c>
      <c r="I2748" s="22">
        <v>12</v>
      </c>
      <c r="J2748" s="21">
        <v>2</v>
      </c>
      <c r="K2748" s="21"/>
      <c r="L2748" s="21"/>
      <c r="M2748" s="21"/>
      <c r="N2748" s="21"/>
      <c r="O2748" s="21"/>
      <c r="P2748" s="21"/>
      <c r="Q2748" s="21"/>
      <c r="R2748" s="21"/>
      <c r="S2748" s="21"/>
      <c r="T2748" s="21"/>
      <c r="U2748" s="21"/>
      <c r="V2748" s="21"/>
      <c r="W2748" s="21"/>
      <c r="X2748" s="21"/>
      <c r="Y2748" s="21"/>
      <c r="Z2748" s="21"/>
      <c r="AA2748" s="21"/>
      <c r="AB2748" s="21"/>
      <c r="AC2748" s="21"/>
      <c r="AD2748" s="21"/>
      <c r="AE2748" s="21"/>
      <c r="AF2748" s="21"/>
      <c r="AG2748" s="21"/>
      <c r="AH2748" s="21">
        <v>2</v>
      </c>
      <c r="AI2748" s="21"/>
      <c r="AJ2748" s="21"/>
      <c r="AK2748" s="21"/>
      <c r="AL2748" s="21"/>
      <c r="AM2748" s="21"/>
      <c r="AN2748" s="21"/>
      <c r="AO2748" s="21">
        <v>2</v>
      </c>
      <c r="AP2748" s="21"/>
      <c r="AQ2748" s="21"/>
      <c r="AR2748" s="21"/>
      <c r="AS2748" s="21"/>
      <c r="AT2748" s="12" t="str">
        <f>HYPERLINK("http://www.openstreetmap.org/?mlat=36.1833&amp;mlon=45.1267&amp;zoom=12#map=12/36.1833/45.1267","Maplink1")</f>
        <v>Maplink1</v>
      </c>
      <c r="AU2748" s="12" t="str">
        <f>HYPERLINK("https://www.google.iq/maps/search/+36.1833,45.1267/@36.1833,45.1267,14z?hl=en","Maplink2")</f>
        <v>Maplink2</v>
      </c>
      <c r="AV2748" s="12" t="str">
        <f>HYPERLINK("http://www.bing.com/maps/?lvl=14&amp;sty=h&amp;cp=36.1833~45.1267&amp;sp=point.36.1833_45.1267","Maplink3")</f>
        <v>Maplink3</v>
      </c>
    </row>
    <row r="2749" spans="1:48" ht="15" customHeight="1" x14ac:dyDescent="0.25">
      <c r="A2749" s="19">
        <v>31849</v>
      </c>
      <c r="B2749" s="20" t="s">
        <v>24</v>
      </c>
      <c r="C2749" s="20" t="s">
        <v>4766</v>
      </c>
      <c r="D2749" s="20" t="s">
        <v>4582</v>
      </c>
      <c r="E2749" s="20" t="s">
        <v>4583</v>
      </c>
      <c r="F2749" s="20">
        <v>36.248950000000001</v>
      </c>
      <c r="G2749" s="20">
        <v>45.007719999999999</v>
      </c>
      <c r="H2749" s="22">
        <v>5</v>
      </c>
      <c r="I2749" s="22">
        <v>30</v>
      </c>
      <c r="J2749" s="21">
        <v>4</v>
      </c>
      <c r="K2749" s="21"/>
      <c r="L2749" s="21"/>
      <c r="M2749" s="21"/>
      <c r="N2749" s="21"/>
      <c r="O2749" s="21"/>
      <c r="P2749" s="21"/>
      <c r="Q2749" s="21"/>
      <c r="R2749" s="21"/>
      <c r="S2749" s="21"/>
      <c r="T2749" s="21"/>
      <c r="U2749" s="21"/>
      <c r="V2749" s="21">
        <v>1</v>
      </c>
      <c r="W2749" s="21"/>
      <c r="X2749" s="21"/>
      <c r="Y2749" s="21"/>
      <c r="Z2749" s="21"/>
      <c r="AA2749" s="21"/>
      <c r="AB2749" s="21"/>
      <c r="AC2749" s="21"/>
      <c r="AD2749" s="21"/>
      <c r="AE2749" s="21"/>
      <c r="AF2749" s="21"/>
      <c r="AG2749" s="21"/>
      <c r="AH2749" s="21">
        <v>5</v>
      </c>
      <c r="AI2749" s="21"/>
      <c r="AJ2749" s="21"/>
      <c r="AK2749" s="21"/>
      <c r="AL2749" s="21">
        <v>4</v>
      </c>
      <c r="AM2749" s="21">
        <v>1</v>
      </c>
      <c r="AN2749" s="21"/>
      <c r="AO2749" s="21"/>
      <c r="AP2749" s="21"/>
      <c r="AQ2749" s="21"/>
      <c r="AR2749" s="21"/>
      <c r="AS2749" s="21"/>
      <c r="AT2749" s="12" t="str">
        <f>HYPERLINK("http://www.openstreetmap.org/?mlat=36.249&amp;mlon=45.0077&amp;zoom=12#map=12/36.249/45.0077","Maplink1")</f>
        <v>Maplink1</v>
      </c>
      <c r="AU2749" s="12" t="str">
        <f>HYPERLINK("https://www.google.iq/maps/search/+36.249,45.0077/@36.249,45.0077,14z?hl=en","Maplink2")</f>
        <v>Maplink2</v>
      </c>
      <c r="AV2749" s="12" t="str">
        <f>HYPERLINK("http://www.bing.com/maps/?lvl=14&amp;sty=h&amp;cp=36.249~45.0077&amp;sp=point.36.249_45.0077","Maplink3")</f>
        <v>Maplink3</v>
      </c>
    </row>
    <row r="2750" spans="1:48" ht="15" customHeight="1" x14ac:dyDescent="0.25">
      <c r="A2750" s="19">
        <v>31851</v>
      </c>
      <c r="B2750" s="20" t="s">
        <v>24</v>
      </c>
      <c r="C2750" s="20" t="s">
        <v>4766</v>
      </c>
      <c r="D2750" s="20" t="s">
        <v>1951</v>
      </c>
      <c r="E2750" s="20" t="s">
        <v>2777</v>
      </c>
      <c r="F2750" s="20">
        <v>36.25441</v>
      </c>
      <c r="G2750" s="20">
        <v>45.009569999999997</v>
      </c>
      <c r="H2750" s="22">
        <v>1</v>
      </c>
      <c r="I2750" s="22">
        <v>6</v>
      </c>
      <c r="J2750" s="21">
        <v>1</v>
      </c>
      <c r="K2750" s="21"/>
      <c r="L2750" s="21"/>
      <c r="M2750" s="21"/>
      <c r="N2750" s="21"/>
      <c r="O2750" s="21"/>
      <c r="P2750" s="21"/>
      <c r="Q2750" s="21"/>
      <c r="R2750" s="21"/>
      <c r="S2750" s="21"/>
      <c r="T2750" s="21"/>
      <c r="U2750" s="21"/>
      <c r="V2750" s="21"/>
      <c r="W2750" s="21"/>
      <c r="X2750" s="21"/>
      <c r="Y2750" s="21"/>
      <c r="Z2750" s="21"/>
      <c r="AA2750" s="21"/>
      <c r="AB2750" s="21"/>
      <c r="AC2750" s="21"/>
      <c r="AD2750" s="21"/>
      <c r="AE2750" s="21"/>
      <c r="AF2750" s="21"/>
      <c r="AG2750" s="21"/>
      <c r="AH2750" s="21">
        <v>1</v>
      </c>
      <c r="AI2750" s="21"/>
      <c r="AJ2750" s="21"/>
      <c r="AK2750" s="21"/>
      <c r="AL2750" s="21"/>
      <c r="AM2750" s="21"/>
      <c r="AN2750" s="21"/>
      <c r="AO2750" s="21">
        <v>1</v>
      </c>
      <c r="AP2750" s="21"/>
      <c r="AQ2750" s="21"/>
      <c r="AR2750" s="21"/>
      <c r="AS2750" s="21"/>
      <c r="AT2750" s="12" t="str">
        <f>HYPERLINK("http://www.openstreetmap.org/?mlat=36.2544&amp;mlon=45.0096&amp;zoom=12#map=12/36.2544/45.0096","Maplink1")</f>
        <v>Maplink1</v>
      </c>
      <c r="AU2750" s="12" t="str">
        <f>HYPERLINK("https://www.google.iq/maps/search/+36.2544,45.0096/@36.2544,45.0096,14z?hl=en","Maplink2")</f>
        <v>Maplink2</v>
      </c>
      <c r="AV2750" s="12" t="str">
        <f>HYPERLINK("http://www.bing.com/maps/?lvl=14&amp;sty=h&amp;cp=36.2544~45.0096&amp;sp=point.36.2544_45.0096","Maplink3")</f>
        <v>Maplink3</v>
      </c>
    </row>
    <row r="2751" spans="1:48" ht="15" customHeight="1" x14ac:dyDescent="0.25">
      <c r="A2751" s="19">
        <v>31853</v>
      </c>
      <c r="B2751" s="20" t="s">
        <v>24</v>
      </c>
      <c r="C2751" s="20" t="s">
        <v>4766</v>
      </c>
      <c r="D2751" s="20" t="s">
        <v>4769</v>
      </c>
      <c r="E2751" s="20" t="s">
        <v>4770</v>
      </c>
      <c r="F2751" s="20">
        <v>36.252589999999998</v>
      </c>
      <c r="G2751" s="20">
        <v>45.036079999999998</v>
      </c>
      <c r="H2751" s="22">
        <v>6</v>
      </c>
      <c r="I2751" s="22">
        <v>36</v>
      </c>
      <c r="J2751" s="21"/>
      <c r="K2751" s="21"/>
      <c r="L2751" s="21">
        <v>2</v>
      </c>
      <c r="M2751" s="21"/>
      <c r="N2751" s="21"/>
      <c r="O2751" s="21"/>
      <c r="P2751" s="21"/>
      <c r="Q2751" s="21"/>
      <c r="R2751" s="21"/>
      <c r="S2751" s="21"/>
      <c r="T2751" s="21"/>
      <c r="U2751" s="21"/>
      <c r="V2751" s="21">
        <v>4</v>
      </c>
      <c r="W2751" s="21"/>
      <c r="X2751" s="21"/>
      <c r="Y2751" s="21"/>
      <c r="Z2751" s="21"/>
      <c r="AA2751" s="21"/>
      <c r="AB2751" s="21"/>
      <c r="AC2751" s="21"/>
      <c r="AD2751" s="21"/>
      <c r="AE2751" s="21"/>
      <c r="AF2751" s="21"/>
      <c r="AG2751" s="21"/>
      <c r="AH2751" s="21">
        <v>6</v>
      </c>
      <c r="AI2751" s="21"/>
      <c r="AJ2751" s="21"/>
      <c r="AK2751" s="21"/>
      <c r="AL2751" s="21"/>
      <c r="AM2751" s="21"/>
      <c r="AN2751" s="21">
        <v>4</v>
      </c>
      <c r="AO2751" s="21"/>
      <c r="AP2751" s="21"/>
      <c r="AQ2751" s="21">
        <v>2</v>
      </c>
      <c r="AR2751" s="21"/>
      <c r="AS2751" s="21"/>
      <c r="AT2751" s="12" t="str">
        <f>HYPERLINK("http://www.openstreetmap.org/?mlat=36.2526&amp;mlon=45.0361&amp;zoom=12#map=12/36.2526/45.0361","Maplink1")</f>
        <v>Maplink1</v>
      </c>
      <c r="AU2751" s="12" t="str">
        <f>HYPERLINK("https://www.google.iq/maps/search/+36.2526,45.0361/@36.2526,45.0361,14z?hl=en","Maplink2")</f>
        <v>Maplink2</v>
      </c>
      <c r="AV2751" s="12" t="str">
        <f>HYPERLINK("http://www.bing.com/maps/?lvl=14&amp;sty=h&amp;cp=36.2526~45.0361&amp;sp=point.36.2526_45.0361","Maplink3")</f>
        <v>Maplink3</v>
      </c>
    </row>
    <row r="2752" spans="1:48" ht="15" customHeight="1" x14ac:dyDescent="0.25">
      <c r="A2752" s="19">
        <v>31852</v>
      </c>
      <c r="B2752" s="20" t="s">
        <v>24</v>
      </c>
      <c r="C2752" s="20" t="s">
        <v>4766</v>
      </c>
      <c r="D2752" s="20" t="s">
        <v>4771</v>
      </c>
      <c r="E2752" s="20" t="s">
        <v>4772</v>
      </c>
      <c r="F2752" s="20">
        <v>36.242440000000002</v>
      </c>
      <c r="G2752" s="20">
        <v>45.024970000000003</v>
      </c>
      <c r="H2752" s="22">
        <v>2</v>
      </c>
      <c r="I2752" s="22">
        <v>12</v>
      </c>
      <c r="J2752" s="21">
        <v>2</v>
      </c>
      <c r="K2752" s="21"/>
      <c r="L2752" s="21"/>
      <c r="M2752" s="21"/>
      <c r="N2752" s="21"/>
      <c r="O2752" s="21"/>
      <c r="P2752" s="21"/>
      <c r="Q2752" s="21"/>
      <c r="R2752" s="21"/>
      <c r="S2752" s="21"/>
      <c r="T2752" s="21"/>
      <c r="U2752" s="21"/>
      <c r="V2752" s="21"/>
      <c r="W2752" s="21"/>
      <c r="X2752" s="21"/>
      <c r="Y2752" s="21"/>
      <c r="Z2752" s="21"/>
      <c r="AA2752" s="21"/>
      <c r="AB2752" s="21"/>
      <c r="AC2752" s="21"/>
      <c r="AD2752" s="21"/>
      <c r="AE2752" s="21"/>
      <c r="AF2752" s="21"/>
      <c r="AG2752" s="21"/>
      <c r="AH2752" s="21">
        <v>2</v>
      </c>
      <c r="AI2752" s="21"/>
      <c r="AJ2752" s="21"/>
      <c r="AK2752" s="21"/>
      <c r="AL2752" s="21">
        <v>2</v>
      </c>
      <c r="AM2752" s="21"/>
      <c r="AN2752" s="21"/>
      <c r="AO2752" s="21"/>
      <c r="AP2752" s="21"/>
      <c r="AQ2752" s="21"/>
      <c r="AR2752" s="21"/>
      <c r="AS2752" s="21"/>
      <c r="AT2752" s="12" t="str">
        <f>HYPERLINK("http://www.openstreetmap.org/?mlat=36.2424&amp;mlon=45.025&amp;zoom=12#map=12/36.2424/45.025","Maplink1")</f>
        <v>Maplink1</v>
      </c>
      <c r="AU2752" s="12" t="str">
        <f>HYPERLINK("https://www.google.iq/maps/search/+36.2424,45.025/@36.2424,45.025,14z?hl=en","Maplink2")</f>
        <v>Maplink2</v>
      </c>
      <c r="AV2752" s="12" t="str">
        <f>HYPERLINK("http://www.bing.com/maps/?lvl=14&amp;sty=h&amp;cp=36.2424~45.025&amp;sp=point.36.2424_45.025","Maplink3")</f>
        <v>Maplink3</v>
      </c>
    </row>
    <row r="2753" spans="1:48" ht="15" customHeight="1" x14ac:dyDescent="0.25">
      <c r="A2753" s="19">
        <v>31847</v>
      </c>
      <c r="B2753" s="20" t="s">
        <v>24</v>
      </c>
      <c r="C2753" s="20" t="s">
        <v>4766</v>
      </c>
      <c r="D2753" s="20" t="s">
        <v>4773</v>
      </c>
      <c r="E2753" s="20" t="s">
        <v>4774</v>
      </c>
      <c r="F2753" s="20">
        <v>36.24691</v>
      </c>
      <c r="G2753" s="20">
        <v>45.004860000000001</v>
      </c>
      <c r="H2753" s="22">
        <v>3</v>
      </c>
      <c r="I2753" s="22">
        <v>18</v>
      </c>
      <c r="J2753" s="21">
        <v>3</v>
      </c>
      <c r="K2753" s="21"/>
      <c r="L2753" s="21"/>
      <c r="M2753" s="21"/>
      <c r="N2753" s="21"/>
      <c r="O2753" s="21"/>
      <c r="P2753" s="21"/>
      <c r="Q2753" s="21"/>
      <c r="R2753" s="21"/>
      <c r="S2753" s="21"/>
      <c r="T2753" s="21"/>
      <c r="U2753" s="21"/>
      <c r="V2753" s="21"/>
      <c r="W2753" s="21"/>
      <c r="X2753" s="21"/>
      <c r="Y2753" s="21"/>
      <c r="Z2753" s="21"/>
      <c r="AA2753" s="21"/>
      <c r="AB2753" s="21"/>
      <c r="AC2753" s="21"/>
      <c r="AD2753" s="21"/>
      <c r="AE2753" s="21"/>
      <c r="AF2753" s="21"/>
      <c r="AG2753" s="21"/>
      <c r="AH2753" s="21">
        <v>3</v>
      </c>
      <c r="AI2753" s="21"/>
      <c r="AJ2753" s="21"/>
      <c r="AK2753" s="21"/>
      <c r="AL2753" s="21"/>
      <c r="AM2753" s="21"/>
      <c r="AN2753" s="21"/>
      <c r="AO2753" s="21">
        <v>3</v>
      </c>
      <c r="AP2753" s="21"/>
      <c r="AQ2753" s="21"/>
      <c r="AR2753" s="21"/>
      <c r="AS2753" s="21"/>
      <c r="AT2753" s="12" t="str">
        <f>HYPERLINK("http://www.openstreetmap.org/?mlat=36.2469&amp;mlon=45.0049&amp;zoom=12#map=12/36.2469/45.0049","Maplink1")</f>
        <v>Maplink1</v>
      </c>
      <c r="AU2753" s="12" t="str">
        <f>HYPERLINK("https://www.google.iq/maps/search/+36.2469,45.0049/@36.2469,45.0049,14z?hl=en","Maplink2")</f>
        <v>Maplink2</v>
      </c>
      <c r="AV2753" s="12" t="str">
        <f>HYPERLINK("http://www.bing.com/maps/?lvl=14&amp;sty=h&amp;cp=36.2469~45.0049&amp;sp=point.36.2469_45.0049","Maplink3")</f>
        <v>Maplink3</v>
      </c>
    </row>
    <row r="2754" spans="1:48" ht="15" customHeight="1" x14ac:dyDescent="0.25">
      <c r="A2754" s="19">
        <v>31848</v>
      </c>
      <c r="B2754" s="20" t="s">
        <v>24</v>
      </c>
      <c r="C2754" s="20" t="s">
        <v>4766</v>
      </c>
      <c r="D2754" s="20" t="s">
        <v>4775</v>
      </c>
      <c r="E2754" s="20" t="s">
        <v>2550</v>
      </c>
      <c r="F2754" s="20">
        <v>36.244210000000002</v>
      </c>
      <c r="G2754" s="20">
        <v>45.008279999999999</v>
      </c>
      <c r="H2754" s="22">
        <v>3</v>
      </c>
      <c r="I2754" s="22">
        <v>18</v>
      </c>
      <c r="J2754" s="21">
        <v>2</v>
      </c>
      <c r="K2754" s="21"/>
      <c r="L2754" s="21"/>
      <c r="M2754" s="21"/>
      <c r="N2754" s="21"/>
      <c r="O2754" s="21">
        <v>1</v>
      </c>
      <c r="P2754" s="21"/>
      <c r="Q2754" s="21"/>
      <c r="R2754" s="21"/>
      <c r="S2754" s="21"/>
      <c r="T2754" s="21"/>
      <c r="U2754" s="21"/>
      <c r="V2754" s="21"/>
      <c r="W2754" s="21"/>
      <c r="X2754" s="21"/>
      <c r="Y2754" s="21"/>
      <c r="Z2754" s="21"/>
      <c r="AA2754" s="21"/>
      <c r="AB2754" s="21"/>
      <c r="AC2754" s="21"/>
      <c r="AD2754" s="21"/>
      <c r="AE2754" s="21"/>
      <c r="AF2754" s="21"/>
      <c r="AG2754" s="21"/>
      <c r="AH2754" s="21">
        <v>3</v>
      </c>
      <c r="AI2754" s="21"/>
      <c r="AJ2754" s="21"/>
      <c r="AK2754" s="21"/>
      <c r="AL2754" s="21"/>
      <c r="AM2754" s="21">
        <v>1</v>
      </c>
      <c r="AN2754" s="21"/>
      <c r="AO2754" s="21">
        <v>2</v>
      </c>
      <c r="AP2754" s="21"/>
      <c r="AQ2754" s="21"/>
      <c r="AR2754" s="21"/>
      <c r="AS2754" s="21"/>
      <c r="AT2754" s="12" t="str">
        <f>HYPERLINK("http://www.openstreetmap.org/?mlat=36.2442&amp;mlon=45.0083&amp;zoom=12#map=12/36.2442/45.0083","Maplink1")</f>
        <v>Maplink1</v>
      </c>
      <c r="AU2754" s="12" t="str">
        <f>HYPERLINK("https://www.google.iq/maps/search/+36.2442,45.0083/@36.2442,45.0083,14z?hl=en","Maplink2")</f>
        <v>Maplink2</v>
      </c>
      <c r="AV2754" s="12" t="str">
        <f>HYPERLINK("http://www.bing.com/maps/?lvl=14&amp;sty=h&amp;cp=36.2442~45.0083&amp;sp=point.36.2442_45.0083","Maplink3")</f>
        <v>Maplink3</v>
      </c>
    </row>
    <row r="2755" spans="1:48" ht="15" customHeight="1" x14ac:dyDescent="0.25">
      <c r="A2755" s="19">
        <v>31854</v>
      </c>
      <c r="B2755" s="20" t="s">
        <v>24</v>
      </c>
      <c r="C2755" s="20" t="s">
        <v>4766</v>
      </c>
      <c r="D2755" s="20" t="s">
        <v>5996</v>
      </c>
      <c r="E2755" s="20" t="s">
        <v>5997</v>
      </c>
      <c r="F2755" s="20">
        <v>36.19088</v>
      </c>
      <c r="G2755" s="20">
        <v>45.129249999999999</v>
      </c>
      <c r="H2755" s="22">
        <v>2</v>
      </c>
      <c r="I2755" s="22">
        <v>12</v>
      </c>
      <c r="J2755" s="21">
        <v>2</v>
      </c>
      <c r="K2755" s="21"/>
      <c r="L2755" s="21"/>
      <c r="M2755" s="21"/>
      <c r="N2755" s="21"/>
      <c r="O2755" s="21"/>
      <c r="P2755" s="21"/>
      <c r="Q2755" s="21"/>
      <c r="R2755" s="21"/>
      <c r="S2755" s="21"/>
      <c r="T2755" s="21"/>
      <c r="U2755" s="21"/>
      <c r="V2755" s="21"/>
      <c r="W2755" s="21"/>
      <c r="X2755" s="21"/>
      <c r="Y2755" s="21"/>
      <c r="Z2755" s="21"/>
      <c r="AA2755" s="21"/>
      <c r="AB2755" s="21"/>
      <c r="AC2755" s="21"/>
      <c r="AD2755" s="21"/>
      <c r="AE2755" s="21"/>
      <c r="AF2755" s="21"/>
      <c r="AG2755" s="21"/>
      <c r="AH2755" s="21">
        <v>2</v>
      </c>
      <c r="AI2755" s="21"/>
      <c r="AJ2755" s="21"/>
      <c r="AK2755" s="21"/>
      <c r="AL2755" s="21"/>
      <c r="AM2755" s="21"/>
      <c r="AN2755" s="21">
        <v>1</v>
      </c>
      <c r="AO2755" s="21">
        <v>1</v>
      </c>
      <c r="AP2755" s="21"/>
      <c r="AQ2755" s="21"/>
      <c r="AR2755" s="21"/>
      <c r="AS2755" s="21"/>
      <c r="AT2755" s="12" t="str">
        <f>HYPERLINK("http://www.openstreetmap.org/?mlat=36.1909&amp;mlon=45.1292&amp;zoom=12#map=12/36.1909/45.1292","Maplink1")</f>
        <v>Maplink1</v>
      </c>
      <c r="AU2755" s="12" t="str">
        <f>HYPERLINK("https://www.google.iq/maps/search/+36.1909,45.1292/@36.1909,45.1292,14z?hl=en","Maplink2")</f>
        <v>Maplink2</v>
      </c>
      <c r="AV2755" s="12" t="str">
        <f>HYPERLINK("http://www.bing.com/maps/?lvl=14&amp;sty=h&amp;cp=36.1909~45.1292&amp;sp=point.36.1909_45.1292","Maplink3")</f>
        <v>Maplink3</v>
      </c>
    </row>
    <row r="2756" spans="1:48" ht="15" customHeight="1" x14ac:dyDescent="0.25">
      <c r="A2756" s="19">
        <v>31856</v>
      </c>
      <c r="B2756" s="20" t="s">
        <v>24</v>
      </c>
      <c r="C2756" s="20" t="s">
        <v>4766</v>
      </c>
      <c r="D2756" s="20" t="s">
        <v>4776</v>
      </c>
      <c r="E2756" s="20" t="s">
        <v>4777</v>
      </c>
      <c r="F2756" s="20">
        <v>36.186630000000001</v>
      </c>
      <c r="G2756" s="20">
        <v>45.126669999999997</v>
      </c>
      <c r="H2756" s="22">
        <v>2</v>
      </c>
      <c r="I2756" s="22">
        <v>12</v>
      </c>
      <c r="J2756" s="21">
        <v>1</v>
      </c>
      <c r="K2756" s="21"/>
      <c r="L2756" s="21"/>
      <c r="M2756" s="21"/>
      <c r="N2756" s="21"/>
      <c r="O2756" s="21"/>
      <c r="P2756" s="21"/>
      <c r="Q2756" s="21"/>
      <c r="R2756" s="21"/>
      <c r="S2756" s="21"/>
      <c r="T2756" s="21"/>
      <c r="U2756" s="21"/>
      <c r="V2756" s="21">
        <v>1</v>
      </c>
      <c r="W2756" s="21"/>
      <c r="X2756" s="21"/>
      <c r="Y2756" s="21"/>
      <c r="Z2756" s="21"/>
      <c r="AA2756" s="21"/>
      <c r="AB2756" s="21"/>
      <c r="AC2756" s="21"/>
      <c r="AD2756" s="21"/>
      <c r="AE2756" s="21"/>
      <c r="AF2756" s="21"/>
      <c r="AG2756" s="21"/>
      <c r="AH2756" s="21">
        <v>2</v>
      </c>
      <c r="AI2756" s="21"/>
      <c r="AJ2756" s="21"/>
      <c r="AK2756" s="21"/>
      <c r="AL2756" s="21"/>
      <c r="AM2756" s="21">
        <v>1</v>
      </c>
      <c r="AN2756" s="21">
        <v>1</v>
      </c>
      <c r="AO2756" s="21"/>
      <c r="AP2756" s="21"/>
      <c r="AQ2756" s="21"/>
      <c r="AR2756" s="21"/>
      <c r="AS2756" s="21"/>
      <c r="AT2756" s="12" t="str">
        <f>HYPERLINK("http://www.openstreetmap.org/?mlat=36.1866&amp;mlon=45.1267&amp;zoom=12#map=12/36.1866/45.1267","Maplink1")</f>
        <v>Maplink1</v>
      </c>
      <c r="AU2756" s="12" t="str">
        <f>HYPERLINK("https://www.google.iq/maps/search/+36.1866,45.1267/@36.1866,45.1267,14z?hl=en","Maplink2")</f>
        <v>Maplink2</v>
      </c>
      <c r="AV2756" s="12" t="str">
        <f>HYPERLINK("http://www.bing.com/maps/?lvl=14&amp;sty=h&amp;cp=36.1866~45.1267&amp;sp=point.36.1866_45.1267","Maplink3")</f>
        <v>Maplink3</v>
      </c>
    </row>
    <row r="2757" spans="1:48" ht="15" customHeight="1" x14ac:dyDescent="0.25">
      <c r="A2757" s="19">
        <v>24492</v>
      </c>
      <c r="B2757" s="20" t="s">
        <v>24</v>
      </c>
      <c r="C2757" s="20" t="s">
        <v>4766</v>
      </c>
      <c r="D2757" s="20" t="s">
        <v>4778</v>
      </c>
      <c r="E2757" s="20" t="s">
        <v>4779</v>
      </c>
      <c r="F2757" s="20">
        <v>36.179020029999997</v>
      </c>
      <c r="G2757" s="20">
        <v>45.124951850000002</v>
      </c>
      <c r="H2757" s="22">
        <v>4</v>
      </c>
      <c r="I2757" s="22">
        <v>24</v>
      </c>
      <c r="J2757" s="21">
        <v>2</v>
      </c>
      <c r="K2757" s="21"/>
      <c r="L2757" s="21"/>
      <c r="M2757" s="21"/>
      <c r="N2757" s="21"/>
      <c r="O2757" s="21"/>
      <c r="P2757" s="21"/>
      <c r="Q2757" s="21"/>
      <c r="R2757" s="21"/>
      <c r="S2757" s="21"/>
      <c r="T2757" s="21"/>
      <c r="U2757" s="21"/>
      <c r="V2757" s="21">
        <v>2</v>
      </c>
      <c r="W2757" s="21"/>
      <c r="X2757" s="21"/>
      <c r="Y2757" s="21"/>
      <c r="Z2757" s="21"/>
      <c r="AA2757" s="21"/>
      <c r="AB2757" s="21"/>
      <c r="AC2757" s="21"/>
      <c r="AD2757" s="21"/>
      <c r="AE2757" s="21"/>
      <c r="AF2757" s="21"/>
      <c r="AG2757" s="21"/>
      <c r="AH2757" s="21">
        <v>4</v>
      </c>
      <c r="AI2757" s="21"/>
      <c r="AJ2757" s="21"/>
      <c r="AK2757" s="21"/>
      <c r="AL2757" s="21"/>
      <c r="AM2757" s="21">
        <v>2</v>
      </c>
      <c r="AN2757" s="21">
        <v>2</v>
      </c>
      <c r="AO2757" s="21"/>
      <c r="AP2757" s="21"/>
      <c r="AQ2757" s="21"/>
      <c r="AR2757" s="21"/>
      <c r="AS2757" s="21"/>
      <c r="AT2757" s="12" t="str">
        <f>HYPERLINK("http://www.openstreetmap.org/?mlat=36.179&amp;mlon=45.125&amp;zoom=12#map=12/36.179/45.125","Maplink1")</f>
        <v>Maplink1</v>
      </c>
      <c r="AU2757" s="12" t="str">
        <f>HYPERLINK("https://www.google.iq/maps/search/+36.179,45.125/@36.179,45.125,14z?hl=en","Maplink2")</f>
        <v>Maplink2</v>
      </c>
      <c r="AV2757" s="12" t="str">
        <f>HYPERLINK("http://www.bing.com/maps/?lvl=14&amp;sty=h&amp;cp=36.179~45.125&amp;sp=point.36.179_45.125","Maplink3")</f>
        <v>Maplink3</v>
      </c>
    </row>
    <row r="2758" spans="1:48" ht="15" customHeight="1" x14ac:dyDescent="0.25">
      <c r="A2758" s="19">
        <v>31846</v>
      </c>
      <c r="B2758" s="20" t="s">
        <v>24</v>
      </c>
      <c r="C2758" s="20" t="s">
        <v>4766</v>
      </c>
      <c r="D2758" s="20" t="s">
        <v>4780</v>
      </c>
      <c r="E2758" s="20" t="s">
        <v>4781</v>
      </c>
      <c r="F2758" s="20">
        <v>36.245939999999997</v>
      </c>
      <c r="G2758" s="20">
        <v>45.007710000000003</v>
      </c>
      <c r="H2758" s="22">
        <v>3</v>
      </c>
      <c r="I2758" s="22">
        <v>18</v>
      </c>
      <c r="J2758" s="21">
        <v>3</v>
      </c>
      <c r="K2758" s="21"/>
      <c r="L2758" s="21"/>
      <c r="M2758" s="21"/>
      <c r="N2758" s="21"/>
      <c r="O2758" s="21"/>
      <c r="P2758" s="21"/>
      <c r="Q2758" s="21"/>
      <c r="R2758" s="21"/>
      <c r="S2758" s="21"/>
      <c r="T2758" s="21"/>
      <c r="U2758" s="21"/>
      <c r="V2758" s="21"/>
      <c r="W2758" s="21"/>
      <c r="X2758" s="21"/>
      <c r="Y2758" s="21"/>
      <c r="Z2758" s="21"/>
      <c r="AA2758" s="21"/>
      <c r="AB2758" s="21"/>
      <c r="AC2758" s="21"/>
      <c r="AD2758" s="21"/>
      <c r="AE2758" s="21"/>
      <c r="AF2758" s="21"/>
      <c r="AG2758" s="21"/>
      <c r="AH2758" s="21">
        <v>3</v>
      </c>
      <c r="AI2758" s="21"/>
      <c r="AJ2758" s="21"/>
      <c r="AK2758" s="21"/>
      <c r="AL2758" s="21"/>
      <c r="AM2758" s="21"/>
      <c r="AN2758" s="21"/>
      <c r="AO2758" s="21">
        <v>3</v>
      </c>
      <c r="AP2758" s="21"/>
      <c r="AQ2758" s="21"/>
      <c r="AR2758" s="21"/>
      <c r="AS2758" s="21"/>
      <c r="AT2758" s="12" t="str">
        <f>HYPERLINK("http://www.openstreetmap.org/?mlat=36.2459&amp;mlon=45.0077&amp;zoom=12#map=12/36.2459/45.0077","Maplink1")</f>
        <v>Maplink1</v>
      </c>
      <c r="AU2758" s="12" t="str">
        <f>HYPERLINK("https://www.google.iq/maps/search/+36.2459,45.0077/@36.2459,45.0077,14z?hl=en","Maplink2")</f>
        <v>Maplink2</v>
      </c>
      <c r="AV2758" s="12" t="str">
        <f>HYPERLINK("http://www.bing.com/maps/?lvl=14&amp;sty=h&amp;cp=36.2459~45.0077&amp;sp=point.36.2459_45.0077","Maplink3")</f>
        <v>Maplink3</v>
      </c>
    </row>
    <row r="2759" spans="1:48" ht="15" customHeight="1" x14ac:dyDescent="0.25">
      <c r="A2759" s="19">
        <v>31855</v>
      </c>
      <c r="B2759" s="20" t="s">
        <v>24</v>
      </c>
      <c r="C2759" s="20" t="s">
        <v>4766</v>
      </c>
      <c r="D2759" s="20" t="s">
        <v>4782</v>
      </c>
      <c r="E2759" s="20" t="s">
        <v>4783</v>
      </c>
      <c r="F2759" s="20">
        <v>36.17221</v>
      </c>
      <c r="G2759" s="20">
        <v>45.128990000000002</v>
      </c>
      <c r="H2759" s="22">
        <v>1</v>
      </c>
      <c r="I2759" s="22">
        <v>6</v>
      </c>
      <c r="J2759" s="21">
        <v>1</v>
      </c>
      <c r="K2759" s="21"/>
      <c r="L2759" s="21"/>
      <c r="M2759" s="21"/>
      <c r="N2759" s="21"/>
      <c r="O2759" s="21"/>
      <c r="P2759" s="21"/>
      <c r="Q2759" s="21"/>
      <c r="R2759" s="21"/>
      <c r="S2759" s="21"/>
      <c r="T2759" s="21"/>
      <c r="U2759" s="21"/>
      <c r="V2759" s="21"/>
      <c r="W2759" s="21"/>
      <c r="X2759" s="21"/>
      <c r="Y2759" s="21"/>
      <c r="Z2759" s="21"/>
      <c r="AA2759" s="21"/>
      <c r="AB2759" s="21"/>
      <c r="AC2759" s="21"/>
      <c r="AD2759" s="21"/>
      <c r="AE2759" s="21"/>
      <c r="AF2759" s="21"/>
      <c r="AG2759" s="21"/>
      <c r="AH2759" s="21">
        <v>1</v>
      </c>
      <c r="AI2759" s="21"/>
      <c r="AJ2759" s="21"/>
      <c r="AK2759" s="21"/>
      <c r="AL2759" s="21"/>
      <c r="AM2759" s="21"/>
      <c r="AN2759" s="21"/>
      <c r="AO2759" s="21"/>
      <c r="AP2759" s="21"/>
      <c r="AQ2759" s="21"/>
      <c r="AR2759" s="21">
        <v>1</v>
      </c>
      <c r="AS2759" s="21"/>
      <c r="AT2759" s="12" t="str">
        <f>HYPERLINK("http://www.openstreetmap.org/?mlat=36.1722&amp;mlon=45.129&amp;zoom=12#map=12/36.1722/45.129","Maplink1")</f>
        <v>Maplink1</v>
      </c>
      <c r="AU2759" s="12" t="str">
        <f>HYPERLINK("https://www.google.iq/maps/search/+36.1722,45.129/@36.1722,45.129,14z?hl=en","Maplink2")</f>
        <v>Maplink2</v>
      </c>
      <c r="AV2759" s="12" t="str">
        <f>HYPERLINK("http://www.bing.com/maps/?lvl=14&amp;sty=h&amp;cp=36.1722~45.129&amp;sp=point.36.1722_45.129","Maplink3")</f>
        <v>Maplink3</v>
      </c>
    </row>
    <row r="2760" spans="1:48" ht="15" customHeight="1" x14ac:dyDescent="0.25">
      <c r="A2760" s="19">
        <v>31850</v>
      </c>
      <c r="B2760" s="20" t="s">
        <v>24</v>
      </c>
      <c r="C2760" s="20" t="s">
        <v>4766</v>
      </c>
      <c r="D2760" s="20" t="s">
        <v>2214</v>
      </c>
      <c r="E2760" s="20" t="s">
        <v>2215</v>
      </c>
      <c r="F2760" s="20">
        <v>36.257190000000001</v>
      </c>
      <c r="G2760" s="20">
        <v>45.00947</v>
      </c>
      <c r="H2760" s="22">
        <v>4</v>
      </c>
      <c r="I2760" s="22">
        <v>24</v>
      </c>
      <c r="J2760" s="21">
        <v>4</v>
      </c>
      <c r="K2760" s="21"/>
      <c r="L2760" s="21"/>
      <c r="M2760" s="21"/>
      <c r="N2760" s="21"/>
      <c r="O2760" s="21"/>
      <c r="P2760" s="21"/>
      <c r="Q2760" s="21"/>
      <c r="R2760" s="21"/>
      <c r="S2760" s="21"/>
      <c r="T2760" s="21"/>
      <c r="U2760" s="21"/>
      <c r="V2760" s="21"/>
      <c r="W2760" s="21"/>
      <c r="X2760" s="21"/>
      <c r="Y2760" s="21"/>
      <c r="Z2760" s="21"/>
      <c r="AA2760" s="21"/>
      <c r="AB2760" s="21"/>
      <c r="AC2760" s="21"/>
      <c r="AD2760" s="21"/>
      <c r="AE2760" s="21"/>
      <c r="AF2760" s="21"/>
      <c r="AG2760" s="21"/>
      <c r="AH2760" s="21">
        <v>4</v>
      </c>
      <c r="AI2760" s="21"/>
      <c r="AJ2760" s="21"/>
      <c r="AK2760" s="21"/>
      <c r="AL2760" s="21">
        <v>2</v>
      </c>
      <c r="AM2760" s="21"/>
      <c r="AN2760" s="21"/>
      <c r="AO2760" s="21"/>
      <c r="AP2760" s="21"/>
      <c r="AQ2760" s="21">
        <v>2</v>
      </c>
      <c r="AR2760" s="21"/>
      <c r="AS2760" s="21"/>
      <c r="AT2760" s="12" t="str">
        <f>HYPERLINK("http://www.openstreetmap.org/?mlat=36.2572&amp;mlon=45.0095&amp;zoom=12#map=12/36.2572/45.0095","Maplink1")</f>
        <v>Maplink1</v>
      </c>
      <c r="AU2760" s="12" t="str">
        <f>HYPERLINK("https://www.google.iq/maps/search/+36.2572,45.0095/@36.2572,45.0095,14z?hl=en","Maplink2")</f>
        <v>Maplink2</v>
      </c>
      <c r="AV2760" s="12" t="str">
        <f>HYPERLINK("http://www.bing.com/maps/?lvl=14&amp;sty=h&amp;cp=36.2572~45.0095&amp;sp=point.36.2572_45.0095","Maplink3")</f>
        <v>Maplink3</v>
      </c>
    </row>
    <row r="2761" spans="1:48" ht="15" customHeight="1" x14ac:dyDescent="0.25">
      <c r="A2761" s="19">
        <v>31857</v>
      </c>
      <c r="B2761" s="20" t="s">
        <v>24</v>
      </c>
      <c r="C2761" s="20" t="s">
        <v>4766</v>
      </c>
      <c r="D2761" s="20" t="s">
        <v>4784</v>
      </c>
      <c r="E2761" s="20" t="s">
        <v>4785</v>
      </c>
      <c r="F2761" s="20">
        <v>36.176130000000001</v>
      </c>
      <c r="G2761" s="20">
        <v>45.123309999999996</v>
      </c>
      <c r="H2761" s="22">
        <v>4</v>
      </c>
      <c r="I2761" s="22">
        <v>24</v>
      </c>
      <c r="J2761" s="21">
        <v>4</v>
      </c>
      <c r="K2761" s="21"/>
      <c r="L2761" s="21"/>
      <c r="M2761" s="21"/>
      <c r="N2761" s="21"/>
      <c r="O2761" s="21"/>
      <c r="P2761" s="21"/>
      <c r="Q2761" s="21"/>
      <c r="R2761" s="21"/>
      <c r="S2761" s="21"/>
      <c r="T2761" s="21"/>
      <c r="U2761" s="21"/>
      <c r="V2761" s="21"/>
      <c r="W2761" s="21"/>
      <c r="X2761" s="21"/>
      <c r="Y2761" s="21"/>
      <c r="Z2761" s="21"/>
      <c r="AA2761" s="21"/>
      <c r="AB2761" s="21"/>
      <c r="AC2761" s="21"/>
      <c r="AD2761" s="21"/>
      <c r="AE2761" s="21"/>
      <c r="AF2761" s="21"/>
      <c r="AG2761" s="21"/>
      <c r="AH2761" s="21">
        <v>4</v>
      </c>
      <c r="AI2761" s="21"/>
      <c r="AJ2761" s="21"/>
      <c r="AK2761" s="21"/>
      <c r="AL2761" s="21">
        <v>1</v>
      </c>
      <c r="AM2761" s="21"/>
      <c r="AN2761" s="21"/>
      <c r="AO2761" s="21">
        <v>1</v>
      </c>
      <c r="AP2761" s="21">
        <v>1</v>
      </c>
      <c r="AQ2761" s="21"/>
      <c r="AR2761" s="21">
        <v>1</v>
      </c>
      <c r="AS2761" s="21"/>
      <c r="AT2761" s="12" t="str">
        <f>HYPERLINK("http://www.openstreetmap.org/?mlat=36.1761&amp;mlon=45.1233&amp;zoom=12#map=12/36.1761/45.1233","Maplink1")</f>
        <v>Maplink1</v>
      </c>
      <c r="AU2761" s="12" t="str">
        <f>HYPERLINK("https://www.google.iq/maps/search/+36.1761,45.1233/@36.1761,45.1233,14z?hl=en","Maplink2")</f>
        <v>Maplink2</v>
      </c>
      <c r="AV2761" s="12" t="str">
        <f>HYPERLINK("http://www.bing.com/maps/?lvl=14&amp;sty=h&amp;cp=36.1761~45.1233&amp;sp=point.36.1761_45.1233","Maplink3")</f>
        <v>Maplink3</v>
      </c>
    </row>
    <row r="2762" spans="1:48" ht="15" customHeight="1" x14ac:dyDescent="0.25">
      <c r="A2762" s="19">
        <v>4061</v>
      </c>
      <c r="B2762" s="20" t="s">
        <v>24</v>
      </c>
      <c r="C2762" s="20" t="s">
        <v>4766</v>
      </c>
      <c r="D2762" s="20" t="s">
        <v>4786</v>
      </c>
      <c r="E2762" s="20" t="s">
        <v>4787</v>
      </c>
      <c r="F2762" s="20">
        <v>36.222149999999999</v>
      </c>
      <c r="G2762" s="20">
        <v>45.070659999999997</v>
      </c>
      <c r="H2762" s="22">
        <v>5</v>
      </c>
      <c r="I2762" s="22">
        <v>30</v>
      </c>
      <c r="J2762" s="21">
        <v>1</v>
      </c>
      <c r="K2762" s="21"/>
      <c r="L2762" s="21"/>
      <c r="M2762" s="21"/>
      <c r="N2762" s="21"/>
      <c r="O2762" s="21">
        <v>4</v>
      </c>
      <c r="P2762" s="21"/>
      <c r="Q2762" s="21"/>
      <c r="R2762" s="21"/>
      <c r="S2762" s="21"/>
      <c r="T2762" s="21"/>
      <c r="U2762" s="21"/>
      <c r="V2762" s="21"/>
      <c r="W2762" s="21"/>
      <c r="X2762" s="21"/>
      <c r="Y2762" s="21"/>
      <c r="Z2762" s="21"/>
      <c r="AA2762" s="21"/>
      <c r="AB2762" s="21"/>
      <c r="AC2762" s="21"/>
      <c r="AD2762" s="21"/>
      <c r="AE2762" s="21"/>
      <c r="AF2762" s="21"/>
      <c r="AG2762" s="21"/>
      <c r="AH2762" s="21">
        <v>5</v>
      </c>
      <c r="AI2762" s="21"/>
      <c r="AJ2762" s="21"/>
      <c r="AK2762" s="21"/>
      <c r="AL2762" s="21">
        <v>2</v>
      </c>
      <c r="AM2762" s="21"/>
      <c r="AN2762" s="21">
        <v>2</v>
      </c>
      <c r="AO2762" s="21"/>
      <c r="AP2762" s="21"/>
      <c r="AQ2762" s="21">
        <v>1</v>
      </c>
      <c r="AR2762" s="21"/>
      <c r="AS2762" s="21"/>
      <c r="AT2762" s="12" t="str">
        <f>HYPERLINK("http://www.openstreetmap.org/?mlat=36.2221&amp;mlon=45.0707&amp;zoom=12#map=12/36.2221/45.0707","Maplink1")</f>
        <v>Maplink1</v>
      </c>
      <c r="AU2762" s="12" t="str">
        <f>HYPERLINK("https://www.google.iq/maps/search/+36.2221,45.0707/@36.2221,45.0707,14z?hl=en","Maplink2")</f>
        <v>Maplink2</v>
      </c>
      <c r="AV2762" s="12" t="str">
        <f>HYPERLINK("http://www.bing.com/maps/?lvl=14&amp;sty=h&amp;cp=36.2221~45.0707&amp;sp=point.36.2221_45.0707","Maplink3")</f>
        <v>Maplink3</v>
      </c>
    </row>
    <row r="2763" spans="1:48" ht="15" customHeight="1" x14ac:dyDescent="0.25">
      <c r="A2763" s="19">
        <v>31870</v>
      </c>
      <c r="B2763" s="20" t="s">
        <v>24</v>
      </c>
      <c r="C2763" s="20" t="s">
        <v>4788</v>
      </c>
      <c r="D2763" s="20" t="s">
        <v>4789</v>
      </c>
      <c r="E2763" s="20" t="s">
        <v>4790</v>
      </c>
      <c r="F2763" s="20">
        <v>36.257550000000002</v>
      </c>
      <c r="G2763" s="20">
        <v>44.876820000000002</v>
      </c>
      <c r="H2763" s="22">
        <v>12</v>
      </c>
      <c r="I2763" s="22">
        <v>72</v>
      </c>
      <c r="J2763" s="21">
        <v>8</v>
      </c>
      <c r="K2763" s="21"/>
      <c r="L2763" s="21">
        <v>4</v>
      </c>
      <c r="M2763" s="21"/>
      <c r="N2763" s="21"/>
      <c r="O2763" s="21"/>
      <c r="P2763" s="21"/>
      <c r="Q2763" s="21"/>
      <c r="R2763" s="21"/>
      <c r="S2763" s="21"/>
      <c r="T2763" s="21"/>
      <c r="U2763" s="21"/>
      <c r="V2763" s="21"/>
      <c r="W2763" s="21"/>
      <c r="X2763" s="21"/>
      <c r="Y2763" s="21"/>
      <c r="Z2763" s="21"/>
      <c r="AA2763" s="21"/>
      <c r="AB2763" s="21"/>
      <c r="AC2763" s="21"/>
      <c r="AD2763" s="21"/>
      <c r="AE2763" s="21"/>
      <c r="AF2763" s="21"/>
      <c r="AG2763" s="21"/>
      <c r="AH2763" s="21">
        <v>12</v>
      </c>
      <c r="AI2763" s="21"/>
      <c r="AJ2763" s="21"/>
      <c r="AK2763" s="21"/>
      <c r="AL2763" s="21"/>
      <c r="AM2763" s="21">
        <v>4</v>
      </c>
      <c r="AN2763" s="21">
        <v>2</v>
      </c>
      <c r="AO2763" s="21">
        <v>4</v>
      </c>
      <c r="AP2763" s="21">
        <v>1</v>
      </c>
      <c r="AQ2763" s="21">
        <v>1</v>
      </c>
      <c r="AR2763" s="21"/>
      <c r="AS2763" s="21"/>
      <c r="AT2763" s="12" t="str">
        <f>HYPERLINK("http://www.openstreetmap.org/?mlat=36.2576&amp;mlon=44.8768&amp;zoom=12#map=12/36.2576/44.8768","Maplink1")</f>
        <v>Maplink1</v>
      </c>
      <c r="AU2763" s="12" t="str">
        <f>HYPERLINK("https://www.google.iq/maps/search/+36.2576,44.8768/@36.2576,44.8768,14z?hl=en","Maplink2")</f>
        <v>Maplink2</v>
      </c>
      <c r="AV2763" s="12" t="str">
        <f>HYPERLINK("http://www.bing.com/maps/?lvl=14&amp;sty=h&amp;cp=36.2576~44.8768&amp;sp=point.36.2576_44.8768","Maplink3")</f>
        <v>Maplink3</v>
      </c>
    </row>
    <row r="2764" spans="1:48" ht="15" customHeight="1" x14ac:dyDescent="0.25">
      <c r="A2764" s="19">
        <v>31869</v>
      </c>
      <c r="B2764" s="20" t="s">
        <v>24</v>
      </c>
      <c r="C2764" s="20" t="s">
        <v>4788</v>
      </c>
      <c r="D2764" s="20" t="s">
        <v>4791</v>
      </c>
      <c r="E2764" s="20" t="s">
        <v>4792</v>
      </c>
      <c r="F2764" s="20">
        <v>36.260930000000002</v>
      </c>
      <c r="G2764" s="20">
        <v>44.87567</v>
      </c>
      <c r="H2764" s="22">
        <v>12</v>
      </c>
      <c r="I2764" s="22">
        <v>72</v>
      </c>
      <c r="J2764" s="21">
        <v>10</v>
      </c>
      <c r="K2764" s="21">
        <v>1</v>
      </c>
      <c r="L2764" s="21"/>
      <c r="M2764" s="21"/>
      <c r="N2764" s="21"/>
      <c r="O2764" s="21"/>
      <c r="P2764" s="21"/>
      <c r="Q2764" s="21"/>
      <c r="R2764" s="21"/>
      <c r="S2764" s="21"/>
      <c r="T2764" s="21"/>
      <c r="U2764" s="21"/>
      <c r="V2764" s="21">
        <v>1</v>
      </c>
      <c r="W2764" s="21"/>
      <c r="X2764" s="21"/>
      <c r="Y2764" s="21"/>
      <c r="Z2764" s="21"/>
      <c r="AA2764" s="21"/>
      <c r="AB2764" s="21"/>
      <c r="AC2764" s="21"/>
      <c r="AD2764" s="21"/>
      <c r="AE2764" s="21"/>
      <c r="AF2764" s="21"/>
      <c r="AG2764" s="21"/>
      <c r="AH2764" s="21">
        <v>12</v>
      </c>
      <c r="AI2764" s="21"/>
      <c r="AJ2764" s="21"/>
      <c r="AK2764" s="21"/>
      <c r="AL2764" s="21"/>
      <c r="AM2764" s="21">
        <v>1</v>
      </c>
      <c r="AN2764" s="21"/>
      <c r="AO2764" s="21">
        <v>5</v>
      </c>
      <c r="AP2764" s="21">
        <v>3</v>
      </c>
      <c r="AQ2764" s="21">
        <v>2</v>
      </c>
      <c r="AR2764" s="21"/>
      <c r="AS2764" s="21">
        <v>1</v>
      </c>
      <c r="AT2764" s="12" t="str">
        <f>HYPERLINK("http://www.openstreetmap.org/?mlat=36.2609&amp;mlon=44.8757&amp;zoom=12#map=12/36.2609/44.8757","Maplink1")</f>
        <v>Maplink1</v>
      </c>
      <c r="AU2764" s="12" t="str">
        <f>HYPERLINK("https://www.google.iq/maps/search/+36.2609,44.8757/@36.2609,44.8757,14z?hl=en","Maplink2")</f>
        <v>Maplink2</v>
      </c>
      <c r="AV2764" s="12" t="str">
        <f>HYPERLINK("http://www.bing.com/maps/?lvl=14&amp;sty=h&amp;cp=36.2609~44.8757&amp;sp=point.36.2609_44.8757","Maplink3")</f>
        <v>Maplink3</v>
      </c>
    </row>
    <row r="2765" spans="1:48" ht="15" customHeight="1" x14ac:dyDescent="0.25">
      <c r="A2765" s="19">
        <v>4705</v>
      </c>
      <c r="B2765" s="20" t="s">
        <v>24</v>
      </c>
      <c r="C2765" s="20" t="s">
        <v>4788</v>
      </c>
      <c r="D2765" s="20" t="s">
        <v>4793</v>
      </c>
      <c r="E2765" s="20" t="s">
        <v>4794</v>
      </c>
      <c r="F2765" s="20">
        <v>36.229579999999999</v>
      </c>
      <c r="G2765" s="20">
        <v>44.916350000000001</v>
      </c>
      <c r="H2765" s="22">
        <v>11</v>
      </c>
      <c r="I2765" s="22">
        <v>66</v>
      </c>
      <c r="J2765" s="21">
        <v>2</v>
      </c>
      <c r="K2765" s="21"/>
      <c r="L2765" s="21">
        <v>2</v>
      </c>
      <c r="M2765" s="21"/>
      <c r="N2765" s="21"/>
      <c r="O2765" s="21">
        <v>3</v>
      </c>
      <c r="P2765" s="21"/>
      <c r="Q2765" s="21"/>
      <c r="R2765" s="21"/>
      <c r="S2765" s="21"/>
      <c r="T2765" s="21"/>
      <c r="U2765" s="21"/>
      <c r="V2765" s="21">
        <v>4</v>
      </c>
      <c r="W2765" s="21"/>
      <c r="X2765" s="21"/>
      <c r="Y2765" s="21"/>
      <c r="Z2765" s="21"/>
      <c r="AA2765" s="21"/>
      <c r="AB2765" s="21"/>
      <c r="AC2765" s="21"/>
      <c r="AD2765" s="21"/>
      <c r="AE2765" s="21"/>
      <c r="AF2765" s="21"/>
      <c r="AG2765" s="21"/>
      <c r="AH2765" s="21">
        <v>11</v>
      </c>
      <c r="AI2765" s="21"/>
      <c r="AJ2765" s="21"/>
      <c r="AK2765" s="21"/>
      <c r="AL2765" s="21">
        <v>4</v>
      </c>
      <c r="AM2765" s="21">
        <v>4</v>
      </c>
      <c r="AN2765" s="21"/>
      <c r="AO2765" s="21">
        <v>1</v>
      </c>
      <c r="AP2765" s="21"/>
      <c r="AQ2765" s="21"/>
      <c r="AR2765" s="21">
        <v>1</v>
      </c>
      <c r="AS2765" s="21">
        <v>1</v>
      </c>
      <c r="AT2765" s="12" t="str">
        <f>HYPERLINK("http://www.openstreetmap.org/?mlat=36.2296&amp;mlon=44.9164&amp;zoom=12#map=12/36.2296/44.9164","Maplink1")</f>
        <v>Maplink1</v>
      </c>
      <c r="AU2765" s="12" t="str">
        <f>HYPERLINK("https://www.google.iq/maps/search/+36.2296,44.9164/@36.2296,44.9164,14z?hl=en","Maplink2")</f>
        <v>Maplink2</v>
      </c>
      <c r="AV2765" s="12" t="str">
        <f>HYPERLINK("http://www.bing.com/maps/?lvl=14&amp;sty=h&amp;cp=36.2296~44.9164&amp;sp=point.36.2296_44.9164","Maplink3")</f>
        <v>Maplink3</v>
      </c>
    </row>
    <row r="2766" spans="1:48" ht="15" customHeight="1" x14ac:dyDescent="0.25">
      <c r="A2766" s="19">
        <v>24898</v>
      </c>
      <c r="B2766" s="20" t="s">
        <v>24</v>
      </c>
      <c r="C2766" s="20" t="s">
        <v>4788</v>
      </c>
      <c r="D2766" s="20" t="s">
        <v>4795</v>
      </c>
      <c r="E2766" s="20" t="s">
        <v>4796</v>
      </c>
      <c r="F2766" s="20">
        <v>36.240360000000003</v>
      </c>
      <c r="G2766" s="20">
        <v>44.771149999999999</v>
      </c>
      <c r="H2766" s="22">
        <v>6</v>
      </c>
      <c r="I2766" s="22">
        <v>36</v>
      </c>
      <c r="J2766" s="21">
        <v>5</v>
      </c>
      <c r="K2766" s="21"/>
      <c r="L2766" s="21"/>
      <c r="M2766" s="21"/>
      <c r="N2766" s="21"/>
      <c r="O2766" s="21"/>
      <c r="P2766" s="21"/>
      <c r="Q2766" s="21"/>
      <c r="R2766" s="21"/>
      <c r="S2766" s="21"/>
      <c r="T2766" s="21"/>
      <c r="U2766" s="21"/>
      <c r="V2766" s="21"/>
      <c r="W2766" s="21"/>
      <c r="X2766" s="21">
        <v>1</v>
      </c>
      <c r="Y2766" s="21"/>
      <c r="Z2766" s="21"/>
      <c r="AA2766" s="21"/>
      <c r="AB2766" s="21"/>
      <c r="AC2766" s="21"/>
      <c r="AD2766" s="21"/>
      <c r="AE2766" s="21"/>
      <c r="AF2766" s="21"/>
      <c r="AG2766" s="21"/>
      <c r="AH2766" s="21">
        <v>6</v>
      </c>
      <c r="AI2766" s="21"/>
      <c r="AJ2766" s="21"/>
      <c r="AK2766" s="21"/>
      <c r="AL2766" s="21"/>
      <c r="AM2766" s="21">
        <v>1</v>
      </c>
      <c r="AN2766" s="21">
        <v>2</v>
      </c>
      <c r="AO2766" s="21">
        <v>2</v>
      </c>
      <c r="AP2766" s="21"/>
      <c r="AQ2766" s="21"/>
      <c r="AR2766" s="21">
        <v>1</v>
      </c>
      <c r="AS2766" s="21"/>
      <c r="AT2766" s="12" t="str">
        <f>HYPERLINK("http://www.openstreetmap.org/?mlat=36.2404&amp;mlon=44.7711&amp;zoom=12#map=12/36.2404/44.7711","Maplink1")</f>
        <v>Maplink1</v>
      </c>
      <c r="AU2766" s="12" t="str">
        <f>HYPERLINK("https://www.google.iq/maps/search/+36.2404,44.7711/@36.2404,44.7711,14z?hl=en","Maplink2")</f>
        <v>Maplink2</v>
      </c>
      <c r="AV2766" s="12" t="str">
        <f>HYPERLINK("http://www.bing.com/maps/?lvl=14&amp;sty=h&amp;cp=36.2404~44.7711&amp;sp=point.36.2404_44.7711","Maplink3")</f>
        <v>Maplink3</v>
      </c>
    </row>
    <row r="2767" spans="1:48" ht="15" customHeight="1" x14ac:dyDescent="0.25">
      <c r="A2767" s="19">
        <v>31874</v>
      </c>
      <c r="B2767" s="20" t="s">
        <v>24</v>
      </c>
      <c r="C2767" s="20" t="s">
        <v>4788</v>
      </c>
      <c r="D2767" s="20" t="s">
        <v>4797</v>
      </c>
      <c r="E2767" s="20" t="s">
        <v>4798</v>
      </c>
      <c r="F2767" s="20">
        <v>36.259189999999997</v>
      </c>
      <c r="G2767" s="20">
        <v>44.88129</v>
      </c>
      <c r="H2767" s="22">
        <v>5</v>
      </c>
      <c r="I2767" s="22">
        <v>30</v>
      </c>
      <c r="J2767" s="21">
        <v>5</v>
      </c>
      <c r="K2767" s="21"/>
      <c r="L2767" s="21"/>
      <c r="M2767" s="21"/>
      <c r="N2767" s="21"/>
      <c r="O2767" s="21"/>
      <c r="P2767" s="21"/>
      <c r="Q2767" s="21"/>
      <c r="R2767" s="21"/>
      <c r="S2767" s="21"/>
      <c r="T2767" s="21"/>
      <c r="U2767" s="21"/>
      <c r="V2767" s="21"/>
      <c r="W2767" s="21"/>
      <c r="X2767" s="21"/>
      <c r="Y2767" s="21"/>
      <c r="Z2767" s="21"/>
      <c r="AA2767" s="21"/>
      <c r="AB2767" s="21"/>
      <c r="AC2767" s="21"/>
      <c r="AD2767" s="21"/>
      <c r="AE2767" s="21"/>
      <c r="AF2767" s="21"/>
      <c r="AG2767" s="21"/>
      <c r="AH2767" s="21">
        <v>5</v>
      </c>
      <c r="AI2767" s="21"/>
      <c r="AJ2767" s="21"/>
      <c r="AK2767" s="21"/>
      <c r="AL2767" s="21">
        <v>1</v>
      </c>
      <c r="AM2767" s="21"/>
      <c r="AN2767" s="21"/>
      <c r="AO2767" s="21"/>
      <c r="AP2767" s="21"/>
      <c r="AQ2767" s="21">
        <v>2</v>
      </c>
      <c r="AR2767" s="21">
        <v>2</v>
      </c>
      <c r="AS2767" s="21"/>
      <c r="AT2767" s="12" t="str">
        <f>HYPERLINK("http://www.openstreetmap.org/?mlat=36.2592&amp;mlon=44.8813&amp;zoom=12#map=12/36.2592/44.8813","Maplink1")</f>
        <v>Maplink1</v>
      </c>
      <c r="AU2767" s="12" t="str">
        <f>HYPERLINK("https://www.google.iq/maps/search/+36.2592,44.8813/@36.2592,44.8813,14z?hl=en","Maplink2")</f>
        <v>Maplink2</v>
      </c>
      <c r="AV2767" s="12" t="str">
        <f>HYPERLINK("http://www.bing.com/maps/?lvl=14&amp;sty=h&amp;cp=36.2592~44.8813&amp;sp=point.36.2592_44.8813","Maplink3")</f>
        <v>Maplink3</v>
      </c>
    </row>
    <row r="2768" spans="1:48" ht="15" customHeight="1" x14ac:dyDescent="0.25">
      <c r="A2768" s="19">
        <v>31858</v>
      </c>
      <c r="B2768" s="20" t="s">
        <v>24</v>
      </c>
      <c r="C2768" s="20" t="s">
        <v>4788</v>
      </c>
      <c r="D2768" s="20" t="s">
        <v>4799</v>
      </c>
      <c r="E2768" s="20" t="s">
        <v>4800</v>
      </c>
      <c r="F2768" s="20">
        <v>36.208889999999997</v>
      </c>
      <c r="G2768" s="20">
        <v>44.795659999999998</v>
      </c>
      <c r="H2768" s="22">
        <v>14</v>
      </c>
      <c r="I2768" s="22">
        <v>84</v>
      </c>
      <c r="J2768" s="21">
        <v>10</v>
      </c>
      <c r="K2768" s="21">
        <v>4</v>
      </c>
      <c r="L2768" s="21"/>
      <c r="M2768" s="21"/>
      <c r="N2768" s="21"/>
      <c r="O2768" s="21"/>
      <c r="P2768" s="21"/>
      <c r="Q2768" s="21"/>
      <c r="R2768" s="21"/>
      <c r="S2768" s="21"/>
      <c r="T2768" s="21"/>
      <c r="U2768" s="21"/>
      <c r="V2768" s="21"/>
      <c r="W2768" s="21"/>
      <c r="X2768" s="21"/>
      <c r="Y2768" s="21"/>
      <c r="Z2768" s="21"/>
      <c r="AA2768" s="21"/>
      <c r="AB2768" s="21"/>
      <c r="AC2768" s="21"/>
      <c r="AD2768" s="21"/>
      <c r="AE2768" s="21"/>
      <c r="AF2768" s="21"/>
      <c r="AG2768" s="21"/>
      <c r="AH2768" s="21">
        <v>14</v>
      </c>
      <c r="AI2768" s="21"/>
      <c r="AJ2768" s="21"/>
      <c r="AK2768" s="21"/>
      <c r="AL2768" s="21">
        <v>3</v>
      </c>
      <c r="AM2768" s="21">
        <v>6</v>
      </c>
      <c r="AN2768" s="21">
        <v>2</v>
      </c>
      <c r="AO2768" s="21"/>
      <c r="AP2768" s="21">
        <v>1</v>
      </c>
      <c r="AQ2768" s="21">
        <v>2</v>
      </c>
      <c r="AR2768" s="21"/>
      <c r="AS2768" s="21"/>
      <c r="AT2768" s="12" t="str">
        <f>HYPERLINK("http://www.openstreetmap.org/?mlat=36.2089&amp;mlon=44.7957&amp;zoom=12#map=12/36.2089/44.7957","Maplink1")</f>
        <v>Maplink1</v>
      </c>
      <c r="AU2768" s="12" t="str">
        <f>HYPERLINK("https://www.google.iq/maps/search/+36.2089,44.7957/@36.2089,44.7957,14z?hl=en","Maplink2")</f>
        <v>Maplink2</v>
      </c>
      <c r="AV2768" s="12" t="str">
        <f>HYPERLINK("http://www.bing.com/maps/?lvl=14&amp;sty=h&amp;cp=36.2089~44.7957&amp;sp=point.36.2089_44.7957","Maplink3")</f>
        <v>Maplink3</v>
      </c>
    </row>
    <row r="2769" spans="1:48" ht="15" customHeight="1" x14ac:dyDescent="0.25">
      <c r="A2769" s="19">
        <v>31875</v>
      </c>
      <c r="B2769" s="20" t="s">
        <v>24</v>
      </c>
      <c r="C2769" s="20" t="s">
        <v>4788</v>
      </c>
      <c r="D2769" s="20" t="s">
        <v>4801</v>
      </c>
      <c r="E2769" s="20" t="s">
        <v>4802</v>
      </c>
      <c r="F2769" s="20">
        <v>36.25535</v>
      </c>
      <c r="G2769" s="20">
        <v>44.869410000000002</v>
      </c>
      <c r="H2769" s="22">
        <v>4</v>
      </c>
      <c r="I2769" s="22">
        <v>24</v>
      </c>
      <c r="J2769" s="21"/>
      <c r="K2769" s="21"/>
      <c r="L2769" s="21"/>
      <c r="M2769" s="21"/>
      <c r="N2769" s="21"/>
      <c r="O2769" s="21">
        <v>4</v>
      </c>
      <c r="P2769" s="21"/>
      <c r="Q2769" s="21"/>
      <c r="R2769" s="21"/>
      <c r="S2769" s="21"/>
      <c r="T2769" s="21"/>
      <c r="U2769" s="21"/>
      <c r="V2769" s="21"/>
      <c r="W2769" s="21"/>
      <c r="X2769" s="21"/>
      <c r="Y2769" s="21"/>
      <c r="Z2769" s="21"/>
      <c r="AA2769" s="21"/>
      <c r="AB2769" s="21"/>
      <c r="AC2769" s="21"/>
      <c r="AD2769" s="21"/>
      <c r="AE2769" s="21"/>
      <c r="AF2769" s="21"/>
      <c r="AG2769" s="21"/>
      <c r="AH2769" s="21">
        <v>4</v>
      </c>
      <c r="AI2769" s="21"/>
      <c r="AJ2769" s="21"/>
      <c r="AK2769" s="21"/>
      <c r="AL2769" s="21"/>
      <c r="AM2769" s="21">
        <v>1</v>
      </c>
      <c r="AN2769" s="21">
        <v>1</v>
      </c>
      <c r="AO2769" s="21">
        <v>1</v>
      </c>
      <c r="AP2769" s="21"/>
      <c r="AQ2769" s="21">
        <v>1</v>
      </c>
      <c r="AR2769" s="21"/>
      <c r="AS2769" s="21"/>
      <c r="AT2769" s="12" t="str">
        <f>HYPERLINK("http://www.openstreetmap.org/?mlat=36.2554&amp;mlon=44.8694&amp;zoom=12#map=12/36.2554/44.8694","Maplink1")</f>
        <v>Maplink1</v>
      </c>
      <c r="AU2769" s="12" t="str">
        <f>HYPERLINK("https://www.google.iq/maps/search/+36.2554,44.8694/@36.2554,44.8694,14z?hl=en","Maplink2")</f>
        <v>Maplink2</v>
      </c>
      <c r="AV2769" s="12" t="str">
        <f>HYPERLINK("http://www.bing.com/maps/?lvl=14&amp;sty=h&amp;cp=36.2554~44.8694&amp;sp=point.36.2554_44.8694","Maplink3")</f>
        <v>Maplink3</v>
      </c>
    </row>
    <row r="2770" spans="1:48" ht="15" customHeight="1" x14ac:dyDescent="0.25">
      <c r="A2770" s="19">
        <v>25522</v>
      </c>
      <c r="B2770" s="20" t="s">
        <v>24</v>
      </c>
      <c r="C2770" s="20" t="s">
        <v>4788</v>
      </c>
      <c r="D2770" s="20" t="s">
        <v>4803</v>
      </c>
      <c r="E2770" s="20" t="s">
        <v>4804</v>
      </c>
      <c r="F2770" s="20">
        <v>36.266664210000002</v>
      </c>
      <c r="G2770" s="20">
        <v>44.876989639999998</v>
      </c>
      <c r="H2770" s="22">
        <v>13</v>
      </c>
      <c r="I2770" s="22">
        <v>78</v>
      </c>
      <c r="J2770" s="21">
        <v>6</v>
      </c>
      <c r="K2770" s="21">
        <v>1</v>
      </c>
      <c r="L2770" s="21">
        <v>1</v>
      </c>
      <c r="M2770" s="21"/>
      <c r="N2770" s="21"/>
      <c r="O2770" s="21">
        <v>2</v>
      </c>
      <c r="P2770" s="21"/>
      <c r="Q2770" s="21"/>
      <c r="R2770" s="21"/>
      <c r="S2770" s="21"/>
      <c r="T2770" s="21"/>
      <c r="U2770" s="21"/>
      <c r="V2770" s="21"/>
      <c r="W2770" s="21"/>
      <c r="X2770" s="21">
        <v>3</v>
      </c>
      <c r="Y2770" s="21"/>
      <c r="Z2770" s="21"/>
      <c r="AA2770" s="21"/>
      <c r="AB2770" s="21"/>
      <c r="AC2770" s="21"/>
      <c r="AD2770" s="21"/>
      <c r="AE2770" s="21"/>
      <c r="AF2770" s="21"/>
      <c r="AG2770" s="21"/>
      <c r="AH2770" s="21">
        <v>13</v>
      </c>
      <c r="AI2770" s="21"/>
      <c r="AJ2770" s="21"/>
      <c r="AK2770" s="21"/>
      <c r="AL2770" s="21">
        <v>2</v>
      </c>
      <c r="AM2770" s="21">
        <v>4</v>
      </c>
      <c r="AN2770" s="21"/>
      <c r="AO2770" s="21">
        <v>3</v>
      </c>
      <c r="AP2770" s="21">
        <v>2</v>
      </c>
      <c r="AQ2770" s="21"/>
      <c r="AR2770" s="21">
        <v>2</v>
      </c>
      <c r="AS2770" s="21"/>
      <c r="AT2770" s="12" t="str">
        <f>HYPERLINK("http://www.openstreetmap.org/?mlat=36.2667&amp;mlon=44.877&amp;zoom=12#map=12/36.2667/44.877","Maplink1")</f>
        <v>Maplink1</v>
      </c>
      <c r="AU2770" s="12" t="str">
        <f>HYPERLINK("https://www.google.iq/maps/search/+36.2667,44.877/@36.2667,44.877,14z?hl=en","Maplink2")</f>
        <v>Maplink2</v>
      </c>
      <c r="AV2770" s="12" t="str">
        <f>HYPERLINK("http://www.bing.com/maps/?lvl=14&amp;sty=h&amp;cp=36.2667~44.877&amp;sp=point.36.2667_44.877","Maplink3")</f>
        <v>Maplink3</v>
      </c>
    </row>
    <row r="2771" spans="1:48" ht="15" customHeight="1" x14ac:dyDescent="0.25">
      <c r="A2771" s="19">
        <v>25298</v>
      </c>
      <c r="B2771" s="20" t="s">
        <v>24</v>
      </c>
      <c r="C2771" s="20" t="s">
        <v>4788</v>
      </c>
      <c r="D2771" s="20" t="s">
        <v>4805</v>
      </c>
      <c r="E2771" s="20" t="s">
        <v>4806</v>
      </c>
      <c r="F2771" s="20">
        <v>36.228054299999997</v>
      </c>
      <c r="G2771" s="20">
        <v>44.84994099</v>
      </c>
      <c r="H2771" s="22">
        <v>81</v>
      </c>
      <c r="I2771" s="22">
        <v>486</v>
      </c>
      <c r="J2771" s="21">
        <v>8</v>
      </c>
      <c r="K2771" s="21"/>
      <c r="L2771" s="21"/>
      <c r="M2771" s="21"/>
      <c r="N2771" s="21"/>
      <c r="O2771" s="21">
        <v>3</v>
      </c>
      <c r="P2771" s="21"/>
      <c r="Q2771" s="21"/>
      <c r="R2771" s="21">
        <v>2</v>
      </c>
      <c r="S2771" s="21"/>
      <c r="T2771" s="21"/>
      <c r="U2771" s="21"/>
      <c r="V2771" s="21">
        <v>62</v>
      </c>
      <c r="W2771" s="21"/>
      <c r="X2771" s="21">
        <v>6</v>
      </c>
      <c r="Y2771" s="21"/>
      <c r="Z2771" s="21"/>
      <c r="AA2771" s="21"/>
      <c r="AB2771" s="21"/>
      <c r="AC2771" s="21"/>
      <c r="AD2771" s="21"/>
      <c r="AE2771" s="21"/>
      <c r="AF2771" s="21"/>
      <c r="AG2771" s="21"/>
      <c r="AH2771" s="21">
        <v>81</v>
      </c>
      <c r="AI2771" s="21"/>
      <c r="AJ2771" s="21"/>
      <c r="AK2771" s="21"/>
      <c r="AL2771" s="21"/>
      <c r="AM2771" s="21">
        <v>43</v>
      </c>
      <c r="AN2771" s="21">
        <v>17</v>
      </c>
      <c r="AO2771" s="21">
        <v>16</v>
      </c>
      <c r="AP2771" s="21"/>
      <c r="AQ2771" s="21">
        <v>1</v>
      </c>
      <c r="AR2771" s="21"/>
      <c r="AS2771" s="21">
        <v>4</v>
      </c>
      <c r="AT2771" s="12" t="str">
        <f>HYPERLINK("http://www.openstreetmap.org/?mlat=36.2281&amp;mlon=44.8499&amp;zoom=12#map=12/36.2281/44.8499","Maplink1")</f>
        <v>Maplink1</v>
      </c>
      <c r="AU2771" s="12" t="str">
        <f>HYPERLINK("https://www.google.iq/maps/search/+36.2281,44.8499/@36.2281,44.8499,14z?hl=en","Maplink2")</f>
        <v>Maplink2</v>
      </c>
      <c r="AV2771" s="12" t="str">
        <f>HYPERLINK("http://www.bing.com/maps/?lvl=14&amp;sty=h&amp;cp=36.2281~44.8499&amp;sp=point.36.2281_44.8499","Maplink3")</f>
        <v>Maplink3</v>
      </c>
    </row>
    <row r="2772" spans="1:48" ht="15" customHeight="1" x14ac:dyDescent="0.25">
      <c r="A2772" s="19">
        <v>5568</v>
      </c>
      <c r="B2772" s="20" t="s">
        <v>24</v>
      </c>
      <c r="C2772" s="20" t="s">
        <v>4788</v>
      </c>
      <c r="D2772" s="20" t="s">
        <v>4807</v>
      </c>
      <c r="E2772" s="20" t="s">
        <v>2664</v>
      </c>
      <c r="F2772" s="20">
        <v>36.218769999999999</v>
      </c>
      <c r="G2772" s="20">
        <v>44.833620000000003</v>
      </c>
      <c r="H2772" s="22">
        <v>19</v>
      </c>
      <c r="I2772" s="22">
        <v>114</v>
      </c>
      <c r="J2772" s="21">
        <v>1</v>
      </c>
      <c r="K2772" s="21"/>
      <c r="L2772" s="21">
        <v>3</v>
      </c>
      <c r="M2772" s="21"/>
      <c r="N2772" s="21"/>
      <c r="O2772" s="21">
        <v>5</v>
      </c>
      <c r="P2772" s="21"/>
      <c r="Q2772" s="21"/>
      <c r="R2772" s="21">
        <v>4</v>
      </c>
      <c r="S2772" s="21"/>
      <c r="T2772" s="21"/>
      <c r="U2772" s="21"/>
      <c r="V2772" s="21">
        <v>3</v>
      </c>
      <c r="W2772" s="21"/>
      <c r="X2772" s="21">
        <v>3</v>
      </c>
      <c r="Y2772" s="21"/>
      <c r="Z2772" s="21"/>
      <c r="AA2772" s="21"/>
      <c r="AB2772" s="21"/>
      <c r="AC2772" s="21"/>
      <c r="AD2772" s="21"/>
      <c r="AE2772" s="21"/>
      <c r="AF2772" s="21"/>
      <c r="AG2772" s="21"/>
      <c r="AH2772" s="21">
        <v>19</v>
      </c>
      <c r="AI2772" s="21"/>
      <c r="AJ2772" s="21"/>
      <c r="AK2772" s="21"/>
      <c r="AL2772" s="21"/>
      <c r="AM2772" s="21"/>
      <c r="AN2772" s="21">
        <v>5</v>
      </c>
      <c r="AO2772" s="21">
        <v>7</v>
      </c>
      <c r="AP2772" s="21">
        <v>1</v>
      </c>
      <c r="AQ2772" s="21">
        <v>1</v>
      </c>
      <c r="AR2772" s="21"/>
      <c r="AS2772" s="21">
        <v>5</v>
      </c>
      <c r="AT2772" s="12" t="str">
        <f>HYPERLINK("http://www.openstreetmap.org/?mlat=36.2188&amp;mlon=44.8336&amp;zoom=12#map=12/36.2188/44.8336","Maplink1")</f>
        <v>Maplink1</v>
      </c>
      <c r="AU2772" s="12" t="str">
        <f>HYPERLINK("https://www.google.iq/maps/search/+36.2188,44.8336/@36.2188,44.8336,14z?hl=en","Maplink2")</f>
        <v>Maplink2</v>
      </c>
      <c r="AV2772" s="12" t="str">
        <f>HYPERLINK("http://www.bing.com/maps/?lvl=14&amp;sty=h&amp;cp=36.2188~44.8336&amp;sp=point.36.2188_44.8336","Maplink3")</f>
        <v>Maplink3</v>
      </c>
    </row>
    <row r="2773" spans="1:48" ht="15" customHeight="1" x14ac:dyDescent="0.25">
      <c r="A2773" s="19">
        <v>4179</v>
      </c>
      <c r="B2773" s="20" t="s">
        <v>24</v>
      </c>
      <c r="C2773" s="20" t="s">
        <v>4788</v>
      </c>
      <c r="D2773" s="20" t="s">
        <v>4808</v>
      </c>
      <c r="E2773" s="20" t="s">
        <v>4809</v>
      </c>
      <c r="F2773" s="20">
        <v>36.214680000000001</v>
      </c>
      <c r="G2773" s="20">
        <v>44.819839999999999</v>
      </c>
      <c r="H2773" s="22">
        <v>10</v>
      </c>
      <c r="I2773" s="22">
        <v>60</v>
      </c>
      <c r="J2773" s="21"/>
      <c r="K2773" s="21"/>
      <c r="L2773" s="21">
        <v>2</v>
      </c>
      <c r="M2773" s="21"/>
      <c r="N2773" s="21"/>
      <c r="O2773" s="21">
        <v>6</v>
      </c>
      <c r="P2773" s="21"/>
      <c r="Q2773" s="21"/>
      <c r="R2773" s="21">
        <v>1</v>
      </c>
      <c r="S2773" s="21"/>
      <c r="T2773" s="21"/>
      <c r="U2773" s="21"/>
      <c r="V2773" s="21"/>
      <c r="W2773" s="21"/>
      <c r="X2773" s="21">
        <v>1</v>
      </c>
      <c r="Y2773" s="21"/>
      <c r="Z2773" s="21"/>
      <c r="AA2773" s="21"/>
      <c r="AB2773" s="21"/>
      <c r="AC2773" s="21"/>
      <c r="AD2773" s="21"/>
      <c r="AE2773" s="21"/>
      <c r="AF2773" s="21"/>
      <c r="AG2773" s="21"/>
      <c r="AH2773" s="21">
        <v>10</v>
      </c>
      <c r="AI2773" s="21"/>
      <c r="AJ2773" s="21"/>
      <c r="AK2773" s="21"/>
      <c r="AL2773" s="21"/>
      <c r="AM2773" s="21">
        <v>3</v>
      </c>
      <c r="AN2773" s="21">
        <v>1</v>
      </c>
      <c r="AO2773" s="21">
        <v>1</v>
      </c>
      <c r="AP2773" s="21">
        <v>2</v>
      </c>
      <c r="AQ2773" s="21">
        <v>2</v>
      </c>
      <c r="AR2773" s="21"/>
      <c r="AS2773" s="21">
        <v>1</v>
      </c>
      <c r="AT2773" s="12" t="str">
        <f>HYPERLINK("http://www.openstreetmap.org/?mlat=36.2147&amp;mlon=44.8198&amp;zoom=12#map=12/36.2147/44.8198","Maplink1")</f>
        <v>Maplink1</v>
      </c>
      <c r="AU2773" s="12" t="str">
        <f>HYPERLINK("https://www.google.iq/maps/search/+36.2147,44.8198/@36.2147,44.8198,14z?hl=en","Maplink2")</f>
        <v>Maplink2</v>
      </c>
      <c r="AV2773" s="12" t="str">
        <f>HYPERLINK("http://www.bing.com/maps/?lvl=14&amp;sty=h&amp;cp=36.2147~44.8198&amp;sp=point.36.2147_44.8198","Maplink3")</f>
        <v>Maplink3</v>
      </c>
    </row>
    <row r="2774" spans="1:48" ht="15" customHeight="1" x14ac:dyDescent="0.25">
      <c r="A2774" s="19">
        <v>24814</v>
      </c>
      <c r="B2774" s="20" t="s">
        <v>24</v>
      </c>
      <c r="C2774" s="20" t="s">
        <v>4788</v>
      </c>
      <c r="D2774" s="20" t="s">
        <v>2673</v>
      </c>
      <c r="E2774" s="20" t="s">
        <v>2554</v>
      </c>
      <c r="F2774" s="20">
        <v>36.261474389999997</v>
      </c>
      <c r="G2774" s="20">
        <v>44.889989700000001</v>
      </c>
      <c r="H2774" s="22">
        <v>8</v>
      </c>
      <c r="I2774" s="22">
        <v>48</v>
      </c>
      <c r="J2774" s="21">
        <v>3</v>
      </c>
      <c r="K2774" s="21">
        <v>2</v>
      </c>
      <c r="L2774" s="21">
        <v>1</v>
      </c>
      <c r="M2774" s="21"/>
      <c r="N2774" s="21"/>
      <c r="O2774" s="21">
        <v>1</v>
      </c>
      <c r="P2774" s="21"/>
      <c r="Q2774" s="21"/>
      <c r="R2774" s="21"/>
      <c r="S2774" s="21"/>
      <c r="T2774" s="21"/>
      <c r="U2774" s="21"/>
      <c r="V2774" s="21">
        <v>1</v>
      </c>
      <c r="W2774" s="21"/>
      <c r="X2774" s="21"/>
      <c r="Y2774" s="21"/>
      <c r="Z2774" s="21"/>
      <c r="AA2774" s="21"/>
      <c r="AB2774" s="21"/>
      <c r="AC2774" s="21"/>
      <c r="AD2774" s="21"/>
      <c r="AE2774" s="21"/>
      <c r="AF2774" s="21"/>
      <c r="AG2774" s="21"/>
      <c r="AH2774" s="21">
        <v>8</v>
      </c>
      <c r="AI2774" s="21"/>
      <c r="AJ2774" s="21"/>
      <c r="AK2774" s="21"/>
      <c r="AL2774" s="21"/>
      <c r="AM2774" s="21">
        <v>1</v>
      </c>
      <c r="AN2774" s="21">
        <v>3</v>
      </c>
      <c r="AO2774" s="21">
        <v>1</v>
      </c>
      <c r="AP2774" s="21"/>
      <c r="AQ2774" s="21">
        <v>3</v>
      </c>
      <c r="AR2774" s="21"/>
      <c r="AS2774" s="21"/>
      <c r="AT2774" s="12" t="str">
        <f>HYPERLINK("http://www.openstreetmap.org/?mlat=36.2615&amp;mlon=44.89&amp;zoom=12#map=12/36.2615/44.89","Maplink1")</f>
        <v>Maplink1</v>
      </c>
      <c r="AU2774" s="12" t="str">
        <f>HYPERLINK("https://www.google.iq/maps/search/+36.2615,44.89/@36.2615,44.89,14z?hl=en","Maplink2")</f>
        <v>Maplink2</v>
      </c>
      <c r="AV2774" s="12" t="str">
        <f>HYPERLINK("http://www.bing.com/maps/?lvl=14&amp;sty=h&amp;cp=36.2615~44.89&amp;sp=point.36.2615_44.89","Maplink3")</f>
        <v>Maplink3</v>
      </c>
    </row>
    <row r="2775" spans="1:48" ht="15" customHeight="1" x14ac:dyDescent="0.25">
      <c r="A2775" s="19">
        <v>24101</v>
      </c>
      <c r="B2775" s="20" t="s">
        <v>24</v>
      </c>
      <c r="C2775" s="20" t="s">
        <v>4788</v>
      </c>
      <c r="D2775" s="20" t="s">
        <v>2050</v>
      </c>
      <c r="E2775" s="20" t="s">
        <v>2051</v>
      </c>
      <c r="F2775" s="20">
        <v>36.248792610000002</v>
      </c>
      <c r="G2775" s="20">
        <v>44.869846279999997</v>
      </c>
      <c r="H2775" s="22">
        <v>45</v>
      </c>
      <c r="I2775" s="22">
        <v>270</v>
      </c>
      <c r="J2775" s="21"/>
      <c r="K2775" s="21"/>
      <c r="L2775" s="21">
        <v>1</v>
      </c>
      <c r="M2775" s="21"/>
      <c r="N2775" s="21"/>
      <c r="O2775" s="21"/>
      <c r="P2775" s="21"/>
      <c r="Q2775" s="21"/>
      <c r="R2775" s="21"/>
      <c r="S2775" s="21"/>
      <c r="T2775" s="21"/>
      <c r="U2775" s="21"/>
      <c r="V2775" s="21">
        <v>44</v>
      </c>
      <c r="W2775" s="21"/>
      <c r="X2775" s="21"/>
      <c r="Y2775" s="21"/>
      <c r="Z2775" s="21"/>
      <c r="AA2775" s="21"/>
      <c r="AB2775" s="21"/>
      <c r="AC2775" s="21"/>
      <c r="AD2775" s="21"/>
      <c r="AE2775" s="21"/>
      <c r="AF2775" s="21"/>
      <c r="AG2775" s="21"/>
      <c r="AH2775" s="21">
        <v>45</v>
      </c>
      <c r="AI2775" s="21"/>
      <c r="AJ2775" s="21"/>
      <c r="AK2775" s="21"/>
      <c r="AL2775" s="21">
        <v>1</v>
      </c>
      <c r="AM2775" s="21">
        <v>44</v>
      </c>
      <c r="AN2775" s="21"/>
      <c r="AO2775" s="21"/>
      <c r="AP2775" s="21"/>
      <c r="AQ2775" s="21"/>
      <c r="AR2775" s="21"/>
      <c r="AS2775" s="21"/>
      <c r="AT2775" s="12" t="str">
        <f>HYPERLINK("http://www.openstreetmap.org/?mlat=36.2488&amp;mlon=44.8698&amp;zoom=12#map=12/36.2488/44.8698","Maplink1")</f>
        <v>Maplink1</v>
      </c>
      <c r="AU2775" s="12" t="str">
        <f>HYPERLINK("https://www.google.iq/maps/search/+36.2488,44.8698/@36.2488,44.8698,14z?hl=en","Maplink2")</f>
        <v>Maplink2</v>
      </c>
      <c r="AV2775" s="12" t="str">
        <f>HYPERLINK("http://www.bing.com/maps/?lvl=14&amp;sty=h&amp;cp=36.2488~44.8698&amp;sp=point.36.2488_44.8698","Maplink3")</f>
        <v>Maplink3</v>
      </c>
    </row>
    <row r="2776" spans="1:48" ht="15" customHeight="1" x14ac:dyDescent="0.25">
      <c r="A2776" s="19">
        <v>4201</v>
      </c>
      <c r="B2776" s="20" t="s">
        <v>24</v>
      </c>
      <c r="C2776" s="20" t="s">
        <v>4788</v>
      </c>
      <c r="D2776" s="20" t="s">
        <v>2792</v>
      </c>
      <c r="E2776" s="20" t="s">
        <v>2793</v>
      </c>
      <c r="F2776" s="20">
        <v>36.254434570000001</v>
      </c>
      <c r="G2776" s="20">
        <v>44.886906580000002</v>
      </c>
      <c r="H2776" s="22">
        <v>12</v>
      </c>
      <c r="I2776" s="22">
        <v>72</v>
      </c>
      <c r="J2776" s="21">
        <v>9</v>
      </c>
      <c r="K2776" s="21"/>
      <c r="L2776" s="21">
        <v>1</v>
      </c>
      <c r="M2776" s="21"/>
      <c r="N2776" s="21"/>
      <c r="O2776" s="21"/>
      <c r="P2776" s="21"/>
      <c r="Q2776" s="21"/>
      <c r="R2776" s="21"/>
      <c r="S2776" s="21"/>
      <c r="T2776" s="21"/>
      <c r="U2776" s="21"/>
      <c r="V2776" s="21">
        <v>2</v>
      </c>
      <c r="W2776" s="21"/>
      <c r="X2776" s="21"/>
      <c r="Y2776" s="21"/>
      <c r="Z2776" s="21"/>
      <c r="AA2776" s="21"/>
      <c r="AB2776" s="21"/>
      <c r="AC2776" s="21"/>
      <c r="AD2776" s="21"/>
      <c r="AE2776" s="21"/>
      <c r="AF2776" s="21"/>
      <c r="AG2776" s="21"/>
      <c r="AH2776" s="21">
        <v>12</v>
      </c>
      <c r="AI2776" s="21"/>
      <c r="AJ2776" s="21"/>
      <c r="AK2776" s="21"/>
      <c r="AL2776" s="21">
        <v>2</v>
      </c>
      <c r="AM2776" s="21">
        <v>1</v>
      </c>
      <c r="AN2776" s="21">
        <v>3</v>
      </c>
      <c r="AO2776" s="21">
        <v>2</v>
      </c>
      <c r="AP2776" s="21">
        <v>4</v>
      </c>
      <c r="AQ2776" s="21"/>
      <c r="AR2776" s="21"/>
      <c r="AS2776" s="21"/>
      <c r="AT2776" s="12" t="str">
        <f>HYPERLINK("http://www.openstreetmap.org/?mlat=36.2544&amp;mlon=44.8869&amp;zoom=12#map=12/36.2544/44.8869","Maplink1")</f>
        <v>Maplink1</v>
      </c>
      <c r="AU2776" s="12" t="str">
        <f>HYPERLINK("https://www.google.iq/maps/search/+36.2544,44.8869/@36.2544,44.8869,14z?hl=en","Maplink2")</f>
        <v>Maplink2</v>
      </c>
      <c r="AV2776" s="12" t="str">
        <f>HYPERLINK("http://www.bing.com/maps/?lvl=14&amp;sty=h&amp;cp=36.2544~44.8869&amp;sp=point.36.2544_44.8869","Maplink3")</f>
        <v>Maplink3</v>
      </c>
    </row>
    <row r="2777" spans="1:48" ht="15" customHeight="1" x14ac:dyDescent="0.25">
      <c r="A2777" s="19">
        <v>25296</v>
      </c>
      <c r="B2777" s="20" t="s">
        <v>24</v>
      </c>
      <c r="C2777" s="20" t="s">
        <v>4788</v>
      </c>
      <c r="D2777" s="20" t="s">
        <v>4811</v>
      </c>
      <c r="E2777" s="20" t="s">
        <v>4812</v>
      </c>
      <c r="F2777" s="20">
        <v>36.211970790000002</v>
      </c>
      <c r="G2777" s="20">
        <v>44.835450600000001</v>
      </c>
      <c r="H2777" s="22">
        <v>22</v>
      </c>
      <c r="I2777" s="22">
        <v>132</v>
      </c>
      <c r="J2777" s="21">
        <v>8</v>
      </c>
      <c r="K2777" s="21">
        <v>2</v>
      </c>
      <c r="L2777" s="21">
        <v>4</v>
      </c>
      <c r="M2777" s="21"/>
      <c r="N2777" s="21"/>
      <c r="O2777" s="21">
        <v>2</v>
      </c>
      <c r="P2777" s="21"/>
      <c r="Q2777" s="21"/>
      <c r="R2777" s="21">
        <v>5</v>
      </c>
      <c r="S2777" s="21"/>
      <c r="T2777" s="21"/>
      <c r="U2777" s="21"/>
      <c r="V2777" s="21"/>
      <c r="W2777" s="21"/>
      <c r="X2777" s="21">
        <v>1</v>
      </c>
      <c r="Y2777" s="21"/>
      <c r="Z2777" s="21"/>
      <c r="AA2777" s="21"/>
      <c r="AB2777" s="21"/>
      <c r="AC2777" s="21"/>
      <c r="AD2777" s="21"/>
      <c r="AE2777" s="21"/>
      <c r="AF2777" s="21"/>
      <c r="AG2777" s="21"/>
      <c r="AH2777" s="21">
        <v>22</v>
      </c>
      <c r="AI2777" s="21"/>
      <c r="AJ2777" s="21"/>
      <c r="AK2777" s="21"/>
      <c r="AL2777" s="21"/>
      <c r="AM2777" s="21">
        <v>1</v>
      </c>
      <c r="AN2777" s="21">
        <v>3</v>
      </c>
      <c r="AO2777" s="21">
        <v>6</v>
      </c>
      <c r="AP2777" s="21">
        <v>3</v>
      </c>
      <c r="AQ2777" s="21">
        <v>1</v>
      </c>
      <c r="AR2777" s="21">
        <v>2</v>
      </c>
      <c r="AS2777" s="21">
        <v>6</v>
      </c>
      <c r="AT2777" s="12" t="str">
        <f>HYPERLINK("http://www.openstreetmap.org/?mlat=36.212&amp;mlon=44.8355&amp;zoom=12#map=12/36.212/44.8355","Maplink1")</f>
        <v>Maplink1</v>
      </c>
      <c r="AU2777" s="12" t="str">
        <f>HYPERLINK("https://www.google.iq/maps/search/+36.212,44.8355/@36.212,44.8355,14z?hl=en","Maplink2")</f>
        <v>Maplink2</v>
      </c>
      <c r="AV2777" s="12" t="str">
        <f>HYPERLINK("http://www.bing.com/maps/?lvl=14&amp;sty=h&amp;cp=36.212~44.8355&amp;sp=point.36.212_44.8355","Maplink3")</f>
        <v>Maplink3</v>
      </c>
    </row>
    <row r="2778" spans="1:48" ht="15" customHeight="1" x14ac:dyDescent="0.25">
      <c r="A2778" s="19">
        <v>24100</v>
      </c>
      <c r="B2778" s="20" t="s">
        <v>24</v>
      </c>
      <c r="C2778" s="20" t="s">
        <v>4788</v>
      </c>
      <c r="D2778" s="20" t="s">
        <v>4813</v>
      </c>
      <c r="E2778" s="20" t="s">
        <v>4814</v>
      </c>
      <c r="F2778" s="20">
        <v>36.255773560000002</v>
      </c>
      <c r="G2778" s="20">
        <v>44.888844779999999</v>
      </c>
      <c r="H2778" s="22">
        <v>12</v>
      </c>
      <c r="I2778" s="22">
        <v>72</v>
      </c>
      <c r="J2778" s="21">
        <v>12</v>
      </c>
      <c r="K2778" s="21"/>
      <c r="L2778" s="21"/>
      <c r="M2778" s="21"/>
      <c r="N2778" s="21"/>
      <c r="O2778" s="21"/>
      <c r="P2778" s="21"/>
      <c r="Q2778" s="21"/>
      <c r="R2778" s="21"/>
      <c r="S2778" s="21"/>
      <c r="T2778" s="21"/>
      <c r="U2778" s="21"/>
      <c r="V2778" s="21"/>
      <c r="W2778" s="21"/>
      <c r="X2778" s="21"/>
      <c r="Y2778" s="21"/>
      <c r="Z2778" s="21"/>
      <c r="AA2778" s="21"/>
      <c r="AB2778" s="21"/>
      <c r="AC2778" s="21"/>
      <c r="AD2778" s="21"/>
      <c r="AE2778" s="21"/>
      <c r="AF2778" s="21"/>
      <c r="AG2778" s="21"/>
      <c r="AH2778" s="21">
        <v>12</v>
      </c>
      <c r="AI2778" s="21"/>
      <c r="AJ2778" s="21"/>
      <c r="AK2778" s="21"/>
      <c r="AL2778" s="21">
        <v>3</v>
      </c>
      <c r="AM2778" s="21">
        <v>1</v>
      </c>
      <c r="AN2778" s="21"/>
      <c r="AO2778" s="21">
        <v>1</v>
      </c>
      <c r="AP2778" s="21">
        <v>7</v>
      </c>
      <c r="AQ2778" s="21"/>
      <c r="AR2778" s="21"/>
      <c r="AS2778" s="21"/>
      <c r="AT2778" s="12" t="str">
        <f>HYPERLINK("http://www.openstreetmap.org/?mlat=36.2558&amp;mlon=44.8888&amp;zoom=12#map=12/36.2558/44.8888","Maplink1")</f>
        <v>Maplink1</v>
      </c>
      <c r="AU2778" s="12" t="str">
        <f>HYPERLINK("https://www.google.iq/maps/search/+36.2558,44.8888/@36.2558,44.8888,14z?hl=en","Maplink2")</f>
        <v>Maplink2</v>
      </c>
      <c r="AV2778" s="12" t="str">
        <f>HYPERLINK("http://www.bing.com/maps/?lvl=14&amp;sty=h&amp;cp=36.2558~44.8888&amp;sp=point.36.2558_44.8888","Maplink3")</f>
        <v>Maplink3</v>
      </c>
    </row>
    <row r="2779" spans="1:48" ht="15" customHeight="1" x14ac:dyDescent="0.25">
      <c r="A2779" s="19">
        <v>31872</v>
      </c>
      <c r="B2779" s="20" t="s">
        <v>24</v>
      </c>
      <c r="C2779" s="20" t="s">
        <v>4788</v>
      </c>
      <c r="D2779" s="20" t="s">
        <v>4815</v>
      </c>
      <c r="E2779" s="20" t="s">
        <v>4816</v>
      </c>
      <c r="F2779" s="20">
        <v>36.248620000000003</v>
      </c>
      <c r="G2779" s="20">
        <v>44.86195</v>
      </c>
      <c r="H2779" s="22">
        <v>10</v>
      </c>
      <c r="I2779" s="22">
        <v>60</v>
      </c>
      <c r="J2779" s="21"/>
      <c r="K2779" s="21"/>
      <c r="L2779" s="21"/>
      <c r="M2779" s="21"/>
      <c r="N2779" s="21"/>
      <c r="O2779" s="21"/>
      <c r="P2779" s="21"/>
      <c r="Q2779" s="21"/>
      <c r="R2779" s="21"/>
      <c r="S2779" s="21"/>
      <c r="T2779" s="21"/>
      <c r="U2779" s="21"/>
      <c r="V2779" s="21">
        <v>10</v>
      </c>
      <c r="W2779" s="21"/>
      <c r="X2779" s="21"/>
      <c r="Y2779" s="21"/>
      <c r="Z2779" s="21"/>
      <c r="AA2779" s="21"/>
      <c r="AB2779" s="21"/>
      <c r="AC2779" s="21"/>
      <c r="AD2779" s="21"/>
      <c r="AE2779" s="21"/>
      <c r="AF2779" s="21"/>
      <c r="AG2779" s="21"/>
      <c r="AH2779" s="21">
        <v>10</v>
      </c>
      <c r="AI2779" s="21"/>
      <c r="AJ2779" s="21"/>
      <c r="AK2779" s="21"/>
      <c r="AL2779" s="21"/>
      <c r="AM2779" s="21">
        <v>3</v>
      </c>
      <c r="AN2779" s="21">
        <v>4</v>
      </c>
      <c r="AO2779" s="21"/>
      <c r="AP2779" s="21"/>
      <c r="AQ2779" s="21"/>
      <c r="AR2779" s="21">
        <v>3</v>
      </c>
      <c r="AS2779" s="21"/>
      <c r="AT2779" s="12" t="str">
        <f>HYPERLINK("http://www.openstreetmap.org/?mlat=36.2486&amp;mlon=44.862&amp;zoom=12#map=12/36.2486/44.862","Maplink1")</f>
        <v>Maplink1</v>
      </c>
      <c r="AU2779" s="12" t="str">
        <f>HYPERLINK("https://www.google.iq/maps/search/+36.2486,44.862/@36.2486,44.862,14z?hl=en","Maplink2")</f>
        <v>Maplink2</v>
      </c>
      <c r="AV2779" s="12" t="str">
        <f>HYPERLINK("http://www.bing.com/maps/?lvl=14&amp;sty=h&amp;cp=36.2486~44.862&amp;sp=point.36.2486_44.862","Maplink3")</f>
        <v>Maplink3</v>
      </c>
    </row>
    <row r="2780" spans="1:48" ht="15" customHeight="1" x14ac:dyDescent="0.25">
      <c r="A2780" s="19">
        <v>31871</v>
      </c>
      <c r="B2780" s="20" t="s">
        <v>24</v>
      </c>
      <c r="C2780" s="20" t="s">
        <v>4788</v>
      </c>
      <c r="D2780" s="20" t="s">
        <v>4573</v>
      </c>
      <c r="E2780" s="20" t="s">
        <v>2563</v>
      </c>
      <c r="F2780" s="20">
        <v>36.242959999999997</v>
      </c>
      <c r="G2780" s="20">
        <v>44.885150000000003</v>
      </c>
      <c r="H2780" s="22">
        <v>7</v>
      </c>
      <c r="I2780" s="22">
        <v>42</v>
      </c>
      <c r="J2780" s="21">
        <v>1</v>
      </c>
      <c r="K2780" s="21"/>
      <c r="L2780" s="21">
        <v>3</v>
      </c>
      <c r="M2780" s="21"/>
      <c r="N2780" s="21"/>
      <c r="O2780" s="21"/>
      <c r="P2780" s="21"/>
      <c r="Q2780" s="21"/>
      <c r="R2780" s="21"/>
      <c r="S2780" s="21"/>
      <c r="T2780" s="21"/>
      <c r="U2780" s="21"/>
      <c r="V2780" s="21">
        <v>3</v>
      </c>
      <c r="W2780" s="21"/>
      <c r="X2780" s="21"/>
      <c r="Y2780" s="21"/>
      <c r="Z2780" s="21"/>
      <c r="AA2780" s="21"/>
      <c r="AB2780" s="21"/>
      <c r="AC2780" s="21"/>
      <c r="AD2780" s="21"/>
      <c r="AE2780" s="21"/>
      <c r="AF2780" s="21"/>
      <c r="AG2780" s="21"/>
      <c r="AH2780" s="21">
        <v>7</v>
      </c>
      <c r="AI2780" s="21"/>
      <c r="AJ2780" s="21"/>
      <c r="AK2780" s="21"/>
      <c r="AL2780" s="21">
        <v>3</v>
      </c>
      <c r="AM2780" s="21">
        <v>2</v>
      </c>
      <c r="AN2780" s="21">
        <v>1</v>
      </c>
      <c r="AO2780" s="21">
        <v>1</v>
      </c>
      <c r="AP2780" s="21"/>
      <c r="AQ2780" s="21"/>
      <c r="AR2780" s="21"/>
      <c r="AS2780" s="21"/>
      <c r="AT2780" s="12" t="str">
        <f>HYPERLINK("http://www.openstreetmap.org/?mlat=36.243&amp;mlon=44.8852&amp;zoom=12#map=12/36.243/44.8852","Maplink1")</f>
        <v>Maplink1</v>
      </c>
      <c r="AU2780" s="12" t="str">
        <f>HYPERLINK("https://www.google.iq/maps/search/+36.243,44.8852/@36.243,44.8852,14z?hl=en","Maplink2")</f>
        <v>Maplink2</v>
      </c>
      <c r="AV2780" s="12" t="str">
        <f>HYPERLINK("http://www.bing.com/maps/?lvl=14&amp;sty=h&amp;cp=36.243~44.8852&amp;sp=point.36.243_44.8852","Maplink3")</f>
        <v>Maplink3</v>
      </c>
    </row>
    <row r="2781" spans="1:48" ht="15" customHeight="1" x14ac:dyDescent="0.25">
      <c r="A2781" s="19">
        <v>25293</v>
      </c>
      <c r="B2781" s="20" t="s">
        <v>24</v>
      </c>
      <c r="C2781" s="20" t="s">
        <v>4788</v>
      </c>
      <c r="D2781" s="20" t="s">
        <v>4573</v>
      </c>
      <c r="E2781" s="20" t="s">
        <v>2563</v>
      </c>
      <c r="F2781" s="20">
        <v>36.203073310000001</v>
      </c>
      <c r="G2781" s="20">
        <v>44.819791160000001</v>
      </c>
      <c r="H2781" s="22">
        <v>13</v>
      </c>
      <c r="I2781" s="22">
        <v>78</v>
      </c>
      <c r="J2781" s="21">
        <v>2</v>
      </c>
      <c r="K2781" s="21"/>
      <c r="L2781" s="21">
        <v>4</v>
      </c>
      <c r="M2781" s="21"/>
      <c r="N2781" s="21"/>
      <c r="O2781" s="21">
        <v>1</v>
      </c>
      <c r="P2781" s="21"/>
      <c r="Q2781" s="21"/>
      <c r="R2781" s="21">
        <v>4</v>
      </c>
      <c r="S2781" s="21"/>
      <c r="T2781" s="21"/>
      <c r="U2781" s="21"/>
      <c r="V2781" s="21"/>
      <c r="W2781" s="21"/>
      <c r="X2781" s="21">
        <v>2</v>
      </c>
      <c r="Y2781" s="21"/>
      <c r="Z2781" s="21"/>
      <c r="AA2781" s="21"/>
      <c r="AB2781" s="21"/>
      <c r="AC2781" s="21"/>
      <c r="AD2781" s="21"/>
      <c r="AE2781" s="21"/>
      <c r="AF2781" s="21"/>
      <c r="AG2781" s="21"/>
      <c r="AH2781" s="21">
        <v>13</v>
      </c>
      <c r="AI2781" s="21"/>
      <c r="AJ2781" s="21"/>
      <c r="AK2781" s="21"/>
      <c r="AL2781" s="21">
        <v>1</v>
      </c>
      <c r="AM2781" s="21">
        <v>1</v>
      </c>
      <c r="AN2781" s="21"/>
      <c r="AO2781" s="21">
        <v>2</v>
      </c>
      <c r="AP2781" s="21">
        <v>2</v>
      </c>
      <c r="AQ2781" s="21">
        <v>3</v>
      </c>
      <c r="AR2781" s="21"/>
      <c r="AS2781" s="21">
        <v>4</v>
      </c>
      <c r="AT2781" s="12" t="str">
        <f>HYPERLINK("http://www.openstreetmap.org/?mlat=36.2031&amp;mlon=44.8198&amp;zoom=12#map=12/36.2031/44.8198","Maplink1")</f>
        <v>Maplink1</v>
      </c>
      <c r="AU2781" s="12" t="str">
        <f>HYPERLINK("https://www.google.iq/maps/search/+36.2031,44.8198/@36.2031,44.8198,14z?hl=en","Maplink2")</f>
        <v>Maplink2</v>
      </c>
      <c r="AV2781" s="12" t="str">
        <f>HYPERLINK("http://www.bing.com/maps/?lvl=14&amp;sty=h&amp;cp=36.2031~44.8198&amp;sp=point.36.2031_44.8198","Maplink3")</f>
        <v>Maplink3</v>
      </c>
    </row>
    <row r="2782" spans="1:48" ht="15" customHeight="1" x14ac:dyDescent="0.25">
      <c r="A2782" s="19">
        <v>31873</v>
      </c>
      <c r="B2782" s="20" t="s">
        <v>24</v>
      </c>
      <c r="C2782" s="20" t="s">
        <v>4788</v>
      </c>
      <c r="D2782" s="20" t="s">
        <v>4817</v>
      </c>
      <c r="E2782" s="20" t="s">
        <v>4818</v>
      </c>
      <c r="F2782" s="20">
        <v>36.259819999999998</v>
      </c>
      <c r="G2782" s="20">
        <v>44.88129</v>
      </c>
      <c r="H2782" s="22">
        <v>8</v>
      </c>
      <c r="I2782" s="22">
        <v>48</v>
      </c>
      <c r="J2782" s="21">
        <v>4</v>
      </c>
      <c r="K2782" s="21"/>
      <c r="L2782" s="21"/>
      <c r="M2782" s="21"/>
      <c r="N2782" s="21"/>
      <c r="O2782" s="21"/>
      <c r="P2782" s="21"/>
      <c r="Q2782" s="21"/>
      <c r="R2782" s="21"/>
      <c r="S2782" s="21"/>
      <c r="T2782" s="21"/>
      <c r="U2782" s="21"/>
      <c r="V2782" s="21"/>
      <c r="W2782" s="21"/>
      <c r="X2782" s="21">
        <v>4</v>
      </c>
      <c r="Y2782" s="21"/>
      <c r="Z2782" s="21"/>
      <c r="AA2782" s="21"/>
      <c r="AB2782" s="21"/>
      <c r="AC2782" s="21"/>
      <c r="AD2782" s="21"/>
      <c r="AE2782" s="21"/>
      <c r="AF2782" s="21"/>
      <c r="AG2782" s="21"/>
      <c r="AH2782" s="21">
        <v>8</v>
      </c>
      <c r="AI2782" s="21"/>
      <c r="AJ2782" s="21"/>
      <c r="AK2782" s="21"/>
      <c r="AL2782" s="21">
        <v>1</v>
      </c>
      <c r="AM2782" s="21">
        <v>3</v>
      </c>
      <c r="AN2782" s="21">
        <v>1</v>
      </c>
      <c r="AO2782" s="21"/>
      <c r="AP2782" s="21"/>
      <c r="AQ2782" s="21">
        <v>2</v>
      </c>
      <c r="AR2782" s="21">
        <v>1</v>
      </c>
      <c r="AS2782" s="21"/>
      <c r="AT2782" s="12" t="str">
        <f>HYPERLINK("http://www.openstreetmap.org/?mlat=36.2598&amp;mlon=44.8813&amp;zoom=12#map=12/36.2598/44.8813","Maplink1")</f>
        <v>Maplink1</v>
      </c>
      <c r="AU2782" s="12" t="str">
        <f>HYPERLINK("https://www.google.iq/maps/search/+36.2598,44.8813/@36.2598,44.8813,14z?hl=en","Maplink2")</f>
        <v>Maplink2</v>
      </c>
      <c r="AV2782" s="12" t="str">
        <f>HYPERLINK("http://www.bing.com/maps/?lvl=14&amp;sty=h&amp;cp=36.2598~44.8813&amp;sp=point.36.2598_44.8813","Maplink3")</f>
        <v>Maplink3</v>
      </c>
    </row>
    <row r="2783" spans="1:48" ht="15" customHeight="1" x14ac:dyDescent="0.25">
      <c r="A2783" s="19">
        <v>25294</v>
      </c>
      <c r="B2783" s="20" t="s">
        <v>24</v>
      </c>
      <c r="C2783" s="20" t="s">
        <v>4788</v>
      </c>
      <c r="D2783" s="20" t="s">
        <v>4684</v>
      </c>
      <c r="E2783" s="20" t="s">
        <v>2215</v>
      </c>
      <c r="F2783" s="20">
        <v>36.20409772</v>
      </c>
      <c r="G2783" s="20">
        <v>44.826972599999998</v>
      </c>
      <c r="H2783" s="22">
        <v>5</v>
      </c>
      <c r="I2783" s="22">
        <v>30</v>
      </c>
      <c r="J2783" s="21">
        <v>3</v>
      </c>
      <c r="K2783" s="21"/>
      <c r="L2783" s="21">
        <v>1</v>
      </c>
      <c r="M2783" s="21"/>
      <c r="N2783" s="21"/>
      <c r="O2783" s="21">
        <v>1</v>
      </c>
      <c r="P2783" s="21"/>
      <c r="Q2783" s="21"/>
      <c r="R2783" s="21"/>
      <c r="S2783" s="21"/>
      <c r="T2783" s="21"/>
      <c r="U2783" s="21"/>
      <c r="V2783" s="21"/>
      <c r="W2783" s="21"/>
      <c r="X2783" s="21"/>
      <c r="Y2783" s="21"/>
      <c r="Z2783" s="21"/>
      <c r="AA2783" s="21"/>
      <c r="AB2783" s="21"/>
      <c r="AC2783" s="21"/>
      <c r="AD2783" s="21"/>
      <c r="AE2783" s="21"/>
      <c r="AF2783" s="21"/>
      <c r="AG2783" s="21"/>
      <c r="AH2783" s="21">
        <v>5</v>
      </c>
      <c r="AI2783" s="21"/>
      <c r="AJ2783" s="21"/>
      <c r="AK2783" s="21"/>
      <c r="AL2783" s="21"/>
      <c r="AM2783" s="21">
        <v>1</v>
      </c>
      <c r="AN2783" s="21">
        <v>1</v>
      </c>
      <c r="AO2783" s="21"/>
      <c r="AP2783" s="21">
        <v>1</v>
      </c>
      <c r="AQ2783" s="21">
        <v>2</v>
      </c>
      <c r="AR2783" s="21"/>
      <c r="AS2783" s="21"/>
      <c r="AT2783" s="12" t="str">
        <f>HYPERLINK("http://www.openstreetmap.org/?mlat=36.2041&amp;mlon=44.827&amp;zoom=12#map=12/36.2041/44.827","Maplink1")</f>
        <v>Maplink1</v>
      </c>
      <c r="AU2783" s="12" t="str">
        <f>HYPERLINK("https://www.google.iq/maps/search/+36.2041,44.827/@36.2041,44.827,14z?hl=en","Maplink2")</f>
        <v>Maplink2</v>
      </c>
      <c r="AV2783" s="12" t="str">
        <f>HYPERLINK("http://www.bing.com/maps/?lvl=14&amp;sty=h&amp;cp=36.2041~44.827&amp;sp=point.36.2041_44.827","Maplink3")</f>
        <v>Maplink3</v>
      </c>
    </row>
    <row r="2784" spans="1:48" ht="15" customHeight="1" x14ac:dyDescent="0.25">
      <c r="A2784" s="19">
        <v>31868</v>
      </c>
      <c r="B2784" s="20" t="s">
        <v>24</v>
      </c>
      <c r="C2784" s="20" t="s">
        <v>4788</v>
      </c>
      <c r="D2784" s="20" t="s">
        <v>2214</v>
      </c>
      <c r="E2784" s="20" t="s">
        <v>2215</v>
      </c>
      <c r="F2784" s="20">
        <v>36.254519999999999</v>
      </c>
      <c r="G2784" s="20">
        <v>44.90363</v>
      </c>
      <c r="H2784" s="22">
        <v>2</v>
      </c>
      <c r="I2784" s="22">
        <v>12</v>
      </c>
      <c r="J2784" s="21">
        <v>1</v>
      </c>
      <c r="K2784" s="21"/>
      <c r="L2784" s="21"/>
      <c r="M2784" s="21"/>
      <c r="N2784" s="21"/>
      <c r="O2784" s="21">
        <v>1</v>
      </c>
      <c r="P2784" s="21"/>
      <c r="Q2784" s="21"/>
      <c r="R2784" s="21"/>
      <c r="S2784" s="21"/>
      <c r="T2784" s="21"/>
      <c r="U2784" s="21"/>
      <c r="V2784" s="21"/>
      <c r="W2784" s="21"/>
      <c r="X2784" s="21"/>
      <c r="Y2784" s="21"/>
      <c r="Z2784" s="21"/>
      <c r="AA2784" s="21"/>
      <c r="AB2784" s="21"/>
      <c r="AC2784" s="21"/>
      <c r="AD2784" s="21"/>
      <c r="AE2784" s="21"/>
      <c r="AF2784" s="21"/>
      <c r="AG2784" s="21"/>
      <c r="AH2784" s="21">
        <v>2</v>
      </c>
      <c r="AI2784" s="21"/>
      <c r="AJ2784" s="21"/>
      <c r="AK2784" s="21"/>
      <c r="AL2784" s="21">
        <v>1</v>
      </c>
      <c r="AM2784" s="21"/>
      <c r="AN2784" s="21"/>
      <c r="AO2784" s="21"/>
      <c r="AP2784" s="21">
        <v>1</v>
      </c>
      <c r="AQ2784" s="21"/>
      <c r="AR2784" s="21"/>
      <c r="AS2784" s="21"/>
      <c r="AT2784" s="12" t="str">
        <f>HYPERLINK("http://www.openstreetmap.org/?mlat=36.2545&amp;mlon=44.9036&amp;zoom=12#map=12/36.2545/44.9036","Maplink1")</f>
        <v>Maplink1</v>
      </c>
      <c r="AU2784" s="12" t="str">
        <f>HYPERLINK("https://www.google.iq/maps/search/+36.2545,44.9036/@36.2545,44.9036,14z?hl=en","Maplink2")</f>
        <v>Maplink2</v>
      </c>
      <c r="AV2784" s="12" t="str">
        <f>HYPERLINK("http://www.bing.com/maps/?lvl=14&amp;sty=h&amp;cp=36.2545~44.9036&amp;sp=point.36.2545_44.9036","Maplink3")</f>
        <v>Maplink3</v>
      </c>
    </row>
    <row r="2785" spans="1:48" ht="15" customHeight="1" x14ac:dyDescent="0.25">
      <c r="A2785" s="19">
        <v>25521</v>
      </c>
      <c r="B2785" s="20" t="s">
        <v>24</v>
      </c>
      <c r="C2785" s="20" t="s">
        <v>4788</v>
      </c>
      <c r="D2785" s="20" t="s">
        <v>4819</v>
      </c>
      <c r="E2785" s="20" t="s">
        <v>4820</v>
      </c>
      <c r="F2785" s="20">
        <v>36.260984059999998</v>
      </c>
      <c r="G2785" s="20">
        <v>44.854402579999999</v>
      </c>
      <c r="H2785" s="22">
        <v>4</v>
      </c>
      <c r="I2785" s="22">
        <v>24</v>
      </c>
      <c r="J2785" s="21">
        <v>2</v>
      </c>
      <c r="K2785" s="21"/>
      <c r="L2785" s="21">
        <v>1</v>
      </c>
      <c r="M2785" s="21"/>
      <c r="N2785" s="21"/>
      <c r="O2785" s="21"/>
      <c r="P2785" s="21"/>
      <c r="Q2785" s="21"/>
      <c r="R2785" s="21"/>
      <c r="S2785" s="21"/>
      <c r="T2785" s="21"/>
      <c r="U2785" s="21"/>
      <c r="V2785" s="21">
        <v>1</v>
      </c>
      <c r="W2785" s="21"/>
      <c r="X2785" s="21"/>
      <c r="Y2785" s="21"/>
      <c r="Z2785" s="21"/>
      <c r="AA2785" s="21"/>
      <c r="AB2785" s="21"/>
      <c r="AC2785" s="21"/>
      <c r="AD2785" s="21"/>
      <c r="AE2785" s="21"/>
      <c r="AF2785" s="21"/>
      <c r="AG2785" s="21"/>
      <c r="AH2785" s="21">
        <v>4</v>
      </c>
      <c r="AI2785" s="21"/>
      <c r="AJ2785" s="21"/>
      <c r="AK2785" s="21"/>
      <c r="AL2785" s="21"/>
      <c r="AM2785" s="21"/>
      <c r="AN2785" s="21">
        <v>1</v>
      </c>
      <c r="AO2785" s="21">
        <v>1</v>
      </c>
      <c r="AP2785" s="21">
        <v>2</v>
      </c>
      <c r="AQ2785" s="21"/>
      <c r="AR2785" s="21"/>
      <c r="AS2785" s="21"/>
      <c r="AT2785" s="12" t="str">
        <f>HYPERLINK("http://www.openstreetmap.org/?mlat=36.261&amp;mlon=44.8544&amp;zoom=12#map=12/36.261/44.8544","Maplink1")</f>
        <v>Maplink1</v>
      </c>
      <c r="AU2785" s="12" t="str">
        <f>HYPERLINK("https://www.google.iq/maps/search/+36.261,44.8544/@36.261,44.8544,14z?hl=en","Maplink2")</f>
        <v>Maplink2</v>
      </c>
      <c r="AV2785" s="12" t="str">
        <f>HYPERLINK("http://www.bing.com/maps/?lvl=14&amp;sty=h&amp;cp=36.261~44.8544&amp;sp=point.36.261_44.8544","Maplink3")</f>
        <v>Maplink3</v>
      </c>
    </row>
    <row r="2786" spans="1:48" ht="15" customHeight="1" x14ac:dyDescent="0.25">
      <c r="A2786" s="19">
        <v>25297</v>
      </c>
      <c r="B2786" s="20" t="s">
        <v>24</v>
      </c>
      <c r="C2786" s="20" t="s">
        <v>4788</v>
      </c>
      <c r="D2786" s="20" t="s">
        <v>4821</v>
      </c>
      <c r="E2786" s="20" t="s">
        <v>4822</v>
      </c>
      <c r="F2786" s="20">
        <v>36.215614969999997</v>
      </c>
      <c r="G2786" s="20">
        <v>44.82846456</v>
      </c>
      <c r="H2786" s="22">
        <v>26</v>
      </c>
      <c r="I2786" s="22">
        <v>156</v>
      </c>
      <c r="J2786" s="21">
        <v>2</v>
      </c>
      <c r="K2786" s="21">
        <v>2</v>
      </c>
      <c r="L2786" s="21">
        <v>9</v>
      </c>
      <c r="M2786" s="21"/>
      <c r="N2786" s="21"/>
      <c r="O2786" s="21">
        <v>1</v>
      </c>
      <c r="P2786" s="21"/>
      <c r="Q2786" s="21"/>
      <c r="R2786" s="21">
        <v>3</v>
      </c>
      <c r="S2786" s="21"/>
      <c r="T2786" s="21"/>
      <c r="U2786" s="21"/>
      <c r="V2786" s="21">
        <v>6</v>
      </c>
      <c r="W2786" s="21"/>
      <c r="X2786" s="21">
        <v>3</v>
      </c>
      <c r="Y2786" s="21"/>
      <c r="Z2786" s="21"/>
      <c r="AA2786" s="21"/>
      <c r="AB2786" s="21"/>
      <c r="AC2786" s="21"/>
      <c r="AD2786" s="21"/>
      <c r="AE2786" s="21"/>
      <c r="AF2786" s="21"/>
      <c r="AG2786" s="21"/>
      <c r="AH2786" s="21">
        <v>26</v>
      </c>
      <c r="AI2786" s="21"/>
      <c r="AJ2786" s="21"/>
      <c r="AK2786" s="21"/>
      <c r="AL2786" s="21"/>
      <c r="AM2786" s="21">
        <v>1</v>
      </c>
      <c r="AN2786" s="21">
        <v>10</v>
      </c>
      <c r="AO2786" s="21">
        <v>4</v>
      </c>
      <c r="AP2786" s="21">
        <v>4</v>
      </c>
      <c r="AQ2786" s="21"/>
      <c r="AR2786" s="21">
        <v>1</v>
      </c>
      <c r="AS2786" s="21">
        <v>6</v>
      </c>
      <c r="AT2786" s="12" t="str">
        <f>HYPERLINK("http://www.openstreetmap.org/?mlat=36.2156&amp;mlon=44.8285&amp;zoom=12#map=12/36.2156/44.8285","Maplink1")</f>
        <v>Maplink1</v>
      </c>
      <c r="AU2786" s="12" t="str">
        <f>HYPERLINK("https://www.google.iq/maps/search/+36.2156,44.8285/@36.2156,44.8285,14z?hl=en","Maplink2")</f>
        <v>Maplink2</v>
      </c>
      <c r="AV2786" s="12" t="str">
        <f>HYPERLINK("http://www.bing.com/maps/?lvl=14&amp;sty=h&amp;cp=36.2156~44.8285&amp;sp=point.36.2156_44.8285","Maplink3")</f>
        <v>Maplink3</v>
      </c>
    </row>
    <row r="2787" spans="1:48" ht="15" customHeight="1" x14ac:dyDescent="0.25">
      <c r="A2787" s="19">
        <v>29686</v>
      </c>
      <c r="B2787" s="20" t="s">
        <v>24</v>
      </c>
      <c r="C2787" s="20" t="s">
        <v>4788</v>
      </c>
      <c r="D2787" s="20" t="s">
        <v>4823</v>
      </c>
      <c r="E2787" s="20" t="s">
        <v>4824</v>
      </c>
      <c r="F2787" s="20">
        <v>36.209789999999998</v>
      </c>
      <c r="G2787" s="20">
        <v>44.826250000000002</v>
      </c>
      <c r="H2787" s="22">
        <v>32</v>
      </c>
      <c r="I2787" s="22">
        <v>192</v>
      </c>
      <c r="J2787" s="21">
        <v>14</v>
      </c>
      <c r="K2787" s="21"/>
      <c r="L2787" s="21">
        <v>4</v>
      </c>
      <c r="M2787" s="21"/>
      <c r="N2787" s="21"/>
      <c r="O2787" s="21">
        <v>6</v>
      </c>
      <c r="P2787" s="21"/>
      <c r="Q2787" s="21"/>
      <c r="R2787" s="21">
        <v>3</v>
      </c>
      <c r="S2787" s="21"/>
      <c r="T2787" s="21"/>
      <c r="U2787" s="21"/>
      <c r="V2787" s="21">
        <v>2</v>
      </c>
      <c r="W2787" s="21"/>
      <c r="X2787" s="21">
        <v>3</v>
      </c>
      <c r="Y2787" s="21"/>
      <c r="Z2787" s="21"/>
      <c r="AA2787" s="21"/>
      <c r="AB2787" s="21"/>
      <c r="AC2787" s="21"/>
      <c r="AD2787" s="21"/>
      <c r="AE2787" s="21"/>
      <c r="AF2787" s="21"/>
      <c r="AG2787" s="21"/>
      <c r="AH2787" s="21">
        <v>32</v>
      </c>
      <c r="AI2787" s="21"/>
      <c r="AJ2787" s="21"/>
      <c r="AK2787" s="21"/>
      <c r="AL2787" s="21">
        <v>4</v>
      </c>
      <c r="AM2787" s="21">
        <v>10</v>
      </c>
      <c r="AN2787" s="21">
        <v>4</v>
      </c>
      <c r="AO2787" s="21">
        <v>3</v>
      </c>
      <c r="AP2787" s="21">
        <v>4</v>
      </c>
      <c r="AQ2787" s="21">
        <v>4</v>
      </c>
      <c r="AR2787" s="21"/>
      <c r="AS2787" s="21">
        <v>3</v>
      </c>
      <c r="AT2787" s="12" t="str">
        <f>HYPERLINK("http://www.openstreetmap.org/?mlat=36.2098&amp;mlon=44.8263&amp;zoom=12#map=12/36.2098/44.8263","Maplink1")</f>
        <v>Maplink1</v>
      </c>
      <c r="AU2787" s="12" t="str">
        <f>HYPERLINK("https://www.google.iq/maps/search/+36.2098,44.8263/@36.2098,44.8263,14z?hl=en","Maplink2")</f>
        <v>Maplink2</v>
      </c>
      <c r="AV2787" s="12" t="str">
        <f>HYPERLINK("http://www.bing.com/maps/?lvl=14&amp;sty=h&amp;cp=36.2098~44.8263&amp;sp=point.36.2098_44.8263","Maplink3")</f>
        <v>Maplink3</v>
      </c>
    </row>
    <row r="2788" spans="1:48" ht="15" customHeight="1" x14ac:dyDescent="0.25">
      <c r="A2788" s="19">
        <v>5583</v>
      </c>
      <c r="B2788" s="20" t="s">
        <v>24</v>
      </c>
      <c r="C2788" s="20" t="s">
        <v>4788</v>
      </c>
      <c r="D2788" s="20" t="s">
        <v>4825</v>
      </c>
      <c r="E2788" s="20" t="s">
        <v>4826</v>
      </c>
      <c r="F2788" s="20">
        <v>36.285780000000003</v>
      </c>
      <c r="G2788" s="20">
        <v>44.823819999999998</v>
      </c>
      <c r="H2788" s="22">
        <v>4</v>
      </c>
      <c r="I2788" s="22">
        <v>24</v>
      </c>
      <c r="J2788" s="21"/>
      <c r="K2788" s="21"/>
      <c r="L2788" s="21"/>
      <c r="M2788" s="21"/>
      <c r="N2788" s="21"/>
      <c r="O2788" s="21">
        <v>2</v>
      </c>
      <c r="P2788" s="21"/>
      <c r="Q2788" s="21"/>
      <c r="R2788" s="21">
        <v>1</v>
      </c>
      <c r="S2788" s="21"/>
      <c r="T2788" s="21"/>
      <c r="U2788" s="21"/>
      <c r="V2788" s="21">
        <v>1</v>
      </c>
      <c r="W2788" s="21"/>
      <c r="X2788" s="21"/>
      <c r="Y2788" s="21"/>
      <c r="Z2788" s="21"/>
      <c r="AA2788" s="21"/>
      <c r="AB2788" s="21"/>
      <c r="AC2788" s="21"/>
      <c r="AD2788" s="21"/>
      <c r="AE2788" s="21"/>
      <c r="AF2788" s="21"/>
      <c r="AG2788" s="21"/>
      <c r="AH2788" s="21">
        <v>4</v>
      </c>
      <c r="AI2788" s="21"/>
      <c r="AJ2788" s="21"/>
      <c r="AK2788" s="21"/>
      <c r="AL2788" s="21"/>
      <c r="AM2788" s="21">
        <v>3</v>
      </c>
      <c r="AN2788" s="21"/>
      <c r="AO2788" s="21"/>
      <c r="AP2788" s="21"/>
      <c r="AQ2788" s="21"/>
      <c r="AR2788" s="21"/>
      <c r="AS2788" s="21">
        <v>1</v>
      </c>
      <c r="AT2788" s="12" t="str">
        <f>HYPERLINK("http://www.openstreetmap.org/?mlat=36.2858&amp;mlon=44.8238&amp;zoom=12#map=12/36.2858/44.8238","Maplink1")</f>
        <v>Maplink1</v>
      </c>
      <c r="AU2788" s="12" t="str">
        <f>HYPERLINK("https://www.google.iq/maps/search/+36.2858,44.8238/@36.2858,44.8238,14z?hl=en","Maplink2")</f>
        <v>Maplink2</v>
      </c>
      <c r="AV2788" s="12" t="str">
        <f>HYPERLINK("http://www.bing.com/maps/?lvl=14&amp;sty=h&amp;cp=36.2858~44.8238&amp;sp=point.36.2858_44.8238","Maplink3")</f>
        <v>Maplink3</v>
      </c>
    </row>
    <row r="2789" spans="1:48" ht="15" customHeight="1" x14ac:dyDescent="0.25">
      <c r="A2789" s="19">
        <v>24895</v>
      </c>
      <c r="B2789" s="20" t="s">
        <v>24</v>
      </c>
      <c r="C2789" s="20" t="s">
        <v>4788</v>
      </c>
      <c r="D2789" s="20" t="s">
        <v>4827</v>
      </c>
      <c r="E2789" s="20" t="s">
        <v>4828</v>
      </c>
      <c r="F2789" s="20">
        <v>36.244730140000001</v>
      </c>
      <c r="G2789" s="20">
        <v>44.77234404</v>
      </c>
      <c r="H2789" s="22">
        <v>32</v>
      </c>
      <c r="I2789" s="22">
        <v>192</v>
      </c>
      <c r="J2789" s="21">
        <v>9</v>
      </c>
      <c r="K2789" s="21"/>
      <c r="L2789" s="21">
        <v>4</v>
      </c>
      <c r="M2789" s="21"/>
      <c r="N2789" s="21"/>
      <c r="O2789" s="21">
        <v>2</v>
      </c>
      <c r="P2789" s="21"/>
      <c r="Q2789" s="21"/>
      <c r="R2789" s="21"/>
      <c r="S2789" s="21"/>
      <c r="T2789" s="21"/>
      <c r="U2789" s="21"/>
      <c r="V2789" s="21">
        <v>17</v>
      </c>
      <c r="W2789" s="21"/>
      <c r="X2789" s="21"/>
      <c r="Y2789" s="21"/>
      <c r="Z2789" s="21"/>
      <c r="AA2789" s="21"/>
      <c r="AB2789" s="21"/>
      <c r="AC2789" s="21"/>
      <c r="AD2789" s="21"/>
      <c r="AE2789" s="21"/>
      <c r="AF2789" s="21"/>
      <c r="AG2789" s="21"/>
      <c r="AH2789" s="21">
        <v>32</v>
      </c>
      <c r="AI2789" s="21"/>
      <c r="AJ2789" s="21"/>
      <c r="AK2789" s="21"/>
      <c r="AL2789" s="21">
        <v>5</v>
      </c>
      <c r="AM2789" s="21">
        <v>12</v>
      </c>
      <c r="AN2789" s="21">
        <v>2</v>
      </c>
      <c r="AO2789" s="21">
        <v>5</v>
      </c>
      <c r="AP2789" s="21">
        <v>2</v>
      </c>
      <c r="AQ2789" s="21">
        <v>2</v>
      </c>
      <c r="AR2789" s="21">
        <v>4</v>
      </c>
      <c r="AS2789" s="21"/>
      <c r="AT2789" s="12" t="str">
        <f>HYPERLINK("http://www.openstreetmap.org/?mlat=36.2447&amp;mlon=44.7723&amp;zoom=12#map=12/36.2447/44.7723","Maplink1")</f>
        <v>Maplink1</v>
      </c>
      <c r="AU2789" s="12" t="str">
        <f>HYPERLINK("https://www.google.iq/maps/search/+36.2447,44.7723/@36.2447,44.7723,14z?hl=en","Maplink2")</f>
        <v>Maplink2</v>
      </c>
      <c r="AV2789" s="12" t="str">
        <f>HYPERLINK("http://www.bing.com/maps/?lvl=14&amp;sty=h&amp;cp=36.2447~44.7723&amp;sp=point.36.2447_44.7723","Maplink3")</f>
        <v>Maplink3</v>
      </c>
    </row>
    <row r="2790" spans="1:48" ht="15" customHeight="1" x14ac:dyDescent="0.25">
      <c r="A2790" s="19">
        <v>4206</v>
      </c>
      <c r="B2790" s="20" t="s">
        <v>24</v>
      </c>
      <c r="C2790" s="20" t="s">
        <v>4788</v>
      </c>
      <c r="D2790" s="20" t="s">
        <v>4829</v>
      </c>
      <c r="E2790" s="20" t="s">
        <v>4830</v>
      </c>
      <c r="F2790" s="20">
        <v>36.250889999999998</v>
      </c>
      <c r="G2790" s="20">
        <v>44.881180000000001</v>
      </c>
      <c r="H2790" s="22">
        <v>12</v>
      </c>
      <c r="I2790" s="22">
        <v>72</v>
      </c>
      <c r="J2790" s="21">
        <v>3</v>
      </c>
      <c r="K2790" s="21">
        <v>1</v>
      </c>
      <c r="L2790" s="21">
        <v>3</v>
      </c>
      <c r="M2790" s="21"/>
      <c r="N2790" s="21"/>
      <c r="O2790" s="21">
        <v>5</v>
      </c>
      <c r="P2790" s="21"/>
      <c r="Q2790" s="21"/>
      <c r="R2790" s="21"/>
      <c r="S2790" s="21"/>
      <c r="T2790" s="21"/>
      <c r="U2790" s="21"/>
      <c r="V2790" s="21"/>
      <c r="W2790" s="21"/>
      <c r="X2790" s="21"/>
      <c r="Y2790" s="21"/>
      <c r="Z2790" s="21"/>
      <c r="AA2790" s="21"/>
      <c r="AB2790" s="21"/>
      <c r="AC2790" s="21"/>
      <c r="AD2790" s="21"/>
      <c r="AE2790" s="21"/>
      <c r="AF2790" s="21"/>
      <c r="AG2790" s="21"/>
      <c r="AH2790" s="21">
        <v>12</v>
      </c>
      <c r="AI2790" s="21"/>
      <c r="AJ2790" s="21"/>
      <c r="AK2790" s="21"/>
      <c r="AL2790" s="21">
        <v>8</v>
      </c>
      <c r="AM2790" s="21">
        <v>1</v>
      </c>
      <c r="AN2790" s="21"/>
      <c r="AO2790" s="21"/>
      <c r="AP2790" s="21">
        <v>2</v>
      </c>
      <c r="AQ2790" s="21"/>
      <c r="AR2790" s="21">
        <v>1</v>
      </c>
      <c r="AS2790" s="21"/>
      <c r="AT2790" s="12" t="str">
        <f>HYPERLINK("http://www.openstreetmap.org/?mlat=36.2509&amp;mlon=44.8812&amp;zoom=12#map=12/36.2509/44.8812","Maplink1")</f>
        <v>Maplink1</v>
      </c>
      <c r="AU2790" s="12" t="str">
        <f>HYPERLINK("https://www.google.iq/maps/search/+36.2509,44.8812/@36.2509,44.8812,14z?hl=en","Maplink2")</f>
        <v>Maplink2</v>
      </c>
      <c r="AV2790" s="12" t="str">
        <f>HYPERLINK("http://www.bing.com/maps/?lvl=14&amp;sty=h&amp;cp=36.2509~44.8812&amp;sp=point.36.2509_44.8812","Maplink3")</f>
        <v>Maplink3</v>
      </c>
    </row>
    <row r="2791" spans="1:48" ht="15" customHeight="1" x14ac:dyDescent="0.25">
      <c r="A2791" s="19">
        <v>31844</v>
      </c>
      <c r="B2791" s="20" t="s">
        <v>24</v>
      </c>
      <c r="C2791" s="20" t="s">
        <v>4788</v>
      </c>
      <c r="D2791" s="20" t="s">
        <v>4831</v>
      </c>
      <c r="E2791" s="20" t="s">
        <v>4832</v>
      </c>
      <c r="F2791" s="20">
        <v>36.156080000000003</v>
      </c>
      <c r="G2791" s="20">
        <v>44.463729999999998</v>
      </c>
      <c r="H2791" s="22">
        <v>2</v>
      </c>
      <c r="I2791" s="22">
        <v>12</v>
      </c>
      <c r="J2791" s="21"/>
      <c r="K2791" s="21"/>
      <c r="L2791" s="21"/>
      <c r="M2791" s="21"/>
      <c r="N2791" s="21"/>
      <c r="O2791" s="21"/>
      <c r="P2791" s="21"/>
      <c r="Q2791" s="21"/>
      <c r="R2791" s="21"/>
      <c r="S2791" s="21"/>
      <c r="T2791" s="21"/>
      <c r="U2791" s="21"/>
      <c r="V2791" s="21">
        <v>2</v>
      </c>
      <c r="W2791" s="21"/>
      <c r="X2791" s="21"/>
      <c r="Y2791" s="21"/>
      <c r="Z2791" s="21"/>
      <c r="AA2791" s="21"/>
      <c r="AB2791" s="21"/>
      <c r="AC2791" s="21"/>
      <c r="AD2791" s="21"/>
      <c r="AE2791" s="21"/>
      <c r="AF2791" s="21"/>
      <c r="AG2791" s="21"/>
      <c r="AH2791" s="21">
        <v>2</v>
      </c>
      <c r="AI2791" s="21"/>
      <c r="AJ2791" s="21"/>
      <c r="AK2791" s="21"/>
      <c r="AL2791" s="21"/>
      <c r="AM2791" s="21">
        <v>2</v>
      </c>
      <c r="AN2791" s="21"/>
      <c r="AO2791" s="21"/>
      <c r="AP2791" s="21"/>
      <c r="AQ2791" s="21"/>
      <c r="AR2791" s="21"/>
      <c r="AS2791" s="21"/>
      <c r="AT2791" s="12" t="str">
        <f>HYPERLINK("http://www.openstreetmap.org/?mlat=36.1561&amp;mlon=44.4637&amp;zoom=12#map=12/36.1561/44.4637","Maplink1")</f>
        <v>Maplink1</v>
      </c>
      <c r="AU2791" s="12" t="str">
        <f>HYPERLINK("https://www.google.iq/maps/search/+36.1561,44.4637/@36.1561,44.4637,14z?hl=en","Maplink2")</f>
        <v>Maplink2</v>
      </c>
      <c r="AV2791" s="12" t="str">
        <f>HYPERLINK("http://www.bing.com/maps/?lvl=14&amp;sty=h&amp;cp=36.1561~44.4637&amp;sp=point.36.1561_44.4637","Maplink3")</f>
        <v>Maplink3</v>
      </c>
    </row>
    <row r="2792" spans="1:48" ht="15" customHeight="1" x14ac:dyDescent="0.25">
      <c r="A2792" s="19">
        <v>24896</v>
      </c>
      <c r="B2792" s="20" t="s">
        <v>24</v>
      </c>
      <c r="C2792" s="20" t="s">
        <v>4788</v>
      </c>
      <c r="D2792" s="20" t="s">
        <v>4833</v>
      </c>
      <c r="E2792" s="20" t="s">
        <v>4834</v>
      </c>
      <c r="F2792" s="20">
        <v>36.231955640000002</v>
      </c>
      <c r="G2792" s="20">
        <v>44.799392730000001</v>
      </c>
      <c r="H2792" s="22">
        <v>18</v>
      </c>
      <c r="I2792" s="22">
        <v>108</v>
      </c>
      <c r="J2792" s="21"/>
      <c r="K2792" s="21"/>
      <c r="L2792" s="21">
        <v>3</v>
      </c>
      <c r="M2792" s="21"/>
      <c r="N2792" s="21"/>
      <c r="O2792" s="21"/>
      <c r="P2792" s="21"/>
      <c r="Q2792" s="21"/>
      <c r="R2792" s="21">
        <v>6</v>
      </c>
      <c r="S2792" s="21"/>
      <c r="T2792" s="21"/>
      <c r="U2792" s="21"/>
      <c r="V2792" s="21">
        <v>8</v>
      </c>
      <c r="W2792" s="21"/>
      <c r="X2792" s="21">
        <v>1</v>
      </c>
      <c r="Y2792" s="21"/>
      <c r="Z2792" s="21"/>
      <c r="AA2792" s="21"/>
      <c r="AB2792" s="21"/>
      <c r="AC2792" s="21"/>
      <c r="AD2792" s="21"/>
      <c r="AE2792" s="21"/>
      <c r="AF2792" s="21"/>
      <c r="AG2792" s="21"/>
      <c r="AH2792" s="21">
        <v>18</v>
      </c>
      <c r="AI2792" s="21"/>
      <c r="AJ2792" s="21"/>
      <c r="AK2792" s="21"/>
      <c r="AL2792" s="21"/>
      <c r="AM2792" s="21">
        <v>10</v>
      </c>
      <c r="AN2792" s="21"/>
      <c r="AO2792" s="21">
        <v>2</v>
      </c>
      <c r="AP2792" s="21"/>
      <c r="AQ2792" s="21"/>
      <c r="AR2792" s="21"/>
      <c r="AS2792" s="21">
        <v>6</v>
      </c>
      <c r="AT2792" s="12" t="str">
        <f>HYPERLINK("http://www.openstreetmap.org/?mlat=36.232&amp;mlon=44.7994&amp;zoom=12#map=12/36.232/44.7994","Maplink1")</f>
        <v>Maplink1</v>
      </c>
      <c r="AU2792" s="12" t="str">
        <f>HYPERLINK("https://www.google.iq/maps/search/+36.232,44.7994/@36.232,44.7994,14z?hl=en","Maplink2")</f>
        <v>Maplink2</v>
      </c>
      <c r="AV2792" s="12" t="str">
        <f>HYPERLINK("http://www.bing.com/maps/?lvl=14&amp;sty=h&amp;cp=36.232~44.7994&amp;sp=point.36.232_44.7994","Maplink3")</f>
        <v>Maplink3</v>
      </c>
    </row>
    <row r="2793" spans="1:48" ht="15" customHeight="1" x14ac:dyDescent="0.25">
      <c r="A2793" s="19">
        <v>4152</v>
      </c>
      <c r="B2793" s="20" t="s">
        <v>24</v>
      </c>
      <c r="C2793" s="20" t="s">
        <v>4788</v>
      </c>
      <c r="D2793" s="20" t="s">
        <v>4835</v>
      </c>
      <c r="E2793" s="20" t="s">
        <v>4836</v>
      </c>
      <c r="F2793" s="20">
        <v>36.27131</v>
      </c>
      <c r="G2793" s="20">
        <v>44.869889999999998</v>
      </c>
      <c r="H2793" s="22">
        <v>10</v>
      </c>
      <c r="I2793" s="22">
        <v>60</v>
      </c>
      <c r="J2793" s="21">
        <v>4</v>
      </c>
      <c r="K2793" s="21">
        <v>4</v>
      </c>
      <c r="L2793" s="21">
        <v>2</v>
      </c>
      <c r="M2793" s="21"/>
      <c r="N2793" s="21"/>
      <c r="O2793" s="21"/>
      <c r="P2793" s="21"/>
      <c r="Q2793" s="21"/>
      <c r="R2793" s="21"/>
      <c r="S2793" s="21"/>
      <c r="T2793" s="21"/>
      <c r="U2793" s="21"/>
      <c r="V2793" s="21"/>
      <c r="W2793" s="21"/>
      <c r="X2793" s="21"/>
      <c r="Y2793" s="21"/>
      <c r="Z2793" s="21"/>
      <c r="AA2793" s="21"/>
      <c r="AB2793" s="21"/>
      <c r="AC2793" s="21"/>
      <c r="AD2793" s="21"/>
      <c r="AE2793" s="21"/>
      <c r="AF2793" s="21"/>
      <c r="AG2793" s="21"/>
      <c r="AH2793" s="21">
        <v>10</v>
      </c>
      <c r="AI2793" s="21"/>
      <c r="AJ2793" s="21"/>
      <c r="AK2793" s="21"/>
      <c r="AL2793" s="21">
        <v>1</v>
      </c>
      <c r="AM2793" s="21"/>
      <c r="AN2793" s="21">
        <v>4</v>
      </c>
      <c r="AO2793" s="21">
        <v>2</v>
      </c>
      <c r="AP2793" s="21">
        <v>2</v>
      </c>
      <c r="AQ2793" s="21"/>
      <c r="AR2793" s="21">
        <v>1</v>
      </c>
      <c r="AS2793" s="21"/>
      <c r="AT2793" s="12" t="str">
        <f>HYPERLINK("http://www.openstreetmap.org/?mlat=36.2713&amp;mlon=44.8699&amp;zoom=12#map=12/36.2713/44.8699","Maplink1")</f>
        <v>Maplink1</v>
      </c>
      <c r="AU2793" s="12" t="str">
        <f>HYPERLINK("https://www.google.iq/maps/search/+36.2713,44.8699/@36.2713,44.8699,14z?hl=en","Maplink2")</f>
        <v>Maplink2</v>
      </c>
      <c r="AV2793" s="12" t="str">
        <f>HYPERLINK("http://www.bing.com/maps/?lvl=14&amp;sty=h&amp;cp=36.2713~44.8699&amp;sp=point.36.2713_44.8699","Maplink3")</f>
        <v>Maplink3</v>
      </c>
    </row>
    <row r="2794" spans="1:48" ht="15" customHeight="1" x14ac:dyDescent="0.25">
      <c r="A2794" s="19">
        <v>25295</v>
      </c>
      <c r="B2794" s="20" t="s">
        <v>24</v>
      </c>
      <c r="C2794" s="20" t="s">
        <v>4788</v>
      </c>
      <c r="D2794" s="20" t="s">
        <v>4837</v>
      </c>
      <c r="E2794" s="20" t="s">
        <v>4838</v>
      </c>
      <c r="F2794" s="20">
        <v>36.203353130000004</v>
      </c>
      <c r="G2794" s="20">
        <v>44.83057187</v>
      </c>
      <c r="H2794" s="22">
        <v>10</v>
      </c>
      <c r="I2794" s="22">
        <v>60</v>
      </c>
      <c r="J2794" s="21">
        <v>9</v>
      </c>
      <c r="K2794" s="21"/>
      <c r="L2794" s="21">
        <v>1</v>
      </c>
      <c r="M2794" s="21"/>
      <c r="N2794" s="21"/>
      <c r="O2794" s="21"/>
      <c r="P2794" s="21"/>
      <c r="Q2794" s="21"/>
      <c r="R2794" s="21"/>
      <c r="S2794" s="21"/>
      <c r="T2794" s="21"/>
      <c r="U2794" s="21"/>
      <c r="V2794" s="21"/>
      <c r="W2794" s="21"/>
      <c r="X2794" s="21"/>
      <c r="Y2794" s="21"/>
      <c r="Z2794" s="21"/>
      <c r="AA2794" s="21"/>
      <c r="AB2794" s="21"/>
      <c r="AC2794" s="21"/>
      <c r="AD2794" s="21"/>
      <c r="AE2794" s="21"/>
      <c r="AF2794" s="21"/>
      <c r="AG2794" s="21"/>
      <c r="AH2794" s="21">
        <v>10</v>
      </c>
      <c r="AI2794" s="21"/>
      <c r="AJ2794" s="21"/>
      <c r="AK2794" s="21"/>
      <c r="AL2794" s="21">
        <v>1</v>
      </c>
      <c r="AM2794" s="21"/>
      <c r="AN2794" s="21"/>
      <c r="AO2794" s="21">
        <v>1</v>
      </c>
      <c r="AP2794" s="21">
        <v>1</v>
      </c>
      <c r="AQ2794" s="21">
        <v>4</v>
      </c>
      <c r="AR2794" s="21">
        <v>3</v>
      </c>
      <c r="AS2794" s="21"/>
      <c r="AT2794" s="12" t="str">
        <f>HYPERLINK("http://www.openstreetmap.org/?mlat=36.2034&amp;mlon=44.8306&amp;zoom=12#map=12/36.2034/44.8306","Maplink1")</f>
        <v>Maplink1</v>
      </c>
      <c r="AU2794" s="12" t="str">
        <f>HYPERLINK("https://www.google.iq/maps/search/+36.2034,44.8306/@36.2034,44.8306,14z?hl=en","Maplink2")</f>
        <v>Maplink2</v>
      </c>
      <c r="AV2794" s="12" t="str">
        <f>HYPERLINK("http://www.bing.com/maps/?lvl=14&amp;sty=h&amp;cp=36.2034~44.8306&amp;sp=point.36.2034_44.8306","Maplink3")</f>
        <v>Maplink3</v>
      </c>
    </row>
    <row r="2795" spans="1:48" ht="15" customHeight="1" x14ac:dyDescent="0.25">
      <c r="A2795" s="19">
        <v>4320</v>
      </c>
      <c r="B2795" s="20" t="s">
        <v>24</v>
      </c>
      <c r="C2795" s="20" t="s">
        <v>4839</v>
      </c>
      <c r="D2795" s="20" t="s">
        <v>6054</v>
      </c>
      <c r="E2795" s="20" t="s">
        <v>6055</v>
      </c>
      <c r="F2795" s="20">
        <v>35.716889999999999</v>
      </c>
      <c r="G2795" s="20">
        <v>45.574109999999997</v>
      </c>
      <c r="H2795" s="22">
        <v>8</v>
      </c>
      <c r="I2795" s="22">
        <v>48</v>
      </c>
      <c r="J2795" s="21"/>
      <c r="K2795" s="21"/>
      <c r="L2795" s="21"/>
      <c r="M2795" s="21"/>
      <c r="N2795" s="21"/>
      <c r="O2795" s="21"/>
      <c r="P2795" s="21"/>
      <c r="Q2795" s="21"/>
      <c r="R2795" s="21"/>
      <c r="S2795" s="21"/>
      <c r="T2795" s="21"/>
      <c r="U2795" s="21"/>
      <c r="V2795" s="21">
        <v>6</v>
      </c>
      <c r="W2795" s="21"/>
      <c r="X2795" s="21">
        <v>2</v>
      </c>
      <c r="Y2795" s="21"/>
      <c r="Z2795" s="21"/>
      <c r="AA2795" s="21"/>
      <c r="AB2795" s="21"/>
      <c r="AC2795" s="21"/>
      <c r="AD2795" s="21"/>
      <c r="AE2795" s="21"/>
      <c r="AF2795" s="21"/>
      <c r="AG2795" s="21"/>
      <c r="AH2795" s="21">
        <v>8</v>
      </c>
      <c r="AI2795" s="21"/>
      <c r="AJ2795" s="21"/>
      <c r="AK2795" s="21"/>
      <c r="AL2795" s="21"/>
      <c r="AM2795" s="21"/>
      <c r="AN2795" s="21">
        <v>6</v>
      </c>
      <c r="AO2795" s="21"/>
      <c r="AP2795" s="21"/>
      <c r="AQ2795" s="21"/>
      <c r="AR2795" s="21"/>
      <c r="AS2795" s="21">
        <v>2</v>
      </c>
      <c r="AT2795" s="12" t="str">
        <f>HYPERLINK("http://www.openstreetmap.org/?mlat=35.7169&amp;mlon=45.5741&amp;zoom=12#map=12/35.7169/45.5741","Maplink1")</f>
        <v>Maplink1</v>
      </c>
      <c r="AU2795" s="12" t="str">
        <f>HYPERLINK("https://www.google.iq/maps/search/+35.7169,45.5741/@35.7169,45.5741,14z?hl=en","Maplink2")</f>
        <v>Maplink2</v>
      </c>
      <c r="AV2795" s="12" t="str">
        <f>HYPERLINK("http://www.bing.com/maps/?lvl=14&amp;sty=h&amp;cp=35.7169~45.5741&amp;sp=point.35.7169_45.5741","Maplink3")</f>
        <v>Maplink3</v>
      </c>
    </row>
    <row r="2796" spans="1:48" ht="15" customHeight="1" x14ac:dyDescent="0.25">
      <c r="A2796" s="19">
        <v>4307</v>
      </c>
      <c r="B2796" s="20" t="s">
        <v>24</v>
      </c>
      <c r="C2796" s="20" t="s">
        <v>4839</v>
      </c>
      <c r="D2796" s="20" t="s">
        <v>4840</v>
      </c>
      <c r="E2796" s="20" t="s">
        <v>4841</v>
      </c>
      <c r="F2796" s="20">
        <v>35.796675579999999</v>
      </c>
      <c r="G2796" s="20">
        <v>45.357204330000002</v>
      </c>
      <c r="H2796" s="22">
        <v>11</v>
      </c>
      <c r="I2796" s="22">
        <v>66</v>
      </c>
      <c r="J2796" s="21">
        <v>1</v>
      </c>
      <c r="K2796" s="21"/>
      <c r="L2796" s="21"/>
      <c r="M2796" s="21"/>
      <c r="N2796" s="21"/>
      <c r="O2796" s="21">
        <v>1</v>
      </c>
      <c r="P2796" s="21"/>
      <c r="Q2796" s="21"/>
      <c r="R2796" s="21"/>
      <c r="S2796" s="21"/>
      <c r="T2796" s="21"/>
      <c r="U2796" s="21"/>
      <c r="V2796" s="21">
        <v>6</v>
      </c>
      <c r="W2796" s="21"/>
      <c r="X2796" s="21">
        <v>3</v>
      </c>
      <c r="Y2796" s="21"/>
      <c r="Z2796" s="21"/>
      <c r="AA2796" s="21"/>
      <c r="AB2796" s="21"/>
      <c r="AC2796" s="21"/>
      <c r="AD2796" s="21"/>
      <c r="AE2796" s="21"/>
      <c r="AF2796" s="21"/>
      <c r="AG2796" s="21"/>
      <c r="AH2796" s="21">
        <v>11</v>
      </c>
      <c r="AI2796" s="21"/>
      <c r="AJ2796" s="21"/>
      <c r="AK2796" s="21"/>
      <c r="AL2796" s="21">
        <v>1</v>
      </c>
      <c r="AM2796" s="21">
        <v>1</v>
      </c>
      <c r="AN2796" s="21">
        <v>3</v>
      </c>
      <c r="AO2796" s="21">
        <v>1</v>
      </c>
      <c r="AP2796" s="21">
        <v>1</v>
      </c>
      <c r="AQ2796" s="21">
        <v>1</v>
      </c>
      <c r="AR2796" s="21"/>
      <c r="AS2796" s="21">
        <v>3</v>
      </c>
      <c r="AT2796" s="12" t="str">
        <f>HYPERLINK("http://www.openstreetmap.org/?mlat=35.7967&amp;mlon=45.3572&amp;zoom=12#map=12/35.7967/45.3572","Maplink1")</f>
        <v>Maplink1</v>
      </c>
      <c r="AU2796" s="12" t="str">
        <f>HYPERLINK("https://www.google.iq/maps/search/+35.7967,45.3572/@35.7967,45.3572,14z?hl=en","Maplink2")</f>
        <v>Maplink2</v>
      </c>
      <c r="AV2796" s="12" t="str">
        <f>HYPERLINK("http://www.bing.com/maps/?lvl=14&amp;sty=h&amp;cp=35.7967~45.3572&amp;sp=point.35.7967_45.3572","Maplink3")</f>
        <v>Maplink3</v>
      </c>
    </row>
    <row r="2797" spans="1:48" ht="15" customHeight="1" x14ac:dyDescent="0.25">
      <c r="A2797" s="19">
        <v>4239</v>
      </c>
      <c r="B2797" s="20" t="s">
        <v>24</v>
      </c>
      <c r="C2797" s="20" t="s">
        <v>4839</v>
      </c>
      <c r="D2797" s="20" t="s">
        <v>4842</v>
      </c>
      <c r="E2797" s="20" t="s">
        <v>4843</v>
      </c>
      <c r="F2797" s="20">
        <v>35.631084080000001</v>
      </c>
      <c r="G2797" s="20">
        <v>45.500412519999998</v>
      </c>
      <c r="H2797" s="22">
        <v>66</v>
      </c>
      <c r="I2797" s="22">
        <v>396</v>
      </c>
      <c r="J2797" s="21"/>
      <c r="K2797" s="21"/>
      <c r="L2797" s="21"/>
      <c r="M2797" s="21"/>
      <c r="N2797" s="21"/>
      <c r="O2797" s="21">
        <v>2</v>
      </c>
      <c r="P2797" s="21"/>
      <c r="Q2797" s="21"/>
      <c r="R2797" s="21"/>
      <c r="S2797" s="21"/>
      <c r="T2797" s="21"/>
      <c r="U2797" s="21"/>
      <c r="V2797" s="21">
        <v>64</v>
      </c>
      <c r="W2797" s="21"/>
      <c r="X2797" s="21"/>
      <c r="Y2797" s="21"/>
      <c r="Z2797" s="21"/>
      <c r="AA2797" s="21"/>
      <c r="AB2797" s="21"/>
      <c r="AC2797" s="21"/>
      <c r="AD2797" s="21"/>
      <c r="AE2797" s="21"/>
      <c r="AF2797" s="21"/>
      <c r="AG2797" s="21"/>
      <c r="AH2797" s="21">
        <v>66</v>
      </c>
      <c r="AI2797" s="21"/>
      <c r="AJ2797" s="21"/>
      <c r="AK2797" s="21"/>
      <c r="AL2797" s="21"/>
      <c r="AM2797" s="21"/>
      <c r="AN2797" s="21">
        <v>64</v>
      </c>
      <c r="AO2797" s="21">
        <v>2</v>
      </c>
      <c r="AP2797" s="21"/>
      <c r="AQ2797" s="21"/>
      <c r="AR2797" s="21"/>
      <c r="AS2797" s="21"/>
      <c r="AT2797" s="12" t="str">
        <f>HYPERLINK("http://www.openstreetmap.org/?mlat=35.6311&amp;mlon=45.5004&amp;zoom=12#map=12/35.6311/45.5004","Maplink1")</f>
        <v>Maplink1</v>
      </c>
      <c r="AU2797" s="12" t="str">
        <f>HYPERLINK("https://www.google.iq/maps/search/+35.6311,45.5004/@35.6311,45.5004,14z?hl=en","Maplink2")</f>
        <v>Maplink2</v>
      </c>
      <c r="AV2797" s="12" t="str">
        <f>HYPERLINK("http://www.bing.com/maps/?lvl=14&amp;sty=h&amp;cp=35.6311~45.5004&amp;sp=point.35.6311_45.5004","Maplink3")</f>
        <v>Maplink3</v>
      </c>
    </row>
    <row r="2798" spans="1:48" ht="15" customHeight="1" x14ac:dyDescent="0.25">
      <c r="A2798" s="19">
        <v>4233</v>
      </c>
      <c r="B2798" s="20" t="s">
        <v>24</v>
      </c>
      <c r="C2798" s="20" t="s">
        <v>4839</v>
      </c>
      <c r="D2798" s="20" t="s">
        <v>4844</v>
      </c>
      <c r="E2798" s="20" t="s">
        <v>4845</v>
      </c>
      <c r="F2798" s="20">
        <v>35.675690179999997</v>
      </c>
      <c r="G2798" s="20">
        <v>45.531188669999999</v>
      </c>
      <c r="H2798" s="22">
        <v>29</v>
      </c>
      <c r="I2798" s="22">
        <v>174</v>
      </c>
      <c r="J2798" s="21"/>
      <c r="K2798" s="21"/>
      <c r="L2798" s="21"/>
      <c r="M2798" s="21"/>
      <c r="N2798" s="21"/>
      <c r="O2798" s="21"/>
      <c r="P2798" s="21"/>
      <c r="Q2798" s="21"/>
      <c r="R2798" s="21"/>
      <c r="S2798" s="21"/>
      <c r="T2798" s="21"/>
      <c r="U2798" s="21"/>
      <c r="V2798" s="21">
        <v>29</v>
      </c>
      <c r="W2798" s="21"/>
      <c r="X2798" s="21"/>
      <c r="Y2798" s="21"/>
      <c r="Z2798" s="21"/>
      <c r="AA2798" s="21"/>
      <c r="AB2798" s="21"/>
      <c r="AC2798" s="21"/>
      <c r="AD2798" s="21"/>
      <c r="AE2798" s="21"/>
      <c r="AF2798" s="21"/>
      <c r="AG2798" s="21"/>
      <c r="AH2798" s="21">
        <v>29</v>
      </c>
      <c r="AI2798" s="21"/>
      <c r="AJ2798" s="21"/>
      <c r="AK2798" s="21"/>
      <c r="AL2798" s="21"/>
      <c r="AM2798" s="21"/>
      <c r="AN2798" s="21">
        <v>29</v>
      </c>
      <c r="AO2798" s="21"/>
      <c r="AP2798" s="21"/>
      <c r="AQ2798" s="21"/>
      <c r="AR2798" s="21"/>
      <c r="AS2798" s="21"/>
      <c r="AT2798" s="12" t="str">
        <f>HYPERLINK("http://www.openstreetmap.org/?mlat=35.6757&amp;mlon=45.5312&amp;zoom=12#map=12/35.6757/45.5312","Maplink1")</f>
        <v>Maplink1</v>
      </c>
      <c r="AU2798" s="12" t="str">
        <f>HYPERLINK("https://www.google.iq/maps/search/+35.6757,45.5312/@35.6757,45.5312,14z?hl=en","Maplink2")</f>
        <v>Maplink2</v>
      </c>
      <c r="AV2798" s="12" t="str">
        <f>HYPERLINK("http://www.bing.com/maps/?lvl=14&amp;sty=h&amp;cp=35.6757~45.5312&amp;sp=point.35.6757_45.5312","Maplink3")</f>
        <v>Maplink3</v>
      </c>
    </row>
    <row r="2799" spans="1:48" ht="15" customHeight="1" x14ac:dyDescent="0.25">
      <c r="A2799" s="19">
        <v>23716</v>
      </c>
      <c r="B2799" s="20" t="s">
        <v>24</v>
      </c>
      <c r="C2799" s="20" t="s">
        <v>4846</v>
      </c>
      <c r="D2799" s="20" t="s">
        <v>5817</v>
      </c>
      <c r="E2799" s="20" t="s">
        <v>5818</v>
      </c>
      <c r="F2799" s="20">
        <v>35.554795409999997</v>
      </c>
      <c r="G2799" s="20">
        <v>45.412239720000002</v>
      </c>
      <c r="H2799" s="22">
        <v>22</v>
      </c>
      <c r="I2799" s="22">
        <v>132</v>
      </c>
      <c r="J2799" s="21">
        <v>11</v>
      </c>
      <c r="K2799" s="21"/>
      <c r="L2799" s="21">
        <v>7</v>
      </c>
      <c r="M2799" s="21"/>
      <c r="N2799" s="21"/>
      <c r="O2799" s="21">
        <v>1</v>
      </c>
      <c r="P2799" s="21"/>
      <c r="Q2799" s="21"/>
      <c r="R2799" s="21"/>
      <c r="S2799" s="21"/>
      <c r="T2799" s="21"/>
      <c r="U2799" s="21"/>
      <c r="V2799" s="21">
        <v>2</v>
      </c>
      <c r="W2799" s="21"/>
      <c r="X2799" s="21">
        <v>1</v>
      </c>
      <c r="Y2799" s="21"/>
      <c r="Z2799" s="21"/>
      <c r="AA2799" s="21"/>
      <c r="AB2799" s="21"/>
      <c r="AC2799" s="21"/>
      <c r="AD2799" s="21"/>
      <c r="AE2799" s="21"/>
      <c r="AF2799" s="21"/>
      <c r="AG2799" s="21"/>
      <c r="AH2799" s="21">
        <v>22</v>
      </c>
      <c r="AI2799" s="21"/>
      <c r="AJ2799" s="21"/>
      <c r="AK2799" s="21"/>
      <c r="AL2799" s="21">
        <v>1</v>
      </c>
      <c r="AM2799" s="21">
        <v>3</v>
      </c>
      <c r="AN2799" s="21"/>
      <c r="AO2799" s="21">
        <v>2</v>
      </c>
      <c r="AP2799" s="21">
        <v>7</v>
      </c>
      <c r="AQ2799" s="21">
        <v>3</v>
      </c>
      <c r="AR2799" s="21">
        <v>6</v>
      </c>
      <c r="AS2799" s="21"/>
      <c r="AT2799" s="12" t="str">
        <f>HYPERLINK("http://www.openstreetmap.org/?mlat=35.5548&amp;mlon=45.4122&amp;zoom=12#map=12/35.5548/45.4122","Maplink1")</f>
        <v>Maplink1</v>
      </c>
      <c r="AU2799" s="12" t="str">
        <f>HYPERLINK("https://www.google.iq/maps/search/+35.5548,45.4122/@35.5548,45.4122,14z?hl=en","Maplink2")</f>
        <v>Maplink2</v>
      </c>
      <c r="AV2799" s="12" t="str">
        <f>HYPERLINK("http://www.bing.com/maps/?lvl=14&amp;sty=h&amp;cp=35.5548~45.4122&amp;sp=point.35.5548_45.4122","Maplink3")</f>
        <v>Maplink3</v>
      </c>
    </row>
    <row r="2800" spans="1:48" ht="15" customHeight="1" x14ac:dyDescent="0.25">
      <c r="A2800" s="19">
        <v>31845</v>
      </c>
      <c r="B2800" s="20" t="s">
        <v>24</v>
      </c>
      <c r="C2800" s="20" t="s">
        <v>4846</v>
      </c>
      <c r="D2800" s="20" t="s">
        <v>4847</v>
      </c>
      <c r="E2800" s="20" t="s">
        <v>4848</v>
      </c>
      <c r="F2800" s="20">
        <v>35.566409999999998</v>
      </c>
      <c r="G2800" s="20">
        <v>45.456490000000002</v>
      </c>
      <c r="H2800" s="22">
        <v>41</v>
      </c>
      <c r="I2800" s="22">
        <v>246</v>
      </c>
      <c r="J2800" s="21">
        <v>17</v>
      </c>
      <c r="K2800" s="21"/>
      <c r="L2800" s="21">
        <v>11</v>
      </c>
      <c r="M2800" s="21"/>
      <c r="N2800" s="21"/>
      <c r="O2800" s="21">
        <v>5</v>
      </c>
      <c r="P2800" s="21"/>
      <c r="Q2800" s="21"/>
      <c r="R2800" s="21"/>
      <c r="S2800" s="21"/>
      <c r="T2800" s="21"/>
      <c r="U2800" s="21"/>
      <c r="V2800" s="21">
        <v>5</v>
      </c>
      <c r="W2800" s="21"/>
      <c r="X2800" s="21">
        <v>3</v>
      </c>
      <c r="Y2800" s="21"/>
      <c r="Z2800" s="21"/>
      <c r="AA2800" s="21"/>
      <c r="AB2800" s="21"/>
      <c r="AC2800" s="21"/>
      <c r="AD2800" s="21"/>
      <c r="AE2800" s="21"/>
      <c r="AF2800" s="21"/>
      <c r="AG2800" s="21"/>
      <c r="AH2800" s="21">
        <v>41</v>
      </c>
      <c r="AI2800" s="21"/>
      <c r="AJ2800" s="21"/>
      <c r="AK2800" s="21"/>
      <c r="AL2800" s="21">
        <v>4</v>
      </c>
      <c r="AM2800" s="21">
        <v>16</v>
      </c>
      <c r="AN2800" s="21">
        <v>6</v>
      </c>
      <c r="AO2800" s="21">
        <v>11</v>
      </c>
      <c r="AP2800" s="21">
        <v>3</v>
      </c>
      <c r="AQ2800" s="21"/>
      <c r="AR2800" s="21">
        <v>1</v>
      </c>
      <c r="AS2800" s="21"/>
      <c r="AT2800" s="12" t="str">
        <f>HYPERLINK("http://www.openstreetmap.org/?mlat=35.5664&amp;mlon=45.4565&amp;zoom=12#map=12/35.5664/45.4565","Maplink1")</f>
        <v>Maplink1</v>
      </c>
      <c r="AU2800" s="12" t="str">
        <f>HYPERLINK("https://www.google.iq/maps/search/+35.5664,45.4565/@35.5664,45.4565,14z?hl=en","Maplink2")</f>
        <v>Maplink2</v>
      </c>
      <c r="AV2800" s="12" t="str">
        <f>HYPERLINK("http://www.bing.com/maps/?lvl=14&amp;sty=h&amp;cp=35.5664~45.4565&amp;sp=point.35.5664_45.4565","Maplink3")</f>
        <v>Maplink3</v>
      </c>
    </row>
    <row r="2801" spans="1:48" ht="15" customHeight="1" x14ac:dyDescent="0.25">
      <c r="A2801" s="19">
        <v>33355</v>
      </c>
      <c r="B2801" s="20" t="s">
        <v>24</v>
      </c>
      <c r="C2801" s="20" t="s">
        <v>4846</v>
      </c>
      <c r="D2801" s="20" t="s">
        <v>5819</v>
      </c>
      <c r="E2801" s="20" t="s">
        <v>5820</v>
      </c>
      <c r="F2801" s="20">
        <v>35.564010000000003</v>
      </c>
      <c r="G2801" s="20">
        <v>45.423659999999998</v>
      </c>
      <c r="H2801" s="22">
        <v>8</v>
      </c>
      <c r="I2801" s="22">
        <v>48</v>
      </c>
      <c r="J2801" s="21">
        <v>3</v>
      </c>
      <c r="K2801" s="21"/>
      <c r="L2801" s="21">
        <v>4</v>
      </c>
      <c r="M2801" s="21"/>
      <c r="N2801" s="21"/>
      <c r="O2801" s="21">
        <v>1</v>
      </c>
      <c r="P2801" s="21"/>
      <c r="Q2801" s="21"/>
      <c r="R2801" s="21"/>
      <c r="S2801" s="21"/>
      <c r="T2801" s="21"/>
      <c r="U2801" s="21"/>
      <c r="V2801" s="21"/>
      <c r="W2801" s="21"/>
      <c r="X2801" s="21"/>
      <c r="Y2801" s="21"/>
      <c r="Z2801" s="21"/>
      <c r="AA2801" s="21"/>
      <c r="AB2801" s="21"/>
      <c r="AC2801" s="21"/>
      <c r="AD2801" s="21"/>
      <c r="AE2801" s="21"/>
      <c r="AF2801" s="21"/>
      <c r="AG2801" s="21"/>
      <c r="AH2801" s="21">
        <v>8</v>
      </c>
      <c r="AI2801" s="21"/>
      <c r="AJ2801" s="21"/>
      <c r="AK2801" s="21"/>
      <c r="AL2801" s="21"/>
      <c r="AM2801" s="21">
        <v>2</v>
      </c>
      <c r="AN2801" s="21"/>
      <c r="AO2801" s="21">
        <v>1</v>
      </c>
      <c r="AP2801" s="21">
        <v>1</v>
      </c>
      <c r="AQ2801" s="21"/>
      <c r="AR2801" s="21">
        <v>4</v>
      </c>
      <c r="AS2801" s="21"/>
      <c r="AT2801" s="12" t="str">
        <f>HYPERLINK("http://www.openstreetmap.org/?mlat=35.564&amp;mlon=45.4237&amp;zoom=12#map=12/35.564/45.4237","Maplink1")</f>
        <v>Maplink1</v>
      </c>
      <c r="AU2801" s="12" t="str">
        <f>HYPERLINK("https://www.google.iq/maps/search/+35.564,45.4237/@35.564,45.4237,14z?hl=en","Maplink2")</f>
        <v>Maplink2</v>
      </c>
      <c r="AV2801" s="12" t="str">
        <f>HYPERLINK("http://www.bing.com/maps/?lvl=14&amp;sty=h&amp;cp=35.564~45.4237&amp;sp=point.35.564_45.4237","Maplink3")</f>
        <v>Maplink3</v>
      </c>
    </row>
    <row r="2802" spans="1:48" ht="15" customHeight="1" x14ac:dyDescent="0.25">
      <c r="A2802" s="19">
        <v>33352</v>
      </c>
      <c r="B2802" s="20" t="s">
        <v>24</v>
      </c>
      <c r="C2802" s="20" t="s">
        <v>4846</v>
      </c>
      <c r="D2802" s="20" t="s">
        <v>5821</v>
      </c>
      <c r="E2802" s="20" t="s">
        <v>5822</v>
      </c>
      <c r="F2802" s="20">
        <v>35.563699999999997</v>
      </c>
      <c r="G2802" s="20">
        <v>45.412790000000001</v>
      </c>
      <c r="H2802" s="22">
        <v>9</v>
      </c>
      <c r="I2802" s="22">
        <v>54</v>
      </c>
      <c r="J2802" s="21">
        <v>1</v>
      </c>
      <c r="K2802" s="21"/>
      <c r="L2802" s="21">
        <v>3</v>
      </c>
      <c r="M2802" s="21"/>
      <c r="N2802" s="21"/>
      <c r="O2802" s="21">
        <v>1</v>
      </c>
      <c r="P2802" s="21"/>
      <c r="Q2802" s="21"/>
      <c r="R2802" s="21"/>
      <c r="S2802" s="21"/>
      <c r="T2802" s="21"/>
      <c r="U2802" s="21"/>
      <c r="V2802" s="21">
        <v>2</v>
      </c>
      <c r="W2802" s="21"/>
      <c r="X2802" s="21">
        <v>2</v>
      </c>
      <c r="Y2802" s="21"/>
      <c r="Z2802" s="21"/>
      <c r="AA2802" s="21"/>
      <c r="AB2802" s="21"/>
      <c r="AC2802" s="21"/>
      <c r="AD2802" s="21"/>
      <c r="AE2802" s="21"/>
      <c r="AF2802" s="21"/>
      <c r="AG2802" s="21"/>
      <c r="AH2802" s="21">
        <v>9</v>
      </c>
      <c r="AI2802" s="21"/>
      <c r="AJ2802" s="21"/>
      <c r="AK2802" s="21"/>
      <c r="AL2802" s="21">
        <v>1</v>
      </c>
      <c r="AM2802" s="21">
        <v>4</v>
      </c>
      <c r="AN2802" s="21">
        <v>1</v>
      </c>
      <c r="AO2802" s="21"/>
      <c r="AP2802" s="21"/>
      <c r="AQ2802" s="21">
        <v>1</v>
      </c>
      <c r="AR2802" s="21"/>
      <c r="AS2802" s="21">
        <v>2</v>
      </c>
      <c r="AT2802" s="12" t="str">
        <f>HYPERLINK("http://www.openstreetmap.org/?mlat=35.5637&amp;mlon=45.4128&amp;zoom=12#map=12/35.5637/45.4128","Maplink1")</f>
        <v>Maplink1</v>
      </c>
      <c r="AU2802" s="12" t="str">
        <f>HYPERLINK("https://www.google.iq/maps/search/+35.5637,45.4128/@35.5637,45.4128,14z?hl=en","Maplink2")</f>
        <v>Maplink2</v>
      </c>
      <c r="AV2802" s="12" t="str">
        <f>HYPERLINK("http://www.bing.com/maps/?lvl=14&amp;sty=h&amp;cp=35.5637~45.4128&amp;sp=point.35.5637_45.4128","Maplink3")</f>
        <v>Maplink3</v>
      </c>
    </row>
    <row r="2803" spans="1:48" ht="15" customHeight="1" x14ac:dyDescent="0.25">
      <c r="A2803" s="19">
        <v>23692</v>
      </c>
      <c r="B2803" s="20" t="s">
        <v>24</v>
      </c>
      <c r="C2803" s="20" t="s">
        <v>4846</v>
      </c>
      <c r="D2803" s="20" t="s">
        <v>4849</v>
      </c>
      <c r="E2803" s="20" t="s">
        <v>4850</v>
      </c>
      <c r="F2803" s="20">
        <v>35.432544870000001</v>
      </c>
      <c r="G2803" s="20">
        <v>45.590461640000001</v>
      </c>
      <c r="H2803" s="22">
        <v>372</v>
      </c>
      <c r="I2803" s="22">
        <v>2232</v>
      </c>
      <c r="J2803" s="21"/>
      <c r="K2803" s="21">
        <v>2</v>
      </c>
      <c r="L2803" s="21"/>
      <c r="M2803" s="21"/>
      <c r="N2803" s="21"/>
      <c r="O2803" s="21">
        <v>1</v>
      </c>
      <c r="P2803" s="21"/>
      <c r="Q2803" s="21"/>
      <c r="R2803" s="21"/>
      <c r="S2803" s="21"/>
      <c r="T2803" s="21"/>
      <c r="U2803" s="21"/>
      <c r="V2803" s="21">
        <v>1</v>
      </c>
      <c r="W2803" s="21"/>
      <c r="X2803" s="21">
        <v>368</v>
      </c>
      <c r="Y2803" s="21"/>
      <c r="Z2803" s="21"/>
      <c r="AA2803" s="21"/>
      <c r="AB2803" s="21">
        <v>372</v>
      </c>
      <c r="AC2803" s="21"/>
      <c r="AD2803" s="21"/>
      <c r="AE2803" s="21"/>
      <c r="AF2803" s="21"/>
      <c r="AG2803" s="21"/>
      <c r="AH2803" s="21"/>
      <c r="AI2803" s="21"/>
      <c r="AJ2803" s="21"/>
      <c r="AK2803" s="21"/>
      <c r="AL2803" s="21"/>
      <c r="AM2803" s="21">
        <v>2</v>
      </c>
      <c r="AN2803" s="21">
        <v>2</v>
      </c>
      <c r="AO2803" s="21">
        <v>368</v>
      </c>
      <c r="AP2803" s="21"/>
      <c r="AQ2803" s="21"/>
      <c r="AR2803" s="21"/>
      <c r="AS2803" s="21"/>
      <c r="AT2803" s="12" t="str">
        <f>HYPERLINK("http://www.openstreetmap.org/?mlat=35.4325&amp;mlon=45.5905&amp;zoom=12#map=12/35.4325/45.5905","Maplink1")</f>
        <v>Maplink1</v>
      </c>
      <c r="AU2803" s="12" t="str">
        <f>HYPERLINK("https://www.google.iq/maps/search/+35.4325,45.5905/@35.4325,45.5905,14z?hl=en","Maplink2")</f>
        <v>Maplink2</v>
      </c>
      <c r="AV2803" s="12" t="str">
        <f>HYPERLINK("http://www.bing.com/maps/?lvl=14&amp;sty=h&amp;cp=35.4325~45.5905&amp;sp=point.35.4325_45.5905","Maplink3")</f>
        <v>Maplink3</v>
      </c>
    </row>
    <row r="2804" spans="1:48" ht="15" customHeight="1" x14ac:dyDescent="0.25">
      <c r="A2804" s="19">
        <v>25289</v>
      </c>
      <c r="B2804" s="20" t="s">
        <v>24</v>
      </c>
      <c r="C2804" s="20" t="s">
        <v>4846</v>
      </c>
      <c r="D2804" s="20" t="s">
        <v>4851</v>
      </c>
      <c r="E2804" s="20" t="s">
        <v>4852</v>
      </c>
      <c r="F2804" s="20">
        <v>35.422028189999999</v>
      </c>
      <c r="G2804" s="20">
        <v>45.578668469999997</v>
      </c>
      <c r="H2804" s="22">
        <v>13</v>
      </c>
      <c r="I2804" s="22">
        <v>78</v>
      </c>
      <c r="J2804" s="21">
        <v>1</v>
      </c>
      <c r="K2804" s="21">
        <v>3</v>
      </c>
      <c r="L2804" s="21">
        <v>2</v>
      </c>
      <c r="M2804" s="21"/>
      <c r="N2804" s="21"/>
      <c r="O2804" s="21">
        <v>1</v>
      </c>
      <c r="P2804" s="21"/>
      <c r="Q2804" s="21"/>
      <c r="R2804" s="21"/>
      <c r="S2804" s="21"/>
      <c r="T2804" s="21"/>
      <c r="U2804" s="21"/>
      <c r="V2804" s="21"/>
      <c r="W2804" s="21"/>
      <c r="X2804" s="21">
        <v>6</v>
      </c>
      <c r="Y2804" s="21"/>
      <c r="Z2804" s="21"/>
      <c r="AA2804" s="21"/>
      <c r="AB2804" s="21"/>
      <c r="AC2804" s="21"/>
      <c r="AD2804" s="21"/>
      <c r="AE2804" s="21"/>
      <c r="AF2804" s="21"/>
      <c r="AG2804" s="21"/>
      <c r="AH2804" s="21">
        <v>13</v>
      </c>
      <c r="AI2804" s="21"/>
      <c r="AJ2804" s="21"/>
      <c r="AK2804" s="21"/>
      <c r="AL2804" s="21">
        <v>1</v>
      </c>
      <c r="AM2804" s="21">
        <v>7</v>
      </c>
      <c r="AN2804" s="21">
        <v>1</v>
      </c>
      <c r="AO2804" s="21">
        <v>4</v>
      </c>
      <c r="AP2804" s="21"/>
      <c r="AQ2804" s="21"/>
      <c r="AR2804" s="21"/>
      <c r="AS2804" s="21"/>
      <c r="AT2804" s="12" t="str">
        <f>HYPERLINK("http://www.openstreetmap.org/?mlat=35.422&amp;mlon=45.5787&amp;zoom=12#map=12/35.422/45.5787","Maplink1")</f>
        <v>Maplink1</v>
      </c>
      <c r="AU2804" s="12" t="str">
        <f>HYPERLINK("https://www.google.iq/maps/search/+35.422,45.5787/@35.422,45.5787,14z?hl=en","Maplink2")</f>
        <v>Maplink2</v>
      </c>
      <c r="AV2804" s="12" t="str">
        <f>HYPERLINK("http://www.bing.com/maps/?lvl=14&amp;sty=h&amp;cp=35.422~45.5787&amp;sp=point.35.422_45.5787","Maplink3")</f>
        <v>Maplink3</v>
      </c>
    </row>
    <row r="2805" spans="1:48" ht="15" customHeight="1" x14ac:dyDescent="0.25">
      <c r="A2805" s="19">
        <v>25291</v>
      </c>
      <c r="B2805" s="20" t="s">
        <v>24</v>
      </c>
      <c r="C2805" s="20" t="s">
        <v>4846</v>
      </c>
      <c r="D2805" s="20" t="s">
        <v>4853</v>
      </c>
      <c r="E2805" s="20" t="s">
        <v>2591</v>
      </c>
      <c r="F2805" s="20">
        <v>35.424195740000002</v>
      </c>
      <c r="G2805" s="20">
        <v>45.586865719999999</v>
      </c>
      <c r="H2805" s="22">
        <v>104</v>
      </c>
      <c r="I2805" s="22">
        <v>624</v>
      </c>
      <c r="J2805" s="21">
        <v>5</v>
      </c>
      <c r="K2805" s="21">
        <v>41</v>
      </c>
      <c r="L2805" s="21">
        <v>9</v>
      </c>
      <c r="M2805" s="21"/>
      <c r="N2805" s="21"/>
      <c r="O2805" s="21">
        <v>9</v>
      </c>
      <c r="P2805" s="21"/>
      <c r="Q2805" s="21"/>
      <c r="R2805" s="21"/>
      <c r="S2805" s="21"/>
      <c r="T2805" s="21"/>
      <c r="U2805" s="21"/>
      <c r="V2805" s="21">
        <v>2</v>
      </c>
      <c r="W2805" s="21"/>
      <c r="X2805" s="21">
        <v>38</v>
      </c>
      <c r="Y2805" s="21"/>
      <c r="Z2805" s="21"/>
      <c r="AA2805" s="21"/>
      <c r="AB2805" s="21"/>
      <c r="AC2805" s="21"/>
      <c r="AD2805" s="21"/>
      <c r="AE2805" s="21"/>
      <c r="AF2805" s="21"/>
      <c r="AG2805" s="21"/>
      <c r="AH2805" s="21">
        <v>104</v>
      </c>
      <c r="AI2805" s="21"/>
      <c r="AJ2805" s="21"/>
      <c r="AK2805" s="21"/>
      <c r="AL2805" s="21"/>
      <c r="AM2805" s="21">
        <v>59</v>
      </c>
      <c r="AN2805" s="21">
        <v>9</v>
      </c>
      <c r="AO2805" s="21">
        <v>33</v>
      </c>
      <c r="AP2805" s="21">
        <v>3</v>
      </c>
      <c r="AQ2805" s="21"/>
      <c r="AR2805" s="21"/>
      <c r="AS2805" s="21"/>
      <c r="AT2805" s="12" t="str">
        <f>HYPERLINK("http://www.openstreetmap.org/?mlat=35.4242&amp;mlon=45.5869&amp;zoom=12#map=12/35.4242/45.5869","Maplink1")</f>
        <v>Maplink1</v>
      </c>
      <c r="AU2805" s="12" t="str">
        <f>HYPERLINK("https://www.google.iq/maps/search/+35.4242,45.5869/@35.4242,45.5869,14z?hl=en","Maplink2")</f>
        <v>Maplink2</v>
      </c>
      <c r="AV2805" s="12" t="str">
        <f>HYPERLINK("http://www.bing.com/maps/?lvl=14&amp;sty=h&amp;cp=35.4242~45.5869&amp;sp=point.35.4242_45.5869","Maplink3")</f>
        <v>Maplink3</v>
      </c>
    </row>
    <row r="2806" spans="1:48" ht="15" customHeight="1" x14ac:dyDescent="0.25">
      <c r="A2806" s="19">
        <v>4570</v>
      </c>
      <c r="B2806" s="20" t="s">
        <v>24</v>
      </c>
      <c r="C2806" s="20" t="s">
        <v>4846</v>
      </c>
      <c r="D2806" s="20" t="s">
        <v>4854</v>
      </c>
      <c r="E2806" s="20" t="s">
        <v>4855</v>
      </c>
      <c r="F2806" s="20">
        <v>35.441809999999997</v>
      </c>
      <c r="G2806" s="20">
        <v>45.589210000000001</v>
      </c>
      <c r="H2806" s="22">
        <v>12</v>
      </c>
      <c r="I2806" s="22">
        <v>72</v>
      </c>
      <c r="J2806" s="21">
        <v>3</v>
      </c>
      <c r="K2806" s="21">
        <v>6</v>
      </c>
      <c r="L2806" s="21"/>
      <c r="M2806" s="21"/>
      <c r="N2806" s="21"/>
      <c r="O2806" s="21"/>
      <c r="P2806" s="21"/>
      <c r="Q2806" s="21"/>
      <c r="R2806" s="21"/>
      <c r="S2806" s="21"/>
      <c r="T2806" s="21"/>
      <c r="U2806" s="21"/>
      <c r="V2806" s="21"/>
      <c r="W2806" s="21"/>
      <c r="X2806" s="21">
        <v>3</v>
      </c>
      <c r="Y2806" s="21"/>
      <c r="Z2806" s="21"/>
      <c r="AA2806" s="21"/>
      <c r="AB2806" s="21"/>
      <c r="AC2806" s="21"/>
      <c r="AD2806" s="21"/>
      <c r="AE2806" s="21"/>
      <c r="AF2806" s="21"/>
      <c r="AG2806" s="21"/>
      <c r="AH2806" s="21">
        <v>12</v>
      </c>
      <c r="AI2806" s="21"/>
      <c r="AJ2806" s="21"/>
      <c r="AK2806" s="21"/>
      <c r="AL2806" s="21"/>
      <c r="AM2806" s="21">
        <v>7</v>
      </c>
      <c r="AN2806" s="21"/>
      <c r="AO2806" s="21">
        <v>3</v>
      </c>
      <c r="AP2806" s="21">
        <v>2</v>
      </c>
      <c r="AQ2806" s="21"/>
      <c r="AR2806" s="21"/>
      <c r="AS2806" s="21"/>
      <c r="AT2806" s="12" t="str">
        <f>HYPERLINK("http://www.openstreetmap.org/?mlat=35.4418&amp;mlon=45.5892&amp;zoom=12#map=12/35.4418/45.5892","Maplink1")</f>
        <v>Maplink1</v>
      </c>
      <c r="AU2806" s="12" t="str">
        <f>HYPERLINK("https://www.google.iq/maps/search/+35.4418,45.5892/@35.4418,45.5892,14z?hl=en","Maplink2")</f>
        <v>Maplink2</v>
      </c>
      <c r="AV2806" s="12" t="str">
        <f>HYPERLINK("http://www.bing.com/maps/?lvl=14&amp;sty=h&amp;cp=35.4418~45.5892&amp;sp=point.35.4418_45.5892","Maplink3")</f>
        <v>Maplink3</v>
      </c>
    </row>
    <row r="2807" spans="1:48" ht="15" customHeight="1" x14ac:dyDescent="0.25">
      <c r="A2807" s="19">
        <v>5122</v>
      </c>
      <c r="B2807" s="20" t="s">
        <v>24</v>
      </c>
      <c r="C2807" s="20" t="s">
        <v>4846</v>
      </c>
      <c r="D2807" s="20" t="s">
        <v>4856</v>
      </c>
      <c r="E2807" s="20" t="s">
        <v>4857</v>
      </c>
      <c r="F2807" s="20">
        <v>35.464790000000001</v>
      </c>
      <c r="G2807" s="20">
        <v>45.566969999999998</v>
      </c>
      <c r="H2807" s="22">
        <v>9</v>
      </c>
      <c r="I2807" s="22">
        <v>54</v>
      </c>
      <c r="J2807" s="21"/>
      <c r="K2807" s="21">
        <v>1</v>
      </c>
      <c r="L2807" s="21">
        <v>3</v>
      </c>
      <c r="M2807" s="21"/>
      <c r="N2807" s="21"/>
      <c r="O2807" s="21">
        <v>4</v>
      </c>
      <c r="P2807" s="21"/>
      <c r="Q2807" s="21"/>
      <c r="R2807" s="21"/>
      <c r="S2807" s="21"/>
      <c r="T2807" s="21"/>
      <c r="U2807" s="21"/>
      <c r="V2807" s="21"/>
      <c r="W2807" s="21"/>
      <c r="X2807" s="21">
        <v>1</v>
      </c>
      <c r="Y2807" s="21"/>
      <c r="Z2807" s="21"/>
      <c r="AA2807" s="21"/>
      <c r="AB2807" s="21"/>
      <c r="AC2807" s="21"/>
      <c r="AD2807" s="21"/>
      <c r="AE2807" s="21"/>
      <c r="AF2807" s="21"/>
      <c r="AG2807" s="21"/>
      <c r="AH2807" s="21">
        <v>9</v>
      </c>
      <c r="AI2807" s="21"/>
      <c r="AJ2807" s="21"/>
      <c r="AK2807" s="21"/>
      <c r="AL2807" s="21">
        <v>2</v>
      </c>
      <c r="AM2807" s="21"/>
      <c r="AN2807" s="21">
        <v>1</v>
      </c>
      <c r="AO2807" s="21">
        <v>1</v>
      </c>
      <c r="AP2807" s="21">
        <v>1</v>
      </c>
      <c r="AQ2807" s="21">
        <v>3</v>
      </c>
      <c r="AR2807" s="21">
        <v>1</v>
      </c>
      <c r="AS2807" s="21"/>
      <c r="AT2807" s="12" t="str">
        <f>HYPERLINK("http://www.openstreetmap.org/?mlat=35.4648&amp;mlon=45.567&amp;zoom=12#map=12/35.4648/45.567","Maplink1")</f>
        <v>Maplink1</v>
      </c>
      <c r="AU2807" s="12" t="str">
        <f>HYPERLINK("https://www.google.iq/maps/search/+35.4648,45.567/@35.4648,45.567,14z?hl=en","Maplink2")</f>
        <v>Maplink2</v>
      </c>
      <c r="AV2807" s="12" t="str">
        <f>HYPERLINK("http://www.bing.com/maps/?lvl=14&amp;sty=h&amp;cp=35.4648~45.567&amp;sp=point.35.4648_45.567","Maplink3")</f>
        <v>Maplink3</v>
      </c>
    </row>
    <row r="2808" spans="1:48" ht="15" customHeight="1" x14ac:dyDescent="0.25">
      <c r="A2808" s="19">
        <v>4558</v>
      </c>
      <c r="B2808" s="20" t="s">
        <v>24</v>
      </c>
      <c r="C2808" s="20" t="s">
        <v>4846</v>
      </c>
      <c r="D2808" s="20" t="s">
        <v>4858</v>
      </c>
      <c r="E2808" s="20" t="s">
        <v>4859</v>
      </c>
      <c r="F2808" s="20">
        <v>35.466909999999999</v>
      </c>
      <c r="G2808" s="20">
        <v>45.541060000000002</v>
      </c>
      <c r="H2808" s="22">
        <v>6</v>
      </c>
      <c r="I2808" s="22">
        <v>36</v>
      </c>
      <c r="J2808" s="21"/>
      <c r="K2808" s="21">
        <v>1</v>
      </c>
      <c r="L2808" s="21">
        <v>1</v>
      </c>
      <c r="M2808" s="21"/>
      <c r="N2808" s="21"/>
      <c r="O2808" s="21">
        <v>1</v>
      </c>
      <c r="P2808" s="21"/>
      <c r="Q2808" s="21"/>
      <c r="R2808" s="21"/>
      <c r="S2808" s="21"/>
      <c r="T2808" s="21"/>
      <c r="U2808" s="21"/>
      <c r="V2808" s="21">
        <v>3</v>
      </c>
      <c r="W2808" s="21"/>
      <c r="X2808" s="21"/>
      <c r="Y2808" s="21"/>
      <c r="Z2808" s="21"/>
      <c r="AA2808" s="21"/>
      <c r="AB2808" s="21"/>
      <c r="AC2808" s="21"/>
      <c r="AD2808" s="21"/>
      <c r="AE2808" s="21"/>
      <c r="AF2808" s="21"/>
      <c r="AG2808" s="21"/>
      <c r="AH2808" s="21">
        <v>6</v>
      </c>
      <c r="AI2808" s="21"/>
      <c r="AJ2808" s="21"/>
      <c r="AK2808" s="21"/>
      <c r="AL2808" s="21"/>
      <c r="AM2808" s="21">
        <v>3</v>
      </c>
      <c r="AN2808" s="21"/>
      <c r="AO2808" s="21"/>
      <c r="AP2808" s="21"/>
      <c r="AQ2808" s="21">
        <v>3</v>
      </c>
      <c r="AR2808" s="21"/>
      <c r="AS2808" s="21"/>
      <c r="AT2808" s="12" t="str">
        <f>HYPERLINK("http://www.openstreetmap.org/?mlat=35.4669&amp;mlon=45.5411&amp;zoom=12#map=12/35.4669/45.5411","Maplink1")</f>
        <v>Maplink1</v>
      </c>
      <c r="AU2808" s="12" t="str">
        <f>HYPERLINK("https://www.google.iq/maps/search/+35.4669,45.5411/@35.4669,45.5411,14z?hl=en","Maplink2")</f>
        <v>Maplink2</v>
      </c>
      <c r="AV2808" s="12" t="str">
        <f>HYPERLINK("http://www.bing.com/maps/?lvl=14&amp;sty=h&amp;cp=35.4669~45.5411&amp;sp=point.35.4669_45.5411","Maplink3")</f>
        <v>Maplink3</v>
      </c>
    </row>
    <row r="2809" spans="1:48" ht="15" customHeight="1" x14ac:dyDescent="0.25">
      <c r="A2809" s="19">
        <v>25290</v>
      </c>
      <c r="B2809" s="20" t="s">
        <v>24</v>
      </c>
      <c r="C2809" s="20" t="s">
        <v>4846</v>
      </c>
      <c r="D2809" s="20" t="s">
        <v>4860</v>
      </c>
      <c r="E2809" s="20" t="s">
        <v>2793</v>
      </c>
      <c r="F2809" s="20">
        <v>35.426260689999999</v>
      </c>
      <c r="G2809" s="20">
        <v>45.579361710000001</v>
      </c>
      <c r="H2809" s="22">
        <v>13</v>
      </c>
      <c r="I2809" s="22">
        <v>78</v>
      </c>
      <c r="J2809" s="21">
        <v>2</v>
      </c>
      <c r="K2809" s="21">
        <v>5</v>
      </c>
      <c r="L2809" s="21"/>
      <c r="M2809" s="21"/>
      <c r="N2809" s="21"/>
      <c r="O2809" s="21"/>
      <c r="P2809" s="21"/>
      <c r="Q2809" s="21"/>
      <c r="R2809" s="21"/>
      <c r="S2809" s="21"/>
      <c r="T2809" s="21"/>
      <c r="U2809" s="21"/>
      <c r="V2809" s="21"/>
      <c r="W2809" s="21"/>
      <c r="X2809" s="21">
        <v>6</v>
      </c>
      <c r="Y2809" s="21"/>
      <c r="Z2809" s="21"/>
      <c r="AA2809" s="21"/>
      <c r="AB2809" s="21"/>
      <c r="AC2809" s="21"/>
      <c r="AD2809" s="21"/>
      <c r="AE2809" s="21"/>
      <c r="AF2809" s="21"/>
      <c r="AG2809" s="21"/>
      <c r="AH2809" s="21">
        <v>13</v>
      </c>
      <c r="AI2809" s="21"/>
      <c r="AJ2809" s="21"/>
      <c r="AK2809" s="21"/>
      <c r="AL2809" s="21"/>
      <c r="AM2809" s="21">
        <v>2</v>
      </c>
      <c r="AN2809" s="21">
        <v>3</v>
      </c>
      <c r="AO2809" s="21">
        <v>7</v>
      </c>
      <c r="AP2809" s="21">
        <v>1</v>
      </c>
      <c r="AQ2809" s="21"/>
      <c r="AR2809" s="21"/>
      <c r="AS2809" s="21"/>
      <c r="AT2809" s="12" t="str">
        <f>HYPERLINK("http://www.openstreetmap.org/?mlat=35.4263&amp;mlon=45.5794&amp;zoom=12#map=12/35.4263/45.5794","Maplink1")</f>
        <v>Maplink1</v>
      </c>
      <c r="AU2809" s="12" t="str">
        <f>HYPERLINK("https://www.google.iq/maps/search/+35.4263,45.5794/@35.4263,45.5794,14z?hl=en","Maplink2")</f>
        <v>Maplink2</v>
      </c>
      <c r="AV2809" s="12" t="str">
        <f>HYPERLINK("http://www.bing.com/maps/?lvl=14&amp;sty=h&amp;cp=35.4263~45.5794&amp;sp=point.35.4263_45.5794","Maplink3")</f>
        <v>Maplink3</v>
      </c>
    </row>
    <row r="2810" spans="1:48" ht="15" customHeight="1" x14ac:dyDescent="0.25">
      <c r="A2810" s="19">
        <v>4594</v>
      </c>
      <c r="B2810" s="20" t="s">
        <v>24</v>
      </c>
      <c r="C2810" s="20" t="s">
        <v>4846</v>
      </c>
      <c r="D2810" s="20" t="s">
        <v>4861</v>
      </c>
      <c r="E2810" s="20" t="s">
        <v>4862</v>
      </c>
      <c r="F2810" s="20">
        <v>35.410550000000001</v>
      </c>
      <c r="G2810" s="20">
        <v>45.58905</v>
      </c>
      <c r="H2810" s="22">
        <v>17</v>
      </c>
      <c r="I2810" s="22">
        <v>102</v>
      </c>
      <c r="J2810" s="21"/>
      <c r="K2810" s="21">
        <v>15</v>
      </c>
      <c r="L2810" s="21">
        <v>2</v>
      </c>
      <c r="M2810" s="21"/>
      <c r="N2810" s="21"/>
      <c r="O2810" s="21"/>
      <c r="P2810" s="21"/>
      <c r="Q2810" s="21"/>
      <c r="R2810" s="21"/>
      <c r="S2810" s="21"/>
      <c r="T2810" s="21"/>
      <c r="U2810" s="21"/>
      <c r="V2810" s="21"/>
      <c r="W2810" s="21"/>
      <c r="X2810" s="21"/>
      <c r="Y2810" s="21"/>
      <c r="Z2810" s="21"/>
      <c r="AA2810" s="21"/>
      <c r="AB2810" s="21"/>
      <c r="AC2810" s="21"/>
      <c r="AD2810" s="21"/>
      <c r="AE2810" s="21"/>
      <c r="AF2810" s="21"/>
      <c r="AG2810" s="21"/>
      <c r="AH2810" s="21">
        <v>17</v>
      </c>
      <c r="AI2810" s="21"/>
      <c r="AJ2810" s="21"/>
      <c r="AK2810" s="21"/>
      <c r="AL2810" s="21"/>
      <c r="AM2810" s="21">
        <v>9</v>
      </c>
      <c r="AN2810" s="21"/>
      <c r="AO2810" s="21">
        <v>8</v>
      </c>
      <c r="AP2810" s="21"/>
      <c r="AQ2810" s="21"/>
      <c r="AR2810" s="21"/>
      <c r="AS2810" s="21"/>
      <c r="AT2810" s="12" t="str">
        <f>HYPERLINK("http://www.openstreetmap.org/?mlat=35.4106&amp;mlon=45.5891&amp;zoom=12#map=12/35.4106/45.5891","Maplink1")</f>
        <v>Maplink1</v>
      </c>
      <c r="AU2810" s="12" t="str">
        <f>HYPERLINK("https://www.google.iq/maps/search/+35.4106,45.5891/@35.4106,45.5891,14z?hl=en","Maplink2")</f>
        <v>Maplink2</v>
      </c>
      <c r="AV2810" s="12" t="str">
        <f>HYPERLINK("http://www.bing.com/maps/?lvl=14&amp;sty=h&amp;cp=35.4106~45.5891&amp;sp=point.35.4106_45.5891","Maplink3")</f>
        <v>Maplink3</v>
      </c>
    </row>
    <row r="2811" spans="1:48" ht="15" customHeight="1" x14ac:dyDescent="0.25">
      <c r="A2811" s="19">
        <v>5880</v>
      </c>
      <c r="B2811" s="20" t="s">
        <v>24</v>
      </c>
      <c r="C2811" s="20" t="s">
        <v>4846</v>
      </c>
      <c r="D2811" s="20" t="s">
        <v>4863</v>
      </c>
      <c r="E2811" s="20" t="s">
        <v>4864</v>
      </c>
      <c r="F2811" s="20">
        <v>35.484290000000001</v>
      </c>
      <c r="G2811" s="20">
        <v>45.48574</v>
      </c>
      <c r="H2811" s="22">
        <v>4</v>
      </c>
      <c r="I2811" s="22">
        <v>24</v>
      </c>
      <c r="J2811" s="21"/>
      <c r="K2811" s="21"/>
      <c r="L2811" s="21">
        <v>1</v>
      </c>
      <c r="M2811" s="21"/>
      <c r="N2811" s="21"/>
      <c r="O2811" s="21">
        <v>1</v>
      </c>
      <c r="P2811" s="21"/>
      <c r="Q2811" s="21"/>
      <c r="R2811" s="21"/>
      <c r="S2811" s="21"/>
      <c r="T2811" s="21"/>
      <c r="U2811" s="21"/>
      <c r="V2811" s="21">
        <v>2</v>
      </c>
      <c r="W2811" s="21"/>
      <c r="X2811" s="21"/>
      <c r="Y2811" s="21"/>
      <c r="Z2811" s="21"/>
      <c r="AA2811" s="21"/>
      <c r="AB2811" s="21"/>
      <c r="AC2811" s="21"/>
      <c r="AD2811" s="21"/>
      <c r="AE2811" s="21"/>
      <c r="AF2811" s="21"/>
      <c r="AG2811" s="21"/>
      <c r="AH2811" s="21">
        <v>4</v>
      </c>
      <c r="AI2811" s="21"/>
      <c r="AJ2811" s="21"/>
      <c r="AK2811" s="21"/>
      <c r="AL2811" s="21"/>
      <c r="AM2811" s="21"/>
      <c r="AN2811" s="21"/>
      <c r="AO2811" s="21">
        <v>1</v>
      </c>
      <c r="AP2811" s="21">
        <v>1</v>
      </c>
      <c r="AQ2811" s="21">
        <v>2</v>
      </c>
      <c r="AR2811" s="21"/>
      <c r="AS2811" s="21"/>
      <c r="AT2811" s="12" t="str">
        <f>HYPERLINK("http://www.openstreetmap.org/?mlat=35.4843&amp;mlon=45.4857&amp;zoom=12#map=12/35.4843/45.4857","Maplink1")</f>
        <v>Maplink1</v>
      </c>
      <c r="AU2811" s="12" t="str">
        <f>HYPERLINK("https://www.google.iq/maps/search/+35.4843,45.4857/@35.4843,45.4857,14z?hl=en","Maplink2")</f>
        <v>Maplink2</v>
      </c>
      <c r="AV2811" s="12" t="str">
        <f>HYPERLINK("http://www.bing.com/maps/?lvl=14&amp;sty=h&amp;cp=35.4843~45.4857&amp;sp=point.35.4843_45.4857","Maplink3")</f>
        <v>Maplink3</v>
      </c>
    </row>
    <row r="2812" spans="1:48" ht="15" customHeight="1" x14ac:dyDescent="0.25">
      <c r="A2812" s="19">
        <v>31963</v>
      </c>
      <c r="B2812" s="20" t="s">
        <v>24</v>
      </c>
      <c r="C2812" s="20" t="s">
        <v>4846</v>
      </c>
      <c r="D2812" s="20" t="s">
        <v>4865</v>
      </c>
      <c r="E2812" s="20" t="s">
        <v>4866</v>
      </c>
      <c r="F2812" s="20">
        <v>35.436619999999998</v>
      </c>
      <c r="G2812" s="20">
        <v>45.584420000000001</v>
      </c>
      <c r="H2812" s="22">
        <v>13</v>
      </c>
      <c r="I2812" s="22">
        <v>78</v>
      </c>
      <c r="J2812" s="21"/>
      <c r="K2812" s="21">
        <v>1</v>
      </c>
      <c r="L2812" s="21"/>
      <c r="M2812" s="21"/>
      <c r="N2812" s="21"/>
      <c r="O2812" s="21">
        <v>5</v>
      </c>
      <c r="P2812" s="21"/>
      <c r="Q2812" s="21"/>
      <c r="R2812" s="21"/>
      <c r="S2812" s="21"/>
      <c r="T2812" s="21"/>
      <c r="U2812" s="21"/>
      <c r="V2812" s="21"/>
      <c r="W2812" s="21"/>
      <c r="X2812" s="21">
        <v>7</v>
      </c>
      <c r="Y2812" s="21"/>
      <c r="Z2812" s="21"/>
      <c r="AA2812" s="21"/>
      <c r="AB2812" s="21"/>
      <c r="AC2812" s="21"/>
      <c r="AD2812" s="21"/>
      <c r="AE2812" s="21"/>
      <c r="AF2812" s="21"/>
      <c r="AG2812" s="21"/>
      <c r="AH2812" s="21">
        <v>13</v>
      </c>
      <c r="AI2812" s="21"/>
      <c r="AJ2812" s="21"/>
      <c r="AK2812" s="21"/>
      <c r="AL2812" s="21"/>
      <c r="AM2812" s="21">
        <v>13</v>
      </c>
      <c r="AN2812" s="21"/>
      <c r="AO2812" s="21"/>
      <c r="AP2812" s="21"/>
      <c r="AQ2812" s="21"/>
      <c r="AR2812" s="21"/>
      <c r="AS2812" s="21"/>
      <c r="AT2812" s="12" t="str">
        <f>HYPERLINK("http://www.openstreetmap.org/?mlat=35.4366&amp;mlon=45.5844&amp;zoom=12#map=12/35.4366/45.5844","Maplink1")</f>
        <v>Maplink1</v>
      </c>
      <c r="AU2812" s="12" t="str">
        <f>HYPERLINK("https://www.google.iq/maps/search/+35.4366,45.5844/@35.4366,45.5844,14z?hl=en","Maplink2")</f>
        <v>Maplink2</v>
      </c>
      <c r="AV2812" s="12" t="str">
        <f>HYPERLINK("http://www.bing.com/maps/?lvl=14&amp;sty=h&amp;cp=35.4366~45.5844&amp;sp=point.35.4366_45.5844","Maplink3")</f>
        <v>Maplink3</v>
      </c>
    </row>
    <row r="2813" spans="1:48" ht="15" customHeight="1" x14ac:dyDescent="0.25">
      <c r="A2813" s="19">
        <v>25292</v>
      </c>
      <c r="B2813" s="20" t="s">
        <v>24</v>
      </c>
      <c r="C2813" s="20" t="s">
        <v>4846</v>
      </c>
      <c r="D2813" s="20" t="s">
        <v>4867</v>
      </c>
      <c r="E2813" s="20" t="s">
        <v>2065</v>
      </c>
      <c r="F2813" s="20">
        <v>35.414679239999998</v>
      </c>
      <c r="G2813" s="20">
        <v>45.583390399999999</v>
      </c>
      <c r="H2813" s="22">
        <v>124</v>
      </c>
      <c r="I2813" s="22">
        <v>744</v>
      </c>
      <c r="J2813" s="21">
        <v>4</v>
      </c>
      <c r="K2813" s="21">
        <v>106</v>
      </c>
      <c r="L2813" s="21">
        <v>4</v>
      </c>
      <c r="M2813" s="21"/>
      <c r="N2813" s="21"/>
      <c r="O2813" s="21">
        <v>4</v>
      </c>
      <c r="P2813" s="21"/>
      <c r="Q2813" s="21"/>
      <c r="R2813" s="21"/>
      <c r="S2813" s="21"/>
      <c r="T2813" s="21"/>
      <c r="U2813" s="21"/>
      <c r="V2813" s="21"/>
      <c r="W2813" s="21"/>
      <c r="X2813" s="21">
        <v>6</v>
      </c>
      <c r="Y2813" s="21"/>
      <c r="Z2813" s="21"/>
      <c r="AA2813" s="21"/>
      <c r="AB2813" s="21"/>
      <c r="AC2813" s="21"/>
      <c r="AD2813" s="21"/>
      <c r="AE2813" s="21"/>
      <c r="AF2813" s="21"/>
      <c r="AG2813" s="21"/>
      <c r="AH2813" s="21">
        <v>124</v>
      </c>
      <c r="AI2813" s="21"/>
      <c r="AJ2813" s="21"/>
      <c r="AK2813" s="21"/>
      <c r="AL2813" s="21">
        <v>18</v>
      </c>
      <c r="AM2813" s="21">
        <v>63</v>
      </c>
      <c r="AN2813" s="21">
        <v>18</v>
      </c>
      <c r="AO2813" s="21">
        <v>23</v>
      </c>
      <c r="AP2813" s="21">
        <v>2</v>
      </c>
      <c r="AQ2813" s="21"/>
      <c r="AR2813" s="21"/>
      <c r="AS2813" s="21"/>
      <c r="AT2813" s="12" t="str">
        <f>HYPERLINK("http://www.openstreetmap.org/?mlat=35.4147&amp;mlon=45.5834&amp;zoom=12#map=12/35.4147/45.5834","Maplink1")</f>
        <v>Maplink1</v>
      </c>
      <c r="AU2813" s="12" t="str">
        <f>HYPERLINK("https://www.google.iq/maps/search/+35.4147,45.5834/@35.4147,45.5834,14z?hl=en","Maplink2")</f>
        <v>Maplink2</v>
      </c>
      <c r="AV2813" s="12" t="str">
        <f>HYPERLINK("http://www.bing.com/maps/?lvl=14&amp;sty=h&amp;cp=35.4147~45.5834&amp;sp=point.35.4147_45.5834","Maplink3")</f>
        <v>Maplink3</v>
      </c>
    </row>
    <row r="2814" spans="1:48" ht="15" customHeight="1" x14ac:dyDescent="0.25">
      <c r="A2814" s="19">
        <v>21206</v>
      </c>
      <c r="B2814" s="20" t="s">
        <v>24</v>
      </c>
      <c r="C2814" s="20" t="s">
        <v>4846</v>
      </c>
      <c r="D2814" s="20" t="s">
        <v>4868</v>
      </c>
      <c r="E2814" s="20" t="s">
        <v>4869</v>
      </c>
      <c r="F2814" s="20">
        <v>35.418469999999999</v>
      </c>
      <c r="G2814" s="20">
        <v>45.583970000000001</v>
      </c>
      <c r="H2814" s="22">
        <v>21</v>
      </c>
      <c r="I2814" s="22">
        <v>126</v>
      </c>
      <c r="J2814" s="21">
        <v>1</v>
      </c>
      <c r="K2814" s="21">
        <v>12</v>
      </c>
      <c r="L2814" s="21">
        <v>4</v>
      </c>
      <c r="M2814" s="21"/>
      <c r="N2814" s="21"/>
      <c r="O2814" s="21">
        <v>1</v>
      </c>
      <c r="P2814" s="21"/>
      <c r="Q2814" s="21"/>
      <c r="R2814" s="21"/>
      <c r="S2814" s="21"/>
      <c r="T2814" s="21"/>
      <c r="U2814" s="21"/>
      <c r="V2814" s="21">
        <v>3</v>
      </c>
      <c r="W2814" s="21"/>
      <c r="X2814" s="21"/>
      <c r="Y2814" s="21"/>
      <c r="Z2814" s="21"/>
      <c r="AA2814" s="21"/>
      <c r="AB2814" s="21"/>
      <c r="AC2814" s="21"/>
      <c r="AD2814" s="21"/>
      <c r="AE2814" s="21"/>
      <c r="AF2814" s="21"/>
      <c r="AG2814" s="21"/>
      <c r="AH2814" s="21">
        <v>21</v>
      </c>
      <c r="AI2814" s="21"/>
      <c r="AJ2814" s="21"/>
      <c r="AK2814" s="21"/>
      <c r="AL2814" s="21">
        <v>2</v>
      </c>
      <c r="AM2814" s="21">
        <v>7</v>
      </c>
      <c r="AN2814" s="21">
        <v>9</v>
      </c>
      <c r="AO2814" s="21">
        <v>3</v>
      </c>
      <c r="AP2814" s="21"/>
      <c r="AQ2814" s="21"/>
      <c r="AR2814" s="21"/>
      <c r="AS2814" s="21"/>
      <c r="AT2814" s="12" t="str">
        <f>HYPERLINK("http://www.openstreetmap.org/?mlat=35.4185&amp;mlon=45.584&amp;zoom=12#map=12/35.4185/45.584","Maplink1")</f>
        <v>Maplink1</v>
      </c>
      <c r="AU2814" s="12" t="str">
        <f>HYPERLINK("https://www.google.iq/maps/search/+35.4185,45.584/@35.4185,45.584,14z?hl=en","Maplink2")</f>
        <v>Maplink2</v>
      </c>
      <c r="AV2814" s="12" t="str">
        <f>HYPERLINK("http://www.bing.com/maps/?lvl=14&amp;sty=h&amp;cp=35.4185~45.584&amp;sp=point.35.4185_45.584","Maplink3")</f>
        <v>Maplink3</v>
      </c>
    </row>
    <row r="2815" spans="1:48" ht="15" customHeight="1" x14ac:dyDescent="0.25">
      <c r="A2815" s="19">
        <v>31961</v>
      </c>
      <c r="B2815" s="20" t="s">
        <v>24</v>
      </c>
      <c r="C2815" s="20" t="s">
        <v>4846</v>
      </c>
      <c r="D2815" s="20" t="s">
        <v>4870</v>
      </c>
      <c r="E2815" s="20" t="s">
        <v>4871</v>
      </c>
      <c r="F2815" s="20">
        <v>35.486579999999996</v>
      </c>
      <c r="G2815" s="20">
        <v>45.459069999999997</v>
      </c>
      <c r="H2815" s="22">
        <v>5</v>
      </c>
      <c r="I2815" s="22">
        <v>30</v>
      </c>
      <c r="J2815" s="21"/>
      <c r="K2815" s="21"/>
      <c r="L2815" s="21"/>
      <c r="M2815" s="21"/>
      <c r="N2815" s="21"/>
      <c r="O2815" s="21">
        <v>3</v>
      </c>
      <c r="P2815" s="21"/>
      <c r="Q2815" s="21"/>
      <c r="R2815" s="21"/>
      <c r="S2815" s="21"/>
      <c r="T2815" s="21"/>
      <c r="U2815" s="21"/>
      <c r="V2815" s="21">
        <v>1</v>
      </c>
      <c r="W2815" s="21"/>
      <c r="X2815" s="21">
        <v>1</v>
      </c>
      <c r="Y2815" s="21"/>
      <c r="Z2815" s="21"/>
      <c r="AA2815" s="21"/>
      <c r="AB2815" s="21"/>
      <c r="AC2815" s="21"/>
      <c r="AD2815" s="21"/>
      <c r="AE2815" s="21"/>
      <c r="AF2815" s="21"/>
      <c r="AG2815" s="21"/>
      <c r="AH2815" s="21">
        <v>5</v>
      </c>
      <c r="AI2815" s="21"/>
      <c r="AJ2815" s="21"/>
      <c r="AK2815" s="21"/>
      <c r="AL2815" s="21">
        <v>3</v>
      </c>
      <c r="AM2815" s="21">
        <v>2</v>
      </c>
      <c r="AN2815" s="21"/>
      <c r="AO2815" s="21"/>
      <c r="AP2815" s="21"/>
      <c r="AQ2815" s="21"/>
      <c r="AR2815" s="21"/>
      <c r="AS2815" s="21"/>
      <c r="AT2815" s="12" t="str">
        <f>HYPERLINK("http://www.openstreetmap.org/?mlat=35.4866&amp;mlon=45.4591&amp;zoom=12#map=12/35.4866/45.4591","Maplink1")</f>
        <v>Maplink1</v>
      </c>
      <c r="AU2815" s="12" t="str">
        <f>HYPERLINK("https://www.google.iq/maps/search/+35.4866,45.4591/@35.4866,45.4591,14z?hl=en","Maplink2")</f>
        <v>Maplink2</v>
      </c>
      <c r="AV2815" s="12" t="str">
        <f>HYPERLINK("http://www.bing.com/maps/?lvl=14&amp;sty=h&amp;cp=35.4866~45.4591&amp;sp=point.35.4866_45.4591","Maplink3")</f>
        <v>Maplink3</v>
      </c>
    </row>
    <row r="2816" spans="1:48" ht="15" customHeight="1" x14ac:dyDescent="0.25">
      <c r="A2816" s="19">
        <v>31962</v>
      </c>
      <c r="B2816" s="20" t="s">
        <v>24</v>
      </c>
      <c r="C2816" s="20" t="s">
        <v>4846</v>
      </c>
      <c r="D2816" s="20" t="s">
        <v>4872</v>
      </c>
      <c r="E2816" s="20" t="s">
        <v>4873</v>
      </c>
      <c r="F2816" s="20">
        <v>35.495359999999998</v>
      </c>
      <c r="G2816" s="20">
        <v>45.463650000000001</v>
      </c>
      <c r="H2816" s="22">
        <v>7</v>
      </c>
      <c r="I2816" s="22">
        <v>42</v>
      </c>
      <c r="J2816" s="21"/>
      <c r="K2816" s="21"/>
      <c r="L2816" s="21">
        <v>1</v>
      </c>
      <c r="M2816" s="21"/>
      <c r="N2816" s="21"/>
      <c r="O2816" s="21">
        <v>6</v>
      </c>
      <c r="P2816" s="21"/>
      <c r="Q2816" s="21"/>
      <c r="R2816" s="21"/>
      <c r="S2816" s="21"/>
      <c r="T2816" s="21"/>
      <c r="U2816" s="21"/>
      <c r="V2816" s="21"/>
      <c r="W2816" s="21"/>
      <c r="X2816" s="21"/>
      <c r="Y2816" s="21"/>
      <c r="Z2816" s="21"/>
      <c r="AA2816" s="21"/>
      <c r="AB2816" s="21"/>
      <c r="AC2816" s="21"/>
      <c r="AD2816" s="21"/>
      <c r="AE2816" s="21"/>
      <c r="AF2816" s="21"/>
      <c r="AG2816" s="21"/>
      <c r="AH2816" s="21">
        <v>7</v>
      </c>
      <c r="AI2816" s="21"/>
      <c r="AJ2816" s="21"/>
      <c r="AK2816" s="21"/>
      <c r="AL2816" s="21"/>
      <c r="AM2816" s="21"/>
      <c r="AN2816" s="21"/>
      <c r="AO2816" s="21"/>
      <c r="AP2816" s="21">
        <v>7</v>
      </c>
      <c r="AQ2816" s="21"/>
      <c r="AR2816" s="21"/>
      <c r="AS2816" s="21"/>
      <c r="AT2816" s="12" t="str">
        <f>HYPERLINK("http://www.openstreetmap.org/?mlat=35.4954&amp;mlon=45.4637&amp;zoom=12#map=12/35.4954/45.4637","Maplink1")</f>
        <v>Maplink1</v>
      </c>
      <c r="AU2816" s="12" t="str">
        <f>HYPERLINK("https://www.google.iq/maps/search/+35.4954,45.4637/@35.4954,45.4637,14z?hl=en","Maplink2")</f>
        <v>Maplink2</v>
      </c>
      <c r="AV2816" s="12" t="str">
        <f>HYPERLINK("http://www.bing.com/maps/?lvl=14&amp;sty=h&amp;cp=35.4954~45.4637&amp;sp=point.35.4954_45.4637","Maplink3")</f>
        <v>Maplink3</v>
      </c>
    </row>
    <row r="2817" spans="1:48" ht="15" customHeight="1" x14ac:dyDescent="0.25">
      <c r="A2817" s="19">
        <v>31953</v>
      </c>
      <c r="B2817" s="20" t="s">
        <v>24</v>
      </c>
      <c r="C2817" s="20" t="s">
        <v>4846</v>
      </c>
      <c r="D2817" s="20" t="s">
        <v>4874</v>
      </c>
      <c r="E2817" s="20" t="s">
        <v>4875</v>
      </c>
      <c r="F2817" s="20">
        <v>35.548009999999998</v>
      </c>
      <c r="G2817" s="20">
        <v>45.486049999999999</v>
      </c>
      <c r="H2817" s="22">
        <v>45</v>
      </c>
      <c r="I2817" s="22">
        <v>270</v>
      </c>
      <c r="J2817" s="21">
        <v>9</v>
      </c>
      <c r="K2817" s="21">
        <v>2</v>
      </c>
      <c r="L2817" s="21">
        <v>23</v>
      </c>
      <c r="M2817" s="21"/>
      <c r="N2817" s="21"/>
      <c r="O2817" s="21">
        <v>4</v>
      </c>
      <c r="P2817" s="21"/>
      <c r="Q2817" s="21"/>
      <c r="R2817" s="21"/>
      <c r="S2817" s="21"/>
      <c r="T2817" s="21"/>
      <c r="U2817" s="21"/>
      <c r="V2817" s="21">
        <v>2</v>
      </c>
      <c r="W2817" s="21"/>
      <c r="X2817" s="21">
        <v>5</v>
      </c>
      <c r="Y2817" s="21"/>
      <c r="Z2817" s="21"/>
      <c r="AA2817" s="21"/>
      <c r="AB2817" s="21"/>
      <c r="AC2817" s="21"/>
      <c r="AD2817" s="21"/>
      <c r="AE2817" s="21"/>
      <c r="AF2817" s="21"/>
      <c r="AG2817" s="21"/>
      <c r="AH2817" s="21">
        <v>45</v>
      </c>
      <c r="AI2817" s="21"/>
      <c r="AJ2817" s="21"/>
      <c r="AK2817" s="21"/>
      <c r="AL2817" s="21">
        <v>1</v>
      </c>
      <c r="AM2817" s="21"/>
      <c r="AN2817" s="21"/>
      <c r="AO2817" s="21">
        <v>8</v>
      </c>
      <c r="AP2817" s="21">
        <v>9</v>
      </c>
      <c r="AQ2817" s="21">
        <v>14</v>
      </c>
      <c r="AR2817" s="21">
        <v>11</v>
      </c>
      <c r="AS2817" s="21">
        <v>2</v>
      </c>
      <c r="AT2817" s="12" t="str">
        <f>HYPERLINK("http://www.openstreetmap.org/?mlat=35.548&amp;mlon=45.486&amp;zoom=12#map=12/35.548/45.486","Maplink1")</f>
        <v>Maplink1</v>
      </c>
      <c r="AU2817" s="12" t="str">
        <f>HYPERLINK("https://www.google.iq/maps/search/+35.548,45.486/@35.548,45.486,14z?hl=en","Maplink2")</f>
        <v>Maplink2</v>
      </c>
      <c r="AV2817" s="12" t="str">
        <f>HYPERLINK("http://www.bing.com/maps/?lvl=14&amp;sty=h&amp;cp=35.548~45.486&amp;sp=point.35.548_45.486","Maplink3")</f>
        <v>Maplink3</v>
      </c>
    </row>
    <row r="2818" spans="1:48" ht="15" customHeight="1" x14ac:dyDescent="0.25">
      <c r="A2818" s="19">
        <v>26023</v>
      </c>
      <c r="B2818" s="20" t="s">
        <v>24</v>
      </c>
      <c r="C2818" s="20" t="s">
        <v>4846</v>
      </c>
      <c r="D2818" s="20" t="s">
        <v>4876</v>
      </c>
      <c r="E2818" s="20" t="s">
        <v>4877</v>
      </c>
      <c r="F2818" s="20">
        <v>35.417104999999999</v>
      </c>
      <c r="G2818" s="20">
        <v>45.606054</v>
      </c>
      <c r="H2818" s="22">
        <v>2375</v>
      </c>
      <c r="I2818" s="22">
        <v>14250</v>
      </c>
      <c r="J2818" s="21"/>
      <c r="K2818" s="21"/>
      <c r="L2818" s="21"/>
      <c r="M2818" s="21"/>
      <c r="N2818" s="21"/>
      <c r="O2818" s="21">
        <v>1</v>
      </c>
      <c r="P2818" s="21"/>
      <c r="Q2818" s="21"/>
      <c r="R2818" s="21"/>
      <c r="S2818" s="21"/>
      <c r="T2818" s="21"/>
      <c r="U2818" s="21"/>
      <c r="V2818" s="21">
        <v>218</v>
      </c>
      <c r="W2818" s="21"/>
      <c r="X2818" s="21">
        <v>2156</v>
      </c>
      <c r="Y2818" s="21"/>
      <c r="Z2818" s="21"/>
      <c r="AA2818" s="21"/>
      <c r="AB2818" s="21">
        <v>2375</v>
      </c>
      <c r="AC2818" s="21"/>
      <c r="AD2818" s="21"/>
      <c r="AE2818" s="21"/>
      <c r="AF2818" s="21"/>
      <c r="AG2818" s="21"/>
      <c r="AH2818" s="21"/>
      <c r="AI2818" s="21"/>
      <c r="AJ2818" s="21"/>
      <c r="AK2818" s="21"/>
      <c r="AL2818" s="21"/>
      <c r="AM2818" s="21"/>
      <c r="AN2818" s="21">
        <v>218</v>
      </c>
      <c r="AO2818" s="21">
        <v>2157</v>
      </c>
      <c r="AP2818" s="21"/>
      <c r="AQ2818" s="21"/>
      <c r="AR2818" s="21"/>
      <c r="AS2818" s="21"/>
      <c r="AT2818" s="12" t="str">
        <f>HYPERLINK("http://www.openstreetmap.org/?mlat=35.4171&amp;mlon=45.6061&amp;zoom=12#map=12/35.4171/45.6061","Maplink1")</f>
        <v>Maplink1</v>
      </c>
      <c r="AU2818" s="12" t="str">
        <f>HYPERLINK("https://www.google.iq/maps/search/+35.4171,45.6061/@35.4171,45.6061,14z?hl=en","Maplink2")</f>
        <v>Maplink2</v>
      </c>
      <c r="AV2818" s="12" t="str">
        <f>HYPERLINK("http://www.bing.com/maps/?lvl=14&amp;sty=h&amp;cp=35.4171~45.6061&amp;sp=point.35.4171_45.6061","Maplink3")</f>
        <v>Maplink3</v>
      </c>
    </row>
    <row r="2819" spans="1:48" ht="15" customHeight="1" x14ac:dyDescent="0.25">
      <c r="A2819" s="19">
        <v>21279</v>
      </c>
      <c r="B2819" s="20" t="s">
        <v>24</v>
      </c>
      <c r="C2819" s="20" t="s">
        <v>4846</v>
      </c>
      <c r="D2819" s="20" t="s">
        <v>5823</v>
      </c>
      <c r="E2819" s="20" t="s">
        <v>5824</v>
      </c>
      <c r="F2819" s="20">
        <v>35.569490559999998</v>
      </c>
      <c r="G2819" s="20">
        <v>45.423968590000001</v>
      </c>
      <c r="H2819" s="22">
        <v>76</v>
      </c>
      <c r="I2819" s="22">
        <v>456</v>
      </c>
      <c r="J2819" s="21">
        <v>30</v>
      </c>
      <c r="K2819" s="21">
        <v>1</v>
      </c>
      <c r="L2819" s="21">
        <v>24</v>
      </c>
      <c r="M2819" s="21"/>
      <c r="N2819" s="21"/>
      <c r="O2819" s="21">
        <v>2</v>
      </c>
      <c r="P2819" s="21"/>
      <c r="Q2819" s="21"/>
      <c r="R2819" s="21">
        <v>13</v>
      </c>
      <c r="S2819" s="21"/>
      <c r="T2819" s="21"/>
      <c r="U2819" s="21"/>
      <c r="V2819" s="21">
        <v>3</v>
      </c>
      <c r="W2819" s="21"/>
      <c r="X2819" s="21">
        <v>3</v>
      </c>
      <c r="Y2819" s="21"/>
      <c r="Z2819" s="21"/>
      <c r="AA2819" s="21"/>
      <c r="AB2819" s="21"/>
      <c r="AC2819" s="21"/>
      <c r="AD2819" s="21"/>
      <c r="AE2819" s="21"/>
      <c r="AF2819" s="21"/>
      <c r="AG2819" s="21"/>
      <c r="AH2819" s="21">
        <v>76</v>
      </c>
      <c r="AI2819" s="21"/>
      <c r="AJ2819" s="21"/>
      <c r="AK2819" s="21"/>
      <c r="AL2819" s="21">
        <v>9</v>
      </c>
      <c r="AM2819" s="21">
        <v>15</v>
      </c>
      <c r="AN2819" s="21">
        <v>3</v>
      </c>
      <c r="AO2819" s="21">
        <v>14</v>
      </c>
      <c r="AP2819" s="21">
        <v>5</v>
      </c>
      <c r="AQ2819" s="21">
        <v>6</v>
      </c>
      <c r="AR2819" s="21">
        <v>12</v>
      </c>
      <c r="AS2819" s="21">
        <v>12</v>
      </c>
      <c r="AT2819" s="12" t="str">
        <f>HYPERLINK("http://www.openstreetmap.org/?mlat=35.5695&amp;mlon=45.424&amp;zoom=12#map=12/35.5695/45.424","Maplink1")</f>
        <v>Maplink1</v>
      </c>
      <c r="AU2819" s="12" t="str">
        <f>HYPERLINK("https://www.google.iq/maps/search/+35.5695,45.424/@35.5695,45.424,14z?hl=en","Maplink2")</f>
        <v>Maplink2</v>
      </c>
      <c r="AV2819" s="12" t="str">
        <f>HYPERLINK("http://www.bing.com/maps/?lvl=14&amp;sty=h&amp;cp=35.5695~45.424&amp;sp=point.35.5695_45.424","Maplink3")</f>
        <v>Maplink3</v>
      </c>
    </row>
    <row r="2820" spans="1:48" ht="15" customHeight="1" x14ac:dyDescent="0.25">
      <c r="A2820" s="19">
        <v>25874</v>
      </c>
      <c r="B2820" s="20" t="s">
        <v>24</v>
      </c>
      <c r="C2820" s="20" t="s">
        <v>4846</v>
      </c>
      <c r="D2820" s="20" t="s">
        <v>4878</v>
      </c>
      <c r="E2820" s="20" t="s">
        <v>4879</v>
      </c>
      <c r="F2820" s="20">
        <v>35.582240259999999</v>
      </c>
      <c r="G2820" s="20">
        <v>45.157028220000001</v>
      </c>
      <c r="H2820" s="22">
        <v>21</v>
      </c>
      <c r="I2820" s="22">
        <v>126</v>
      </c>
      <c r="J2820" s="21"/>
      <c r="K2820" s="21">
        <v>1</v>
      </c>
      <c r="L2820" s="21">
        <v>3</v>
      </c>
      <c r="M2820" s="21"/>
      <c r="N2820" s="21"/>
      <c r="O2820" s="21">
        <v>9</v>
      </c>
      <c r="P2820" s="21"/>
      <c r="Q2820" s="21"/>
      <c r="R2820" s="21">
        <v>4</v>
      </c>
      <c r="S2820" s="21"/>
      <c r="T2820" s="21"/>
      <c r="U2820" s="21"/>
      <c r="V2820" s="21">
        <v>4</v>
      </c>
      <c r="W2820" s="21"/>
      <c r="X2820" s="21"/>
      <c r="Y2820" s="21"/>
      <c r="Z2820" s="21"/>
      <c r="AA2820" s="21"/>
      <c r="AB2820" s="21"/>
      <c r="AC2820" s="21"/>
      <c r="AD2820" s="21"/>
      <c r="AE2820" s="21"/>
      <c r="AF2820" s="21"/>
      <c r="AG2820" s="21"/>
      <c r="AH2820" s="21">
        <v>21</v>
      </c>
      <c r="AI2820" s="21"/>
      <c r="AJ2820" s="21"/>
      <c r="AK2820" s="21"/>
      <c r="AL2820" s="21"/>
      <c r="AM2820" s="21">
        <v>7</v>
      </c>
      <c r="AN2820" s="21">
        <v>4</v>
      </c>
      <c r="AO2820" s="21">
        <v>5</v>
      </c>
      <c r="AP2820" s="21"/>
      <c r="AQ2820" s="21"/>
      <c r="AR2820" s="21"/>
      <c r="AS2820" s="21">
        <v>5</v>
      </c>
      <c r="AT2820" s="12" t="str">
        <f>HYPERLINK("http://www.openstreetmap.org/?mlat=35.5822&amp;mlon=45.157&amp;zoom=12#map=12/35.5822/45.157","Maplink1")</f>
        <v>Maplink1</v>
      </c>
      <c r="AU2820" s="12" t="str">
        <f>HYPERLINK("https://www.google.iq/maps/search/+35.5822,45.157/@35.5822,45.157,14z?hl=en","Maplink2")</f>
        <v>Maplink2</v>
      </c>
      <c r="AV2820" s="12" t="str">
        <f>HYPERLINK("http://www.bing.com/maps/?lvl=14&amp;sty=h&amp;cp=35.5822~45.157&amp;sp=point.35.5822_45.157","Maplink3")</f>
        <v>Maplink3</v>
      </c>
    </row>
    <row r="2821" spans="1:48" ht="15" customHeight="1" x14ac:dyDescent="0.25">
      <c r="A2821" s="19">
        <v>5737</v>
      </c>
      <c r="B2821" s="20" t="s">
        <v>24</v>
      </c>
      <c r="C2821" s="20" t="s">
        <v>4846</v>
      </c>
      <c r="D2821" s="20" t="s">
        <v>4704</v>
      </c>
      <c r="E2821" s="20" t="s">
        <v>4705</v>
      </c>
      <c r="F2821" s="20">
        <v>35.553955469999998</v>
      </c>
      <c r="G2821" s="20">
        <v>45.379004569999999</v>
      </c>
      <c r="H2821" s="22">
        <v>177</v>
      </c>
      <c r="I2821" s="22">
        <v>1062</v>
      </c>
      <c r="J2821" s="21">
        <v>50</v>
      </c>
      <c r="K2821" s="21">
        <v>2</v>
      </c>
      <c r="L2821" s="21">
        <v>31</v>
      </c>
      <c r="M2821" s="21"/>
      <c r="N2821" s="21"/>
      <c r="O2821" s="21">
        <v>19</v>
      </c>
      <c r="P2821" s="21"/>
      <c r="Q2821" s="21"/>
      <c r="R2821" s="21">
        <v>9</v>
      </c>
      <c r="S2821" s="21"/>
      <c r="T2821" s="21"/>
      <c r="U2821" s="21"/>
      <c r="V2821" s="21">
        <v>15</v>
      </c>
      <c r="W2821" s="21"/>
      <c r="X2821" s="21">
        <v>51</v>
      </c>
      <c r="Y2821" s="21"/>
      <c r="Z2821" s="21"/>
      <c r="AA2821" s="21"/>
      <c r="AB2821" s="21"/>
      <c r="AC2821" s="21"/>
      <c r="AD2821" s="21"/>
      <c r="AE2821" s="21"/>
      <c r="AF2821" s="21"/>
      <c r="AG2821" s="21"/>
      <c r="AH2821" s="21">
        <v>177</v>
      </c>
      <c r="AI2821" s="21"/>
      <c r="AJ2821" s="21"/>
      <c r="AK2821" s="21"/>
      <c r="AL2821" s="21"/>
      <c r="AM2821" s="21">
        <v>6</v>
      </c>
      <c r="AN2821" s="21">
        <v>1</v>
      </c>
      <c r="AO2821" s="21">
        <v>23</v>
      </c>
      <c r="AP2821" s="21">
        <v>30</v>
      </c>
      <c r="AQ2821" s="21">
        <v>37</v>
      </c>
      <c r="AR2821" s="21">
        <v>46</v>
      </c>
      <c r="AS2821" s="21">
        <v>34</v>
      </c>
      <c r="AT2821" s="12" t="str">
        <f>HYPERLINK("http://www.openstreetmap.org/?mlat=35.554&amp;mlon=45.379&amp;zoom=12#map=12/35.554/45.379","Maplink1")</f>
        <v>Maplink1</v>
      </c>
      <c r="AU2821" s="12" t="str">
        <f>HYPERLINK("https://www.google.iq/maps/search/+35.554,45.379/@35.554,45.379,14z?hl=en","Maplink2")</f>
        <v>Maplink2</v>
      </c>
      <c r="AV2821" s="12" t="str">
        <f>HYPERLINK("http://www.bing.com/maps/?lvl=14&amp;sty=h&amp;cp=35.554~45.379&amp;sp=point.35.554_45.379","Maplink3")</f>
        <v>Maplink3</v>
      </c>
    </row>
    <row r="2822" spans="1:48" ht="15" customHeight="1" x14ac:dyDescent="0.25">
      <c r="A2822" s="19">
        <v>33358</v>
      </c>
      <c r="B2822" s="20" t="s">
        <v>24</v>
      </c>
      <c r="C2822" s="20" t="s">
        <v>4846</v>
      </c>
      <c r="D2822" s="20" t="s">
        <v>5825</v>
      </c>
      <c r="E2822" s="20" t="s">
        <v>5895</v>
      </c>
      <c r="F2822" s="20">
        <v>35.550609999999999</v>
      </c>
      <c r="G2822" s="20">
        <v>45.412950000000002</v>
      </c>
      <c r="H2822" s="22">
        <v>49</v>
      </c>
      <c r="I2822" s="22">
        <v>294</v>
      </c>
      <c r="J2822" s="21">
        <v>10</v>
      </c>
      <c r="K2822" s="21">
        <v>1</v>
      </c>
      <c r="L2822" s="21">
        <v>14</v>
      </c>
      <c r="M2822" s="21"/>
      <c r="N2822" s="21"/>
      <c r="O2822" s="21">
        <v>13</v>
      </c>
      <c r="P2822" s="21"/>
      <c r="Q2822" s="21"/>
      <c r="R2822" s="21">
        <v>1</v>
      </c>
      <c r="S2822" s="21"/>
      <c r="T2822" s="21"/>
      <c r="U2822" s="21"/>
      <c r="V2822" s="21">
        <v>2</v>
      </c>
      <c r="W2822" s="21"/>
      <c r="X2822" s="21">
        <v>8</v>
      </c>
      <c r="Y2822" s="21"/>
      <c r="Z2822" s="21"/>
      <c r="AA2822" s="21"/>
      <c r="AB2822" s="21"/>
      <c r="AC2822" s="21"/>
      <c r="AD2822" s="21"/>
      <c r="AE2822" s="21"/>
      <c r="AF2822" s="21"/>
      <c r="AG2822" s="21"/>
      <c r="AH2822" s="21">
        <v>49</v>
      </c>
      <c r="AI2822" s="21"/>
      <c r="AJ2822" s="21"/>
      <c r="AK2822" s="21"/>
      <c r="AL2822" s="21">
        <v>4</v>
      </c>
      <c r="AM2822" s="21">
        <v>4</v>
      </c>
      <c r="AN2822" s="21">
        <v>2</v>
      </c>
      <c r="AO2822" s="21">
        <v>8</v>
      </c>
      <c r="AP2822" s="21">
        <v>10</v>
      </c>
      <c r="AQ2822" s="21">
        <v>3</v>
      </c>
      <c r="AR2822" s="21">
        <v>10</v>
      </c>
      <c r="AS2822" s="21">
        <v>8</v>
      </c>
      <c r="AT2822" s="12" t="str">
        <f>HYPERLINK("http://www.openstreetmap.org/?mlat=35.5506&amp;mlon=45.413&amp;zoom=12#map=12/35.5506/45.413","Maplink1")</f>
        <v>Maplink1</v>
      </c>
      <c r="AU2822" s="12" t="str">
        <f>HYPERLINK("https://www.google.iq/maps/search/+35.5506,45.413/@35.5506,45.413,14z?hl=en","Maplink2")</f>
        <v>Maplink2</v>
      </c>
      <c r="AV2822" s="12" t="str">
        <f>HYPERLINK("http://www.bing.com/maps/?lvl=14&amp;sty=h&amp;cp=35.5506~45.413&amp;sp=point.35.5506_45.413","Maplink3")</f>
        <v>Maplink3</v>
      </c>
    </row>
    <row r="2823" spans="1:48" ht="15" customHeight="1" x14ac:dyDescent="0.25">
      <c r="A2823" s="19">
        <v>33414</v>
      </c>
      <c r="B2823" s="20" t="s">
        <v>24</v>
      </c>
      <c r="C2823" s="20" t="s">
        <v>4846</v>
      </c>
      <c r="D2823" s="20" t="s">
        <v>5951</v>
      </c>
      <c r="E2823" s="20" t="s">
        <v>5952</v>
      </c>
      <c r="F2823" s="20">
        <v>35.522840000000002</v>
      </c>
      <c r="G2823" s="20">
        <v>45.428840000000001</v>
      </c>
      <c r="H2823" s="22">
        <v>18</v>
      </c>
      <c r="I2823" s="22">
        <v>108</v>
      </c>
      <c r="J2823" s="21"/>
      <c r="K2823" s="21">
        <v>7</v>
      </c>
      <c r="L2823" s="21">
        <v>3</v>
      </c>
      <c r="M2823" s="21"/>
      <c r="N2823" s="21"/>
      <c r="O2823" s="21">
        <v>6</v>
      </c>
      <c r="P2823" s="21"/>
      <c r="Q2823" s="21"/>
      <c r="R2823" s="21"/>
      <c r="S2823" s="21"/>
      <c r="T2823" s="21"/>
      <c r="U2823" s="21"/>
      <c r="V2823" s="21">
        <v>1</v>
      </c>
      <c r="W2823" s="21"/>
      <c r="X2823" s="21">
        <v>1</v>
      </c>
      <c r="Y2823" s="21"/>
      <c r="Z2823" s="21"/>
      <c r="AA2823" s="21"/>
      <c r="AB2823" s="21"/>
      <c r="AC2823" s="21"/>
      <c r="AD2823" s="21"/>
      <c r="AE2823" s="21"/>
      <c r="AF2823" s="21"/>
      <c r="AG2823" s="21"/>
      <c r="AH2823" s="21">
        <v>18</v>
      </c>
      <c r="AI2823" s="21"/>
      <c r="AJ2823" s="21"/>
      <c r="AK2823" s="21"/>
      <c r="AL2823" s="21">
        <v>3</v>
      </c>
      <c r="AM2823" s="21">
        <v>14</v>
      </c>
      <c r="AN2823" s="21"/>
      <c r="AO2823" s="21"/>
      <c r="AP2823" s="21"/>
      <c r="AQ2823" s="21"/>
      <c r="AR2823" s="21"/>
      <c r="AS2823" s="21">
        <v>1</v>
      </c>
      <c r="AT2823" s="12" t="str">
        <f>HYPERLINK("http://www.openstreetmap.org/?mlat=35.5228&amp;mlon=45.4288&amp;zoom=12#map=12/35.5228/45.4288","Maplink1")</f>
        <v>Maplink1</v>
      </c>
      <c r="AU2823" s="12" t="str">
        <f>HYPERLINK("https://www.google.iq/maps/search/+35.5228,45.4288/@35.5228,45.4288,14z?hl=en","Maplink2")</f>
        <v>Maplink2</v>
      </c>
      <c r="AV2823" s="12" t="str">
        <f>HYPERLINK("http://www.bing.com/maps/?lvl=14&amp;sty=h&amp;cp=35.5228~45.4288&amp;sp=point.35.5228_45.4288","Maplink3")</f>
        <v>Maplink3</v>
      </c>
    </row>
    <row r="2824" spans="1:48" ht="15" customHeight="1" x14ac:dyDescent="0.25">
      <c r="A2824" s="19">
        <v>21202</v>
      </c>
      <c r="B2824" s="20" t="s">
        <v>24</v>
      </c>
      <c r="C2824" s="20" t="s">
        <v>4846</v>
      </c>
      <c r="D2824" s="20" t="s">
        <v>1951</v>
      </c>
      <c r="E2824" s="20" t="s">
        <v>4492</v>
      </c>
      <c r="F2824" s="20">
        <v>35.561353580000002</v>
      </c>
      <c r="G2824" s="20">
        <v>45.465114120000003</v>
      </c>
      <c r="H2824" s="22">
        <v>155</v>
      </c>
      <c r="I2824" s="22">
        <v>930</v>
      </c>
      <c r="J2824" s="21">
        <v>9</v>
      </c>
      <c r="K2824" s="21">
        <v>52</v>
      </c>
      <c r="L2824" s="21">
        <v>24</v>
      </c>
      <c r="M2824" s="21"/>
      <c r="N2824" s="21"/>
      <c r="O2824" s="21">
        <v>15</v>
      </c>
      <c r="P2824" s="21"/>
      <c r="Q2824" s="21"/>
      <c r="R2824" s="21"/>
      <c r="S2824" s="21"/>
      <c r="T2824" s="21"/>
      <c r="U2824" s="21"/>
      <c r="V2824" s="21">
        <v>15</v>
      </c>
      <c r="W2824" s="21"/>
      <c r="X2824" s="21">
        <v>40</v>
      </c>
      <c r="Y2824" s="21"/>
      <c r="Z2824" s="21"/>
      <c r="AA2824" s="21"/>
      <c r="AB2824" s="21"/>
      <c r="AC2824" s="21"/>
      <c r="AD2824" s="21"/>
      <c r="AE2824" s="21"/>
      <c r="AF2824" s="21"/>
      <c r="AG2824" s="21"/>
      <c r="AH2824" s="21">
        <v>155</v>
      </c>
      <c r="AI2824" s="21"/>
      <c r="AJ2824" s="21"/>
      <c r="AK2824" s="21"/>
      <c r="AL2824" s="21">
        <v>24</v>
      </c>
      <c r="AM2824" s="21">
        <v>40</v>
      </c>
      <c r="AN2824" s="21">
        <v>10</v>
      </c>
      <c r="AO2824" s="21">
        <v>28</v>
      </c>
      <c r="AP2824" s="21">
        <v>14</v>
      </c>
      <c r="AQ2824" s="21">
        <v>10</v>
      </c>
      <c r="AR2824" s="21">
        <v>9</v>
      </c>
      <c r="AS2824" s="21">
        <v>20</v>
      </c>
      <c r="AT2824" s="12" t="str">
        <f>HYPERLINK("http://www.openstreetmap.org/?mlat=35.5614&amp;mlon=45.4651&amp;zoom=12#map=12/35.5614/45.4651","Maplink1")</f>
        <v>Maplink1</v>
      </c>
      <c r="AU2824" s="12" t="str">
        <f>HYPERLINK("https://www.google.iq/maps/search/+35.5614,45.4651/@35.5614,45.4651,14z?hl=en","Maplink2")</f>
        <v>Maplink2</v>
      </c>
      <c r="AV2824" s="12" t="str">
        <f>HYPERLINK("http://www.bing.com/maps/?lvl=14&amp;sty=h&amp;cp=35.5614~45.4651&amp;sp=point.35.5614_45.4651","Maplink3")</f>
        <v>Maplink3</v>
      </c>
    </row>
    <row r="2825" spans="1:48" ht="15" customHeight="1" x14ac:dyDescent="0.25">
      <c r="A2825" s="19">
        <v>25873</v>
      </c>
      <c r="B2825" s="20" t="s">
        <v>24</v>
      </c>
      <c r="C2825" s="20" t="s">
        <v>4846</v>
      </c>
      <c r="D2825" s="20" t="s">
        <v>4880</v>
      </c>
      <c r="E2825" s="20" t="s">
        <v>4881</v>
      </c>
      <c r="F2825" s="20">
        <v>35.602616279999999</v>
      </c>
      <c r="G2825" s="20">
        <v>45.129882629999997</v>
      </c>
      <c r="H2825" s="22">
        <v>58</v>
      </c>
      <c r="I2825" s="22">
        <v>348</v>
      </c>
      <c r="J2825" s="21">
        <v>5</v>
      </c>
      <c r="K2825" s="21"/>
      <c r="L2825" s="21">
        <v>10</v>
      </c>
      <c r="M2825" s="21"/>
      <c r="N2825" s="21"/>
      <c r="O2825" s="21">
        <v>3</v>
      </c>
      <c r="P2825" s="21"/>
      <c r="Q2825" s="21"/>
      <c r="R2825" s="21">
        <v>20</v>
      </c>
      <c r="S2825" s="21"/>
      <c r="T2825" s="21"/>
      <c r="U2825" s="21"/>
      <c r="V2825" s="21">
        <v>10</v>
      </c>
      <c r="W2825" s="21"/>
      <c r="X2825" s="21">
        <v>10</v>
      </c>
      <c r="Y2825" s="21"/>
      <c r="Z2825" s="21"/>
      <c r="AA2825" s="21"/>
      <c r="AB2825" s="21"/>
      <c r="AC2825" s="21"/>
      <c r="AD2825" s="21"/>
      <c r="AE2825" s="21"/>
      <c r="AF2825" s="21"/>
      <c r="AG2825" s="21"/>
      <c r="AH2825" s="21">
        <v>58</v>
      </c>
      <c r="AI2825" s="21"/>
      <c r="AJ2825" s="21"/>
      <c r="AK2825" s="21"/>
      <c r="AL2825" s="21">
        <v>1</v>
      </c>
      <c r="AM2825" s="21">
        <v>15</v>
      </c>
      <c r="AN2825" s="21">
        <v>5</v>
      </c>
      <c r="AO2825" s="21">
        <v>6</v>
      </c>
      <c r="AP2825" s="21">
        <v>1</v>
      </c>
      <c r="AQ2825" s="21">
        <v>3</v>
      </c>
      <c r="AR2825" s="21"/>
      <c r="AS2825" s="21">
        <v>27</v>
      </c>
      <c r="AT2825" s="12" t="str">
        <f>HYPERLINK("http://www.openstreetmap.org/?mlat=35.6026&amp;mlon=45.1299&amp;zoom=12#map=12/35.6026/45.1299","Maplink1")</f>
        <v>Maplink1</v>
      </c>
      <c r="AU2825" s="12" t="str">
        <f>HYPERLINK("https://www.google.iq/maps/search/+35.6026,45.1299/@35.6026,45.1299,14z?hl=en","Maplink2")</f>
        <v>Maplink2</v>
      </c>
      <c r="AV2825" s="12" t="str">
        <f>HYPERLINK("http://www.bing.com/maps/?lvl=14&amp;sty=h&amp;cp=35.6026~45.1299&amp;sp=point.35.6026_45.1299","Maplink3")</f>
        <v>Maplink3</v>
      </c>
    </row>
    <row r="2826" spans="1:48" ht="15" customHeight="1" x14ac:dyDescent="0.25">
      <c r="A2826" s="19">
        <v>25571</v>
      </c>
      <c r="B2826" s="20" t="s">
        <v>24</v>
      </c>
      <c r="C2826" s="20" t="s">
        <v>4846</v>
      </c>
      <c r="D2826" s="20" t="s">
        <v>5960</v>
      </c>
      <c r="E2826" s="20" t="s">
        <v>5961</v>
      </c>
      <c r="F2826" s="20">
        <v>35.583838350000001</v>
      </c>
      <c r="G2826" s="20">
        <v>45.307418730000002</v>
      </c>
      <c r="H2826" s="22">
        <v>102</v>
      </c>
      <c r="I2826" s="22">
        <v>612</v>
      </c>
      <c r="J2826" s="21">
        <v>19</v>
      </c>
      <c r="K2826" s="21">
        <v>4</v>
      </c>
      <c r="L2826" s="21">
        <v>10</v>
      </c>
      <c r="M2826" s="21"/>
      <c r="N2826" s="21"/>
      <c r="O2826" s="21">
        <v>11</v>
      </c>
      <c r="P2826" s="21"/>
      <c r="Q2826" s="21"/>
      <c r="R2826" s="21">
        <v>24</v>
      </c>
      <c r="S2826" s="21"/>
      <c r="T2826" s="21"/>
      <c r="U2826" s="21"/>
      <c r="V2826" s="21">
        <v>16</v>
      </c>
      <c r="W2826" s="21"/>
      <c r="X2826" s="21">
        <v>18</v>
      </c>
      <c r="Y2826" s="21"/>
      <c r="Z2826" s="21"/>
      <c r="AA2826" s="21"/>
      <c r="AB2826" s="21"/>
      <c r="AC2826" s="21"/>
      <c r="AD2826" s="21"/>
      <c r="AE2826" s="21"/>
      <c r="AF2826" s="21"/>
      <c r="AG2826" s="21"/>
      <c r="AH2826" s="21">
        <v>102</v>
      </c>
      <c r="AI2826" s="21"/>
      <c r="AJ2826" s="21"/>
      <c r="AK2826" s="21"/>
      <c r="AL2826" s="21">
        <v>16</v>
      </c>
      <c r="AM2826" s="21">
        <v>24</v>
      </c>
      <c r="AN2826" s="21">
        <v>18</v>
      </c>
      <c r="AO2826" s="21">
        <v>14</v>
      </c>
      <c r="AP2826" s="21"/>
      <c r="AQ2826" s="21"/>
      <c r="AR2826" s="21"/>
      <c r="AS2826" s="21">
        <v>30</v>
      </c>
      <c r="AT2826" s="12" t="str">
        <f>HYPERLINK("http://www.openstreetmap.org/?mlat=35.5838&amp;mlon=45.3074&amp;zoom=12#map=12/35.5838/45.3074","Maplink1")</f>
        <v>Maplink1</v>
      </c>
      <c r="AU2826" s="12" t="str">
        <f>HYPERLINK("https://www.google.iq/maps/search/+35.5838,45.3074/@35.5838,45.3074,14z?hl=en","Maplink2")</f>
        <v>Maplink2</v>
      </c>
      <c r="AV2826" s="12" t="str">
        <f>HYPERLINK("http://www.bing.com/maps/?lvl=14&amp;sty=h&amp;cp=35.5838~45.3074&amp;sp=point.35.5838_45.3074","Maplink3")</f>
        <v>Maplink3</v>
      </c>
    </row>
    <row r="2827" spans="1:48" ht="15" customHeight="1" x14ac:dyDescent="0.25">
      <c r="A2827" s="19">
        <v>33381</v>
      </c>
      <c r="B2827" s="20" t="s">
        <v>24</v>
      </c>
      <c r="C2827" s="20" t="s">
        <v>4846</v>
      </c>
      <c r="D2827" s="20" t="s">
        <v>5897</v>
      </c>
      <c r="E2827" s="20" t="s">
        <v>5898</v>
      </c>
      <c r="F2827" s="20">
        <v>35.51388</v>
      </c>
      <c r="G2827" s="20">
        <v>45.353050000000003</v>
      </c>
      <c r="H2827" s="22">
        <v>62</v>
      </c>
      <c r="I2827" s="22">
        <v>372</v>
      </c>
      <c r="J2827" s="21">
        <v>1</v>
      </c>
      <c r="K2827" s="21"/>
      <c r="L2827" s="21">
        <v>4</v>
      </c>
      <c r="M2827" s="21"/>
      <c r="N2827" s="21"/>
      <c r="O2827" s="21"/>
      <c r="P2827" s="21"/>
      <c r="Q2827" s="21"/>
      <c r="R2827" s="21">
        <v>10</v>
      </c>
      <c r="S2827" s="21"/>
      <c r="T2827" s="21"/>
      <c r="U2827" s="21"/>
      <c r="V2827" s="21">
        <v>43</v>
      </c>
      <c r="W2827" s="21"/>
      <c r="X2827" s="21">
        <v>4</v>
      </c>
      <c r="Y2827" s="21"/>
      <c r="Z2827" s="21"/>
      <c r="AA2827" s="21"/>
      <c r="AB2827" s="21"/>
      <c r="AC2827" s="21"/>
      <c r="AD2827" s="21"/>
      <c r="AE2827" s="21"/>
      <c r="AF2827" s="21"/>
      <c r="AG2827" s="21"/>
      <c r="AH2827" s="21">
        <v>62</v>
      </c>
      <c r="AI2827" s="21"/>
      <c r="AJ2827" s="21"/>
      <c r="AK2827" s="21"/>
      <c r="AL2827" s="21">
        <v>1</v>
      </c>
      <c r="AM2827" s="21">
        <v>6</v>
      </c>
      <c r="AN2827" s="21">
        <v>45</v>
      </c>
      <c r="AO2827" s="21"/>
      <c r="AP2827" s="21"/>
      <c r="AQ2827" s="21"/>
      <c r="AR2827" s="21"/>
      <c r="AS2827" s="21">
        <v>10</v>
      </c>
      <c r="AT2827" s="12" t="str">
        <f>HYPERLINK("http://www.openstreetmap.org/?mlat=35.5139&amp;mlon=45.3531&amp;zoom=12#map=12/35.5139/45.3531","Maplink1")</f>
        <v>Maplink1</v>
      </c>
      <c r="AU2827" s="12" t="str">
        <f>HYPERLINK("https://www.google.iq/maps/search/+35.5139,45.3531/@35.5139,45.3531,14z?hl=en","Maplink2")</f>
        <v>Maplink2</v>
      </c>
      <c r="AV2827" s="12" t="str">
        <f>HYPERLINK("http://www.bing.com/maps/?lvl=14&amp;sty=h&amp;cp=35.5139~45.3531&amp;sp=point.35.5139_45.3531","Maplink3")</f>
        <v>Maplink3</v>
      </c>
    </row>
    <row r="2828" spans="1:48" ht="15" customHeight="1" x14ac:dyDescent="0.25">
      <c r="A2828" s="19">
        <v>31959</v>
      </c>
      <c r="B2828" s="20" t="s">
        <v>24</v>
      </c>
      <c r="C2828" s="20" t="s">
        <v>4846</v>
      </c>
      <c r="D2828" s="20" t="s">
        <v>4882</v>
      </c>
      <c r="E2828" s="20" t="s">
        <v>4883</v>
      </c>
      <c r="F2828" s="20">
        <v>35.573810000000002</v>
      </c>
      <c r="G2828" s="20">
        <v>45.454140000000002</v>
      </c>
      <c r="H2828" s="22">
        <v>20</v>
      </c>
      <c r="I2828" s="22">
        <v>120</v>
      </c>
      <c r="J2828" s="21">
        <v>9</v>
      </c>
      <c r="K2828" s="21"/>
      <c r="L2828" s="21">
        <v>3</v>
      </c>
      <c r="M2828" s="21"/>
      <c r="N2828" s="21"/>
      <c r="O2828" s="21">
        <v>1</v>
      </c>
      <c r="P2828" s="21"/>
      <c r="Q2828" s="21"/>
      <c r="R2828" s="21"/>
      <c r="S2828" s="21"/>
      <c r="T2828" s="21"/>
      <c r="U2828" s="21"/>
      <c r="V2828" s="21">
        <v>2</v>
      </c>
      <c r="W2828" s="21"/>
      <c r="X2828" s="21">
        <v>5</v>
      </c>
      <c r="Y2828" s="21"/>
      <c r="Z2828" s="21"/>
      <c r="AA2828" s="21"/>
      <c r="AB2828" s="21"/>
      <c r="AC2828" s="21"/>
      <c r="AD2828" s="21"/>
      <c r="AE2828" s="21"/>
      <c r="AF2828" s="21"/>
      <c r="AG2828" s="21"/>
      <c r="AH2828" s="21">
        <v>20</v>
      </c>
      <c r="AI2828" s="21"/>
      <c r="AJ2828" s="21"/>
      <c r="AK2828" s="21"/>
      <c r="AL2828" s="21">
        <v>1</v>
      </c>
      <c r="AM2828" s="21">
        <v>3</v>
      </c>
      <c r="AN2828" s="21"/>
      <c r="AO2828" s="21">
        <v>4</v>
      </c>
      <c r="AP2828" s="21">
        <v>4</v>
      </c>
      <c r="AQ2828" s="21">
        <v>1</v>
      </c>
      <c r="AR2828" s="21">
        <v>6</v>
      </c>
      <c r="AS2828" s="21">
        <v>1</v>
      </c>
      <c r="AT2828" s="12" t="str">
        <f>HYPERLINK("http://www.openstreetmap.org/?mlat=35.5738&amp;mlon=45.4541&amp;zoom=12#map=12/35.5738/45.4541","Maplink1")</f>
        <v>Maplink1</v>
      </c>
      <c r="AU2828" s="12" t="str">
        <f>HYPERLINK("https://www.google.iq/maps/search/+35.5738,45.4541/@35.5738,45.4541,14z?hl=en","Maplink2")</f>
        <v>Maplink2</v>
      </c>
      <c r="AV2828" s="12" t="str">
        <f>HYPERLINK("http://www.bing.com/maps/?lvl=14&amp;sty=h&amp;cp=35.5738~45.4541&amp;sp=point.35.5738_45.4541","Maplink3")</f>
        <v>Maplink3</v>
      </c>
    </row>
    <row r="2829" spans="1:48" ht="15" customHeight="1" x14ac:dyDescent="0.25">
      <c r="A2829" s="19">
        <v>31986</v>
      </c>
      <c r="B2829" s="20" t="s">
        <v>24</v>
      </c>
      <c r="C2829" s="20" t="s">
        <v>4846</v>
      </c>
      <c r="D2829" s="20" t="s">
        <v>4884</v>
      </c>
      <c r="E2829" s="20" t="s">
        <v>4885</v>
      </c>
      <c r="F2829" s="20">
        <v>35.580750000000002</v>
      </c>
      <c r="G2829" s="20">
        <v>45.42107</v>
      </c>
      <c r="H2829" s="22">
        <v>30</v>
      </c>
      <c r="I2829" s="22">
        <v>180</v>
      </c>
      <c r="J2829" s="21">
        <v>11</v>
      </c>
      <c r="K2829" s="21">
        <v>2</v>
      </c>
      <c r="L2829" s="21">
        <v>9</v>
      </c>
      <c r="M2829" s="21"/>
      <c r="N2829" s="21"/>
      <c r="O2829" s="21">
        <v>2</v>
      </c>
      <c r="P2829" s="21"/>
      <c r="Q2829" s="21"/>
      <c r="R2829" s="21"/>
      <c r="S2829" s="21"/>
      <c r="T2829" s="21"/>
      <c r="U2829" s="21"/>
      <c r="V2829" s="21">
        <v>2</v>
      </c>
      <c r="W2829" s="21"/>
      <c r="X2829" s="21">
        <v>4</v>
      </c>
      <c r="Y2829" s="21"/>
      <c r="Z2829" s="21"/>
      <c r="AA2829" s="21"/>
      <c r="AB2829" s="21"/>
      <c r="AC2829" s="21"/>
      <c r="AD2829" s="21"/>
      <c r="AE2829" s="21"/>
      <c r="AF2829" s="21"/>
      <c r="AG2829" s="21"/>
      <c r="AH2829" s="21">
        <v>30</v>
      </c>
      <c r="AI2829" s="21"/>
      <c r="AJ2829" s="21"/>
      <c r="AK2829" s="21"/>
      <c r="AL2829" s="21">
        <v>4</v>
      </c>
      <c r="AM2829" s="21">
        <v>6</v>
      </c>
      <c r="AN2829" s="21"/>
      <c r="AO2829" s="21">
        <v>9</v>
      </c>
      <c r="AP2829" s="21">
        <v>2</v>
      </c>
      <c r="AQ2829" s="21">
        <v>9</v>
      </c>
      <c r="AR2829" s="21"/>
      <c r="AS2829" s="21"/>
      <c r="AT2829" s="12" t="str">
        <f>HYPERLINK("http://www.openstreetmap.org/?mlat=35.5808&amp;mlon=45.4211&amp;zoom=12#map=12/35.5808/45.4211","Maplink1")</f>
        <v>Maplink1</v>
      </c>
      <c r="AU2829" s="12" t="str">
        <f>HYPERLINK("https://www.google.iq/maps/search/+35.5808,45.4211/@35.5808,45.4211,14z?hl=en","Maplink2")</f>
        <v>Maplink2</v>
      </c>
      <c r="AV2829" s="12" t="str">
        <f>HYPERLINK("http://www.bing.com/maps/?lvl=14&amp;sty=h&amp;cp=35.5808~45.4211&amp;sp=point.35.5808_45.4211","Maplink3")</f>
        <v>Maplink3</v>
      </c>
    </row>
    <row r="2830" spans="1:48" ht="15" customHeight="1" x14ac:dyDescent="0.25">
      <c r="A2830" s="19">
        <v>33353</v>
      </c>
      <c r="B2830" s="20" t="s">
        <v>24</v>
      </c>
      <c r="C2830" s="20" t="s">
        <v>4846</v>
      </c>
      <c r="D2830" s="20" t="s">
        <v>5826</v>
      </c>
      <c r="E2830" s="20" t="s">
        <v>5827</v>
      </c>
      <c r="F2830" s="20">
        <v>35.574809999999999</v>
      </c>
      <c r="G2830" s="20">
        <v>45.419060000000002</v>
      </c>
      <c r="H2830" s="22">
        <v>25</v>
      </c>
      <c r="I2830" s="22">
        <v>150</v>
      </c>
      <c r="J2830" s="21">
        <v>13</v>
      </c>
      <c r="K2830" s="21"/>
      <c r="L2830" s="21">
        <v>7</v>
      </c>
      <c r="M2830" s="21"/>
      <c r="N2830" s="21"/>
      <c r="O2830" s="21">
        <v>4</v>
      </c>
      <c r="P2830" s="21"/>
      <c r="Q2830" s="21"/>
      <c r="R2830" s="21"/>
      <c r="S2830" s="21"/>
      <c r="T2830" s="21"/>
      <c r="U2830" s="21"/>
      <c r="V2830" s="21"/>
      <c r="W2830" s="21"/>
      <c r="X2830" s="21">
        <v>1</v>
      </c>
      <c r="Y2830" s="21"/>
      <c r="Z2830" s="21"/>
      <c r="AA2830" s="21"/>
      <c r="AB2830" s="21"/>
      <c r="AC2830" s="21"/>
      <c r="AD2830" s="21"/>
      <c r="AE2830" s="21"/>
      <c r="AF2830" s="21"/>
      <c r="AG2830" s="21"/>
      <c r="AH2830" s="21">
        <v>25</v>
      </c>
      <c r="AI2830" s="21"/>
      <c r="AJ2830" s="21"/>
      <c r="AK2830" s="21"/>
      <c r="AL2830" s="21"/>
      <c r="AM2830" s="21"/>
      <c r="AN2830" s="21"/>
      <c r="AO2830" s="21">
        <v>7</v>
      </c>
      <c r="AP2830" s="21">
        <v>4</v>
      </c>
      <c r="AQ2830" s="21">
        <v>4</v>
      </c>
      <c r="AR2830" s="21">
        <v>10</v>
      </c>
      <c r="AS2830" s="21"/>
      <c r="AT2830" s="12" t="str">
        <f>HYPERLINK("http://www.openstreetmap.org/?mlat=35.5748&amp;mlon=45.4191&amp;zoom=12#map=12/35.5748/45.4191","Maplink1")</f>
        <v>Maplink1</v>
      </c>
      <c r="AU2830" s="12" t="str">
        <f>HYPERLINK("https://www.google.iq/maps/search/+35.5748,45.4191/@35.5748,45.4191,14z?hl=en","Maplink2")</f>
        <v>Maplink2</v>
      </c>
      <c r="AV2830" s="12" t="str">
        <f>HYPERLINK("http://www.bing.com/maps/?lvl=14&amp;sty=h&amp;cp=35.5748~45.4191&amp;sp=point.35.5748_45.4191","Maplink3")</f>
        <v>Maplink3</v>
      </c>
    </row>
    <row r="2831" spans="1:48" ht="15" customHeight="1" x14ac:dyDescent="0.25">
      <c r="A2831" s="19">
        <v>32003</v>
      </c>
      <c r="B2831" s="20" t="s">
        <v>24</v>
      </c>
      <c r="C2831" s="20" t="s">
        <v>4846</v>
      </c>
      <c r="D2831" s="20" t="s">
        <v>4886</v>
      </c>
      <c r="E2831" s="20" t="s">
        <v>4887</v>
      </c>
      <c r="F2831" s="20">
        <v>35.597340000000003</v>
      </c>
      <c r="G2831" s="20">
        <v>45.409970000000001</v>
      </c>
      <c r="H2831" s="22">
        <v>36</v>
      </c>
      <c r="I2831" s="22">
        <v>216</v>
      </c>
      <c r="J2831" s="21">
        <v>25</v>
      </c>
      <c r="K2831" s="21"/>
      <c r="L2831" s="21">
        <v>5</v>
      </c>
      <c r="M2831" s="21"/>
      <c r="N2831" s="21"/>
      <c r="O2831" s="21">
        <v>2</v>
      </c>
      <c r="P2831" s="21"/>
      <c r="Q2831" s="21"/>
      <c r="R2831" s="21"/>
      <c r="S2831" s="21"/>
      <c r="T2831" s="21"/>
      <c r="U2831" s="21"/>
      <c r="V2831" s="21">
        <v>2</v>
      </c>
      <c r="W2831" s="21"/>
      <c r="X2831" s="21">
        <v>2</v>
      </c>
      <c r="Y2831" s="21"/>
      <c r="Z2831" s="21"/>
      <c r="AA2831" s="21"/>
      <c r="AB2831" s="21"/>
      <c r="AC2831" s="21"/>
      <c r="AD2831" s="21"/>
      <c r="AE2831" s="21"/>
      <c r="AF2831" s="21"/>
      <c r="AG2831" s="21"/>
      <c r="AH2831" s="21">
        <v>36</v>
      </c>
      <c r="AI2831" s="21"/>
      <c r="AJ2831" s="21"/>
      <c r="AK2831" s="21"/>
      <c r="AL2831" s="21">
        <v>4</v>
      </c>
      <c r="AM2831" s="21">
        <v>10</v>
      </c>
      <c r="AN2831" s="21">
        <v>7</v>
      </c>
      <c r="AO2831" s="21">
        <v>6</v>
      </c>
      <c r="AP2831" s="21">
        <v>6</v>
      </c>
      <c r="AQ2831" s="21">
        <v>3</v>
      </c>
      <c r="AR2831" s="21"/>
      <c r="AS2831" s="21"/>
      <c r="AT2831" s="12" t="str">
        <f>HYPERLINK("http://www.openstreetmap.org/?mlat=35.5973&amp;mlon=45.41&amp;zoom=12#map=12/35.5973/45.41","Maplink1")</f>
        <v>Maplink1</v>
      </c>
      <c r="AU2831" s="12" t="str">
        <f>HYPERLINK("https://www.google.iq/maps/search/+35.5973,45.41/@35.5973,45.41,14z?hl=en","Maplink2")</f>
        <v>Maplink2</v>
      </c>
      <c r="AV2831" s="12" t="str">
        <f>HYPERLINK("http://www.bing.com/maps/?lvl=14&amp;sty=h&amp;cp=35.5973~45.41&amp;sp=point.35.5973_45.41","Maplink3")</f>
        <v>Maplink3</v>
      </c>
    </row>
    <row r="2832" spans="1:48" ht="15" customHeight="1" x14ac:dyDescent="0.25">
      <c r="A2832" s="19">
        <v>31981</v>
      </c>
      <c r="B2832" s="20" t="s">
        <v>24</v>
      </c>
      <c r="C2832" s="20" t="s">
        <v>4846</v>
      </c>
      <c r="D2832" s="20" t="s">
        <v>4888</v>
      </c>
      <c r="E2832" s="20" t="s">
        <v>4889</v>
      </c>
      <c r="F2832" s="20">
        <v>35.56812</v>
      </c>
      <c r="G2832" s="20">
        <v>45.398319999999998</v>
      </c>
      <c r="H2832" s="22">
        <v>54</v>
      </c>
      <c r="I2832" s="22">
        <v>324</v>
      </c>
      <c r="J2832" s="21">
        <v>13</v>
      </c>
      <c r="K2832" s="21">
        <v>2</v>
      </c>
      <c r="L2832" s="21">
        <v>24</v>
      </c>
      <c r="M2832" s="21"/>
      <c r="N2832" s="21"/>
      <c r="O2832" s="21">
        <v>5</v>
      </c>
      <c r="P2832" s="21"/>
      <c r="Q2832" s="21"/>
      <c r="R2832" s="21">
        <v>3</v>
      </c>
      <c r="S2832" s="21"/>
      <c r="T2832" s="21"/>
      <c r="U2832" s="21"/>
      <c r="V2832" s="21">
        <v>2</v>
      </c>
      <c r="W2832" s="21"/>
      <c r="X2832" s="21">
        <v>5</v>
      </c>
      <c r="Y2832" s="21"/>
      <c r="Z2832" s="21"/>
      <c r="AA2832" s="21"/>
      <c r="AB2832" s="21"/>
      <c r="AC2832" s="21"/>
      <c r="AD2832" s="21"/>
      <c r="AE2832" s="21"/>
      <c r="AF2832" s="21"/>
      <c r="AG2832" s="21"/>
      <c r="AH2832" s="21">
        <v>54</v>
      </c>
      <c r="AI2832" s="21"/>
      <c r="AJ2832" s="21"/>
      <c r="AK2832" s="21"/>
      <c r="AL2832" s="21">
        <v>5</v>
      </c>
      <c r="AM2832" s="21">
        <v>9</v>
      </c>
      <c r="AN2832" s="21">
        <v>1</v>
      </c>
      <c r="AO2832" s="21">
        <v>13</v>
      </c>
      <c r="AP2832" s="21">
        <v>8</v>
      </c>
      <c r="AQ2832" s="21">
        <v>8</v>
      </c>
      <c r="AR2832" s="21">
        <v>7</v>
      </c>
      <c r="AS2832" s="21">
        <v>3</v>
      </c>
      <c r="AT2832" s="12" t="str">
        <f>HYPERLINK("http://www.openstreetmap.org/?mlat=35.5681&amp;mlon=45.3983&amp;zoom=12#map=12/35.5681/45.3983","Maplink1")</f>
        <v>Maplink1</v>
      </c>
      <c r="AU2832" s="12" t="str">
        <f>HYPERLINK("https://www.google.iq/maps/search/+35.5681,45.3983/@35.5681,45.3983,14z?hl=en","Maplink2")</f>
        <v>Maplink2</v>
      </c>
      <c r="AV2832" s="12" t="str">
        <f>HYPERLINK("http://www.bing.com/maps/?lvl=14&amp;sty=h&amp;cp=35.5681~45.3983&amp;sp=point.35.5681_45.3983","Maplink3")</f>
        <v>Maplink3</v>
      </c>
    </row>
    <row r="2833" spans="1:48" ht="15" customHeight="1" x14ac:dyDescent="0.25">
      <c r="A2833" s="19">
        <v>21204</v>
      </c>
      <c r="B2833" s="20" t="s">
        <v>24</v>
      </c>
      <c r="C2833" s="20" t="s">
        <v>4846</v>
      </c>
      <c r="D2833" s="20" t="s">
        <v>4890</v>
      </c>
      <c r="E2833" s="20" t="s">
        <v>4891</v>
      </c>
      <c r="F2833" s="20">
        <v>35.57255052</v>
      </c>
      <c r="G2833" s="20">
        <v>45.394605409999997</v>
      </c>
      <c r="H2833" s="22">
        <v>47</v>
      </c>
      <c r="I2833" s="22">
        <v>282</v>
      </c>
      <c r="J2833" s="21">
        <v>8</v>
      </c>
      <c r="K2833" s="21">
        <v>1</v>
      </c>
      <c r="L2833" s="21">
        <v>27</v>
      </c>
      <c r="M2833" s="21"/>
      <c r="N2833" s="21"/>
      <c r="O2833" s="21">
        <v>4</v>
      </c>
      <c r="P2833" s="21"/>
      <c r="Q2833" s="21"/>
      <c r="R2833" s="21">
        <v>1</v>
      </c>
      <c r="S2833" s="21"/>
      <c r="T2833" s="21"/>
      <c r="U2833" s="21"/>
      <c r="V2833" s="21">
        <v>3</v>
      </c>
      <c r="W2833" s="21"/>
      <c r="X2833" s="21">
        <v>3</v>
      </c>
      <c r="Y2833" s="21"/>
      <c r="Z2833" s="21"/>
      <c r="AA2833" s="21"/>
      <c r="AB2833" s="21"/>
      <c r="AC2833" s="21"/>
      <c r="AD2833" s="21"/>
      <c r="AE2833" s="21"/>
      <c r="AF2833" s="21"/>
      <c r="AG2833" s="21"/>
      <c r="AH2833" s="21">
        <v>47</v>
      </c>
      <c r="AI2833" s="21"/>
      <c r="AJ2833" s="21"/>
      <c r="AK2833" s="21"/>
      <c r="AL2833" s="21">
        <v>6</v>
      </c>
      <c r="AM2833" s="21">
        <v>9</v>
      </c>
      <c r="AN2833" s="21">
        <v>4</v>
      </c>
      <c r="AO2833" s="21">
        <v>14</v>
      </c>
      <c r="AP2833" s="21">
        <v>7</v>
      </c>
      <c r="AQ2833" s="21">
        <v>5</v>
      </c>
      <c r="AR2833" s="21">
        <v>1</v>
      </c>
      <c r="AS2833" s="21">
        <v>1</v>
      </c>
      <c r="AT2833" s="12" t="str">
        <f>HYPERLINK("http://www.openstreetmap.org/?mlat=35.5726&amp;mlon=45.3946&amp;zoom=12#map=12/35.5726/45.3946","Maplink1")</f>
        <v>Maplink1</v>
      </c>
      <c r="AU2833" s="12" t="str">
        <f>HYPERLINK("https://www.google.iq/maps/search/+35.5726,45.3946/@35.5726,45.3946,14z?hl=en","Maplink2")</f>
        <v>Maplink2</v>
      </c>
      <c r="AV2833" s="12" t="str">
        <f>HYPERLINK("http://www.bing.com/maps/?lvl=14&amp;sty=h&amp;cp=35.5726~45.3946&amp;sp=point.35.5726_45.3946","Maplink3")</f>
        <v>Maplink3</v>
      </c>
    </row>
    <row r="2834" spans="1:48" ht="15" customHeight="1" x14ac:dyDescent="0.25">
      <c r="A2834" s="19">
        <v>25077</v>
      </c>
      <c r="B2834" s="20" t="s">
        <v>24</v>
      </c>
      <c r="C2834" s="20" t="s">
        <v>4846</v>
      </c>
      <c r="D2834" s="20" t="s">
        <v>4892</v>
      </c>
      <c r="E2834" s="20" t="s">
        <v>4893</v>
      </c>
      <c r="F2834" s="20">
        <v>35.599221389999997</v>
      </c>
      <c r="G2834" s="20">
        <v>45.371570820000002</v>
      </c>
      <c r="H2834" s="22">
        <v>157</v>
      </c>
      <c r="I2834" s="22">
        <v>942</v>
      </c>
      <c r="J2834" s="21">
        <v>26</v>
      </c>
      <c r="K2834" s="21">
        <v>2</v>
      </c>
      <c r="L2834" s="21">
        <v>28</v>
      </c>
      <c r="M2834" s="21"/>
      <c r="N2834" s="21"/>
      <c r="O2834" s="21">
        <v>17</v>
      </c>
      <c r="P2834" s="21"/>
      <c r="Q2834" s="21"/>
      <c r="R2834" s="21">
        <v>19</v>
      </c>
      <c r="S2834" s="21"/>
      <c r="T2834" s="21"/>
      <c r="U2834" s="21"/>
      <c r="V2834" s="21">
        <v>43</v>
      </c>
      <c r="W2834" s="21"/>
      <c r="X2834" s="21">
        <v>22</v>
      </c>
      <c r="Y2834" s="21"/>
      <c r="Z2834" s="21"/>
      <c r="AA2834" s="21"/>
      <c r="AB2834" s="21"/>
      <c r="AC2834" s="21"/>
      <c r="AD2834" s="21"/>
      <c r="AE2834" s="21"/>
      <c r="AF2834" s="21"/>
      <c r="AG2834" s="21"/>
      <c r="AH2834" s="21">
        <v>157</v>
      </c>
      <c r="AI2834" s="21"/>
      <c r="AJ2834" s="21"/>
      <c r="AK2834" s="21"/>
      <c r="AL2834" s="21">
        <v>7</v>
      </c>
      <c r="AM2834" s="21">
        <v>32</v>
      </c>
      <c r="AN2834" s="21">
        <v>47</v>
      </c>
      <c r="AO2834" s="21">
        <v>18</v>
      </c>
      <c r="AP2834" s="21">
        <v>16</v>
      </c>
      <c r="AQ2834" s="21"/>
      <c r="AR2834" s="21"/>
      <c r="AS2834" s="21">
        <v>37</v>
      </c>
      <c r="AT2834" s="12" t="str">
        <f>HYPERLINK("http://www.openstreetmap.org/?mlat=35.5992&amp;mlon=45.3716&amp;zoom=12#map=12/35.5992/45.3716","Maplink1")</f>
        <v>Maplink1</v>
      </c>
      <c r="AU2834" s="12" t="str">
        <f>HYPERLINK("https://www.google.iq/maps/search/+35.5992,45.3716/@35.5992,45.3716,14z?hl=en","Maplink2")</f>
        <v>Maplink2</v>
      </c>
      <c r="AV2834" s="12" t="str">
        <f>HYPERLINK("http://www.bing.com/maps/?lvl=14&amp;sty=h&amp;cp=35.5992~45.3716&amp;sp=point.35.5992_45.3716","Maplink3")</f>
        <v>Maplink3</v>
      </c>
    </row>
    <row r="2835" spans="1:48" ht="15" customHeight="1" x14ac:dyDescent="0.25">
      <c r="A2835" s="19">
        <v>4592</v>
      </c>
      <c r="B2835" s="20" t="s">
        <v>24</v>
      </c>
      <c r="C2835" s="20" t="s">
        <v>4846</v>
      </c>
      <c r="D2835" s="20" t="s">
        <v>4894</v>
      </c>
      <c r="E2835" s="20" t="s">
        <v>4895</v>
      </c>
      <c r="F2835" s="20">
        <v>35.579352049999997</v>
      </c>
      <c r="G2835" s="20">
        <v>45.2683964</v>
      </c>
      <c r="H2835" s="22">
        <v>45</v>
      </c>
      <c r="I2835" s="22">
        <v>270</v>
      </c>
      <c r="J2835" s="21">
        <v>11</v>
      </c>
      <c r="K2835" s="21">
        <v>7</v>
      </c>
      <c r="L2835" s="21">
        <v>5</v>
      </c>
      <c r="M2835" s="21"/>
      <c r="N2835" s="21"/>
      <c r="O2835" s="21">
        <v>3</v>
      </c>
      <c r="P2835" s="21"/>
      <c r="Q2835" s="21"/>
      <c r="R2835" s="21">
        <v>9</v>
      </c>
      <c r="S2835" s="21"/>
      <c r="T2835" s="21"/>
      <c r="U2835" s="21"/>
      <c r="V2835" s="21">
        <v>3</v>
      </c>
      <c r="W2835" s="21"/>
      <c r="X2835" s="21">
        <v>7</v>
      </c>
      <c r="Y2835" s="21"/>
      <c r="Z2835" s="21"/>
      <c r="AA2835" s="21"/>
      <c r="AB2835" s="21"/>
      <c r="AC2835" s="21"/>
      <c r="AD2835" s="21"/>
      <c r="AE2835" s="21"/>
      <c r="AF2835" s="21"/>
      <c r="AG2835" s="21"/>
      <c r="AH2835" s="21">
        <v>45</v>
      </c>
      <c r="AI2835" s="21"/>
      <c r="AJ2835" s="21"/>
      <c r="AK2835" s="21"/>
      <c r="AL2835" s="21">
        <v>4</v>
      </c>
      <c r="AM2835" s="21">
        <v>21</v>
      </c>
      <c r="AN2835" s="21"/>
      <c r="AO2835" s="21">
        <v>7</v>
      </c>
      <c r="AP2835" s="21">
        <v>4</v>
      </c>
      <c r="AQ2835" s="21"/>
      <c r="AR2835" s="21"/>
      <c r="AS2835" s="21">
        <v>9</v>
      </c>
      <c r="AT2835" s="12" t="str">
        <f>HYPERLINK("http://www.openstreetmap.org/?mlat=35.5794&amp;mlon=45.2684&amp;zoom=12#map=12/35.5794/45.2684","Maplink1")</f>
        <v>Maplink1</v>
      </c>
      <c r="AU2835" s="12" t="str">
        <f>HYPERLINK("https://www.google.iq/maps/search/+35.5794,45.2684/@35.5794,45.2684,14z?hl=en","Maplink2")</f>
        <v>Maplink2</v>
      </c>
      <c r="AV2835" s="12" t="str">
        <f>HYPERLINK("http://www.bing.com/maps/?lvl=14&amp;sty=h&amp;cp=35.5794~45.2684&amp;sp=point.35.5794_45.2684","Maplink3")</f>
        <v>Maplink3</v>
      </c>
    </row>
    <row r="2836" spans="1:48" ht="15" customHeight="1" x14ac:dyDescent="0.25">
      <c r="A2836" s="19">
        <v>6144</v>
      </c>
      <c r="B2836" s="20" t="s">
        <v>24</v>
      </c>
      <c r="C2836" s="20" t="s">
        <v>4846</v>
      </c>
      <c r="D2836" s="20" t="s">
        <v>4896</v>
      </c>
      <c r="E2836" s="20" t="s">
        <v>4897</v>
      </c>
      <c r="F2836" s="20">
        <v>35.528307910000002</v>
      </c>
      <c r="G2836" s="20">
        <v>45.434358150000001</v>
      </c>
      <c r="H2836" s="22">
        <v>54</v>
      </c>
      <c r="I2836" s="22">
        <v>324</v>
      </c>
      <c r="J2836" s="21">
        <v>7</v>
      </c>
      <c r="K2836" s="21"/>
      <c r="L2836" s="21">
        <v>3</v>
      </c>
      <c r="M2836" s="21"/>
      <c r="N2836" s="21"/>
      <c r="O2836" s="21">
        <v>7</v>
      </c>
      <c r="P2836" s="21"/>
      <c r="Q2836" s="21"/>
      <c r="R2836" s="21">
        <v>10</v>
      </c>
      <c r="S2836" s="21"/>
      <c r="T2836" s="21"/>
      <c r="U2836" s="21"/>
      <c r="V2836" s="21">
        <v>12</v>
      </c>
      <c r="W2836" s="21"/>
      <c r="X2836" s="21">
        <v>15</v>
      </c>
      <c r="Y2836" s="21"/>
      <c r="Z2836" s="21"/>
      <c r="AA2836" s="21"/>
      <c r="AB2836" s="21"/>
      <c r="AC2836" s="21"/>
      <c r="AD2836" s="21"/>
      <c r="AE2836" s="21"/>
      <c r="AF2836" s="21"/>
      <c r="AG2836" s="21"/>
      <c r="AH2836" s="21">
        <v>54</v>
      </c>
      <c r="AI2836" s="21"/>
      <c r="AJ2836" s="21"/>
      <c r="AK2836" s="21"/>
      <c r="AL2836" s="21">
        <v>2</v>
      </c>
      <c r="AM2836" s="21">
        <v>13</v>
      </c>
      <c r="AN2836" s="21">
        <v>4</v>
      </c>
      <c r="AO2836" s="21">
        <v>8</v>
      </c>
      <c r="AP2836" s="21">
        <v>5</v>
      </c>
      <c r="AQ2836" s="21">
        <v>2</v>
      </c>
      <c r="AR2836" s="21"/>
      <c r="AS2836" s="21">
        <v>20</v>
      </c>
      <c r="AT2836" s="12" t="str">
        <f>HYPERLINK("http://www.openstreetmap.org/?mlat=35.5283&amp;mlon=45.4344&amp;zoom=12#map=12/35.5283/45.4344","Maplink1")</f>
        <v>Maplink1</v>
      </c>
      <c r="AU2836" s="12" t="str">
        <f>HYPERLINK("https://www.google.iq/maps/search/+35.5283,45.4344/@35.5283,45.4344,14z?hl=en","Maplink2")</f>
        <v>Maplink2</v>
      </c>
      <c r="AV2836" s="12" t="str">
        <f>HYPERLINK("http://www.bing.com/maps/?lvl=14&amp;sty=h&amp;cp=35.5283~45.4344&amp;sp=point.35.5283_45.4344","Maplink3")</f>
        <v>Maplink3</v>
      </c>
    </row>
    <row r="2837" spans="1:48" ht="15" customHeight="1" x14ac:dyDescent="0.25">
      <c r="A2837" s="19">
        <v>4527</v>
      </c>
      <c r="B2837" s="20" t="s">
        <v>24</v>
      </c>
      <c r="C2837" s="20" t="s">
        <v>4846</v>
      </c>
      <c r="D2837" s="20" t="s">
        <v>5828</v>
      </c>
      <c r="E2837" s="20" t="s">
        <v>5829</v>
      </c>
      <c r="F2837" s="20">
        <v>35.565504140000002</v>
      </c>
      <c r="G2837" s="20">
        <v>45.417852949999997</v>
      </c>
      <c r="H2837" s="22">
        <v>27</v>
      </c>
      <c r="I2837" s="22">
        <v>162</v>
      </c>
      <c r="J2837" s="21">
        <v>7</v>
      </c>
      <c r="K2837" s="21"/>
      <c r="L2837" s="21">
        <v>13</v>
      </c>
      <c r="M2837" s="21"/>
      <c r="N2837" s="21"/>
      <c r="O2837" s="21">
        <v>1</v>
      </c>
      <c r="P2837" s="21"/>
      <c r="Q2837" s="21"/>
      <c r="R2837" s="21">
        <v>1</v>
      </c>
      <c r="S2837" s="21"/>
      <c r="T2837" s="21"/>
      <c r="U2837" s="21"/>
      <c r="V2837" s="21">
        <v>2</v>
      </c>
      <c r="W2837" s="21"/>
      <c r="X2837" s="21">
        <v>3</v>
      </c>
      <c r="Y2837" s="21"/>
      <c r="Z2837" s="21"/>
      <c r="AA2837" s="21"/>
      <c r="AB2837" s="21"/>
      <c r="AC2837" s="21"/>
      <c r="AD2837" s="21"/>
      <c r="AE2837" s="21"/>
      <c r="AF2837" s="21"/>
      <c r="AG2837" s="21"/>
      <c r="AH2837" s="21">
        <v>27</v>
      </c>
      <c r="AI2837" s="21"/>
      <c r="AJ2837" s="21"/>
      <c r="AK2837" s="21"/>
      <c r="AL2837" s="21">
        <v>2</v>
      </c>
      <c r="AM2837" s="21">
        <v>3</v>
      </c>
      <c r="AN2837" s="21"/>
      <c r="AO2837" s="21">
        <v>1</v>
      </c>
      <c r="AP2837" s="21">
        <v>6</v>
      </c>
      <c r="AQ2837" s="21"/>
      <c r="AR2837" s="21">
        <v>10</v>
      </c>
      <c r="AS2837" s="21">
        <v>5</v>
      </c>
      <c r="AT2837" s="12" t="str">
        <f>HYPERLINK("http://www.openstreetmap.org/?mlat=35.5655&amp;mlon=45.4179&amp;zoom=12#map=12/35.5655/45.4179","Maplink1")</f>
        <v>Maplink1</v>
      </c>
      <c r="AU2837" s="12" t="str">
        <f>HYPERLINK("https://www.google.iq/maps/search/+35.5655,45.4179/@35.5655,45.4179,14z?hl=en","Maplink2")</f>
        <v>Maplink2</v>
      </c>
      <c r="AV2837" s="12" t="str">
        <f>HYPERLINK("http://www.bing.com/maps/?lvl=14&amp;sty=h&amp;cp=35.5655~45.4179&amp;sp=point.35.5655_45.4179","Maplink3")</f>
        <v>Maplink3</v>
      </c>
    </row>
    <row r="2838" spans="1:48" ht="15" customHeight="1" x14ac:dyDescent="0.25">
      <c r="A2838" s="19">
        <v>5744</v>
      </c>
      <c r="B2838" s="20" t="s">
        <v>24</v>
      </c>
      <c r="C2838" s="20" t="s">
        <v>4846</v>
      </c>
      <c r="D2838" s="20" t="s">
        <v>4898</v>
      </c>
      <c r="E2838" s="20" t="s">
        <v>4899</v>
      </c>
      <c r="F2838" s="20">
        <v>35.449719530000003</v>
      </c>
      <c r="G2838" s="20">
        <v>45.446959739999997</v>
      </c>
      <c r="H2838" s="22">
        <v>54</v>
      </c>
      <c r="I2838" s="22">
        <v>324</v>
      </c>
      <c r="J2838" s="21">
        <v>4</v>
      </c>
      <c r="K2838" s="21">
        <v>4</v>
      </c>
      <c r="L2838" s="21">
        <v>1</v>
      </c>
      <c r="M2838" s="21"/>
      <c r="N2838" s="21"/>
      <c r="O2838" s="21">
        <v>35</v>
      </c>
      <c r="P2838" s="21"/>
      <c r="Q2838" s="21"/>
      <c r="R2838" s="21"/>
      <c r="S2838" s="21"/>
      <c r="T2838" s="21"/>
      <c r="U2838" s="21"/>
      <c r="V2838" s="21">
        <v>1</v>
      </c>
      <c r="W2838" s="21"/>
      <c r="X2838" s="21">
        <v>9</v>
      </c>
      <c r="Y2838" s="21"/>
      <c r="Z2838" s="21"/>
      <c r="AA2838" s="21"/>
      <c r="AB2838" s="21"/>
      <c r="AC2838" s="21"/>
      <c r="AD2838" s="21"/>
      <c r="AE2838" s="21"/>
      <c r="AF2838" s="21"/>
      <c r="AG2838" s="21"/>
      <c r="AH2838" s="21">
        <v>54</v>
      </c>
      <c r="AI2838" s="21"/>
      <c r="AJ2838" s="21"/>
      <c r="AK2838" s="21"/>
      <c r="AL2838" s="21">
        <v>8</v>
      </c>
      <c r="AM2838" s="21">
        <v>15</v>
      </c>
      <c r="AN2838" s="21">
        <v>1</v>
      </c>
      <c r="AO2838" s="21">
        <v>13</v>
      </c>
      <c r="AP2838" s="21">
        <v>12</v>
      </c>
      <c r="AQ2838" s="21">
        <v>5</v>
      </c>
      <c r="AR2838" s="21"/>
      <c r="AS2838" s="21"/>
      <c r="AT2838" s="12" t="str">
        <f>HYPERLINK("http://www.openstreetmap.org/?mlat=35.4497&amp;mlon=45.447&amp;zoom=12#map=12/35.4497/45.447","Maplink1")</f>
        <v>Maplink1</v>
      </c>
      <c r="AU2838" s="12" t="str">
        <f>HYPERLINK("https://www.google.iq/maps/search/+35.4497,45.447/@35.4497,45.447,14z?hl=en","Maplink2")</f>
        <v>Maplink2</v>
      </c>
      <c r="AV2838" s="12" t="str">
        <f>HYPERLINK("http://www.bing.com/maps/?lvl=14&amp;sty=h&amp;cp=35.4497~45.447&amp;sp=point.35.4497_45.447","Maplink3")</f>
        <v>Maplink3</v>
      </c>
    </row>
    <row r="2839" spans="1:48" ht="15" customHeight="1" x14ac:dyDescent="0.25">
      <c r="A2839" s="19">
        <v>31925</v>
      </c>
      <c r="B2839" s="20" t="s">
        <v>24</v>
      </c>
      <c r="C2839" s="20" t="s">
        <v>4846</v>
      </c>
      <c r="D2839" s="20" t="s">
        <v>4900</v>
      </c>
      <c r="E2839" s="20" t="s">
        <v>4901</v>
      </c>
      <c r="F2839" s="20">
        <v>35.63561</v>
      </c>
      <c r="G2839" s="20">
        <v>45.017679999999999</v>
      </c>
      <c r="H2839" s="22">
        <v>7</v>
      </c>
      <c r="I2839" s="22">
        <v>42</v>
      </c>
      <c r="J2839" s="21">
        <v>1</v>
      </c>
      <c r="K2839" s="21"/>
      <c r="L2839" s="21"/>
      <c r="M2839" s="21"/>
      <c r="N2839" s="21"/>
      <c r="O2839" s="21"/>
      <c r="P2839" s="21"/>
      <c r="Q2839" s="21"/>
      <c r="R2839" s="21"/>
      <c r="S2839" s="21"/>
      <c r="T2839" s="21"/>
      <c r="U2839" s="21"/>
      <c r="V2839" s="21">
        <v>3</v>
      </c>
      <c r="W2839" s="21"/>
      <c r="X2839" s="21">
        <v>3</v>
      </c>
      <c r="Y2839" s="21"/>
      <c r="Z2839" s="21"/>
      <c r="AA2839" s="21"/>
      <c r="AB2839" s="21"/>
      <c r="AC2839" s="21"/>
      <c r="AD2839" s="21"/>
      <c r="AE2839" s="21"/>
      <c r="AF2839" s="21"/>
      <c r="AG2839" s="21"/>
      <c r="AH2839" s="21">
        <v>7</v>
      </c>
      <c r="AI2839" s="21"/>
      <c r="AJ2839" s="21"/>
      <c r="AK2839" s="21"/>
      <c r="AL2839" s="21"/>
      <c r="AM2839" s="21">
        <v>3</v>
      </c>
      <c r="AN2839" s="21">
        <v>4</v>
      </c>
      <c r="AO2839" s="21"/>
      <c r="AP2839" s="21"/>
      <c r="AQ2839" s="21"/>
      <c r="AR2839" s="21"/>
      <c r="AS2839" s="21"/>
      <c r="AT2839" s="12" t="str">
        <f>HYPERLINK("http://www.openstreetmap.org/?mlat=35.6356&amp;mlon=45.0177&amp;zoom=12#map=12/35.6356/45.0177","Maplink1")</f>
        <v>Maplink1</v>
      </c>
      <c r="AU2839" s="12" t="str">
        <f>HYPERLINK("https://www.google.iq/maps/search/+35.6356,45.0177/@35.6356,45.0177,14z?hl=en","Maplink2")</f>
        <v>Maplink2</v>
      </c>
      <c r="AV2839" s="12" t="str">
        <f>HYPERLINK("http://www.bing.com/maps/?lvl=14&amp;sty=h&amp;cp=35.6356~45.0177&amp;sp=point.35.6356_45.0177","Maplink3")</f>
        <v>Maplink3</v>
      </c>
    </row>
    <row r="2840" spans="1:48" ht="15" customHeight="1" x14ac:dyDescent="0.25">
      <c r="A2840" s="19">
        <v>31924</v>
      </c>
      <c r="B2840" s="20" t="s">
        <v>24</v>
      </c>
      <c r="C2840" s="20" t="s">
        <v>4846</v>
      </c>
      <c r="D2840" s="20" t="s">
        <v>4902</v>
      </c>
      <c r="E2840" s="20" t="s">
        <v>4903</v>
      </c>
      <c r="F2840" s="20">
        <v>35.573509999999999</v>
      </c>
      <c r="G2840" s="20">
        <v>45.062109999999997</v>
      </c>
      <c r="H2840" s="22">
        <v>6</v>
      </c>
      <c r="I2840" s="22">
        <v>36</v>
      </c>
      <c r="J2840" s="21"/>
      <c r="K2840" s="21"/>
      <c r="L2840" s="21">
        <v>1</v>
      </c>
      <c r="M2840" s="21"/>
      <c r="N2840" s="21"/>
      <c r="O2840" s="21"/>
      <c r="P2840" s="21"/>
      <c r="Q2840" s="21"/>
      <c r="R2840" s="21"/>
      <c r="S2840" s="21"/>
      <c r="T2840" s="21"/>
      <c r="U2840" s="21"/>
      <c r="V2840" s="21">
        <v>3</v>
      </c>
      <c r="W2840" s="21"/>
      <c r="X2840" s="21">
        <v>2</v>
      </c>
      <c r="Y2840" s="21"/>
      <c r="Z2840" s="21"/>
      <c r="AA2840" s="21"/>
      <c r="AB2840" s="21"/>
      <c r="AC2840" s="21"/>
      <c r="AD2840" s="21"/>
      <c r="AE2840" s="21"/>
      <c r="AF2840" s="21"/>
      <c r="AG2840" s="21"/>
      <c r="AH2840" s="21">
        <v>6</v>
      </c>
      <c r="AI2840" s="21"/>
      <c r="AJ2840" s="21"/>
      <c r="AK2840" s="21"/>
      <c r="AL2840" s="21"/>
      <c r="AM2840" s="21">
        <v>3</v>
      </c>
      <c r="AN2840" s="21"/>
      <c r="AO2840" s="21"/>
      <c r="AP2840" s="21"/>
      <c r="AQ2840" s="21"/>
      <c r="AR2840" s="21">
        <v>3</v>
      </c>
      <c r="AS2840" s="21"/>
      <c r="AT2840" s="12" t="str">
        <f>HYPERLINK("http://www.openstreetmap.org/?mlat=35.5735&amp;mlon=45.0621&amp;zoom=12#map=12/35.5735/45.0621","Maplink1")</f>
        <v>Maplink1</v>
      </c>
      <c r="AU2840" s="12" t="str">
        <f>HYPERLINK("https://www.google.iq/maps/search/+35.5735,45.0621/@35.5735,45.0621,14z?hl=en","Maplink2")</f>
        <v>Maplink2</v>
      </c>
      <c r="AV2840" s="12" t="str">
        <f>HYPERLINK("http://www.bing.com/maps/?lvl=14&amp;sty=h&amp;cp=35.5735~45.0621&amp;sp=point.35.5735_45.0621","Maplink3")</f>
        <v>Maplink3</v>
      </c>
    </row>
    <row r="2841" spans="1:48" ht="15" customHeight="1" x14ac:dyDescent="0.25">
      <c r="A2841" s="19">
        <v>25300</v>
      </c>
      <c r="B2841" s="20" t="s">
        <v>24</v>
      </c>
      <c r="C2841" s="20" t="s">
        <v>4846</v>
      </c>
      <c r="D2841" s="20" t="s">
        <v>4904</v>
      </c>
      <c r="E2841" s="20" t="s">
        <v>4905</v>
      </c>
      <c r="F2841" s="20">
        <v>35.65004991</v>
      </c>
      <c r="G2841" s="20">
        <v>45.065671700000003</v>
      </c>
      <c r="H2841" s="22">
        <v>24</v>
      </c>
      <c r="I2841" s="22">
        <v>144</v>
      </c>
      <c r="J2841" s="21">
        <v>6</v>
      </c>
      <c r="K2841" s="21"/>
      <c r="L2841" s="21">
        <v>16</v>
      </c>
      <c r="M2841" s="21"/>
      <c r="N2841" s="21"/>
      <c r="O2841" s="21">
        <v>1</v>
      </c>
      <c r="P2841" s="21"/>
      <c r="Q2841" s="21"/>
      <c r="R2841" s="21"/>
      <c r="S2841" s="21"/>
      <c r="T2841" s="21"/>
      <c r="U2841" s="21"/>
      <c r="V2841" s="21"/>
      <c r="W2841" s="21"/>
      <c r="X2841" s="21">
        <v>1</v>
      </c>
      <c r="Y2841" s="21"/>
      <c r="Z2841" s="21"/>
      <c r="AA2841" s="21"/>
      <c r="AB2841" s="21"/>
      <c r="AC2841" s="21"/>
      <c r="AD2841" s="21"/>
      <c r="AE2841" s="21"/>
      <c r="AF2841" s="21"/>
      <c r="AG2841" s="21"/>
      <c r="AH2841" s="21">
        <v>24</v>
      </c>
      <c r="AI2841" s="21"/>
      <c r="AJ2841" s="21"/>
      <c r="AK2841" s="21"/>
      <c r="AL2841" s="21">
        <v>4</v>
      </c>
      <c r="AM2841" s="21">
        <v>1</v>
      </c>
      <c r="AN2841" s="21">
        <v>2</v>
      </c>
      <c r="AO2841" s="21">
        <v>6</v>
      </c>
      <c r="AP2841" s="21"/>
      <c r="AQ2841" s="21">
        <v>2</v>
      </c>
      <c r="AR2841" s="21">
        <v>5</v>
      </c>
      <c r="AS2841" s="21">
        <v>4</v>
      </c>
      <c r="AT2841" s="12" t="str">
        <f>HYPERLINK("http://www.openstreetmap.org/?mlat=35.65&amp;mlon=45.0657&amp;zoom=12#map=12/35.65/45.0657","Maplink1")</f>
        <v>Maplink1</v>
      </c>
      <c r="AU2841" s="12" t="str">
        <f>HYPERLINK("https://www.google.iq/maps/search/+35.65,45.0657/@35.65,45.0657,14z?hl=en","Maplink2")</f>
        <v>Maplink2</v>
      </c>
      <c r="AV2841" s="12" t="str">
        <f>HYPERLINK("http://www.bing.com/maps/?lvl=14&amp;sty=h&amp;cp=35.65~45.0657&amp;sp=point.35.65_45.0657","Maplink3")</f>
        <v>Maplink3</v>
      </c>
    </row>
    <row r="2842" spans="1:48" ht="15" customHeight="1" x14ac:dyDescent="0.25">
      <c r="A2842" s="19">
        <v>31923</v>
      </c>
      <c r="B2842" s="20" t="s">
        <v>24</v>
      </c>
      <c r="C2842" s="20" t="s">
        <v>4846</v>
      </c>
      <c r="D2842" s="20" t="s">
        <v>4906</v>
      </c>
      <c r="E2842" s="20" t="s">
        <v>4907</v>
      </c>
      <c r="F2842" s="20">
        <v>35.697710000000001</v>
      </c>
      <c r="G2842" s="20">
        <v>45.017440000000001</v>
      </c>
      <c r="H2842" s="22">
        <v>8</v>
      </c>
      <c r="I2842" s="22">
        <v>48</v>
      </c>
      <c r="J2842" s="21"/>
      <c r="K2842" s="21"/>
      <c r="L2842" s="21">
        <v>4</v>
      </c>
      <c r="M2842" s="21"/>
      <c r="N2842" s="21"/>
      <c r="O2842" s="21">
        <v>1</v>
      </c>
      <c r="P2842" s="21"/>
      <c r="Q2842" s="21"/>
      <c r="R2842" s="21"/>
      <c r="S2842" s="21"/>
      <c r="T2842" s="21"/>
      <c r="U2842" s="21"/>
      <c r="V2842" s="21">
        <v>1</v>
      </c>
      <c r="W2842" s="21"/>
      <c r="X2842" s="21">
        <v>2</v>
      </c>
      <c r="Y2842" s="21"/>
      <c r="Z2842" s="21"/>
      <c r="AA2842" s="21"/>
      <c r="AB2842" s="21"/>
      <c r="AC2842" s="21"/>
      <c r="AD2842" s="21"/>
      <c r="AE2842" s="21"/>
      <c r="AF2842" s="21"/>
      <c r="AG2842" s="21"/>
      <c r="AH2842" s="21">
        <v>8</v>
      </c>
      <c r="AI2842" s="21"/>
      <c r="AJ2842" s="21"/>
      <c r="AK2842" s="21"/>
      <c r="AL2842" s="21"/>
      <c r="AM2842" s="21">
        <v>4</v>
      </c>
      <c r="AN2842" s="21">
        <v>3</v>
      </c>
      <c r="AO2842" s="21">
        <v>1</v>
      </c>
      <c r="AP2842" s="21"/>
      <c r="AQ2842" s="21"/>
      <c r="AR2842" s="21"/>
      <c r="AS2842" s="21"/>
      <c r="AT2842" s="12" t="str">
        <f>HYPERLINK("http://www.openstreetmap.org/?mlat=35.6977&amp;mlon=45.0174&amp;zoom=12#map=12/35.6977/45.0174","Maplink1")</f>
        <v>Maplink1</v>
      </c>
      <c r="AU2842" s="12" t="str">
        <f>HYPERLINK("https://www.google.iq/maps/search/+35.6977,45.0174/@35.6977,45.0174,14z?hl=en","Maplink2")</f>
        <v>Maplink2</v>
      </c>
      <c r="AV2842" s="12" t="str">
        <f>HYPERLINK("http://www.bing.com/maps/?lvl=14&amp;sty=h&amp;cp=35.6977~45.0174&amp;sp=point.35.6977_45.0174","Maplink3")</f>
        <v>Maplink3</v>
      </c>
    </row>
    <row r="2843" spans="1:48" ht="15" customHeight="1" x14ac:dyDescent="0.25">
      <c r="A2843" s="19">
        <v>25299</v>
      </c>
      <c r="B2843" s="20" t="s">
        <v>24</v>
      </c>
      <c r="C2843" s="20" t="s">
        <v>4846</v>
      </c>
      <c r="D2843" s="20" t="s">
        <v>4908</v>
      </c>
      <c r="E2843" s="20" t="s">
        <v>4909</v>
      </c>
      <c r="F2843" s="20">
        <v>35.645485499999999</v>
      </c>
      <c r="G2843" s="20">
        <v>45.064014</v>
      </c>
      <c r="H2843" s="22">
        <v>27</v>
      </c>
      <c r="I2843" s="22">
        <v>162</v>
      </c>
      <c r="J2843" s="21">
        <v>7</v>
      </c>
      <c r="K2843" s="21">
        <v>1</v>
      </c>
      <c r="L2843" s="21">
        <v>10</v>
      </c>
      <c r="M2843" s="21"/>
      <c r="N2843" s="21"/>
      <c r="O2843" s="21">
        <v>1</v>
      </c>
      <c r="P2843" s="21"/>
      <c r="Q2843" s="21"/>
      <c r="R2843" s="21"/>
      <c r="S2843" s="21"/>
      <c r="T2843" s="21"/>
      <c r="U2843" s="21"/>
      <c r="V2843" s="21">
        <v>1</v>
      </c>
      <c r="W2843" s="21"/>
      <c r="X2843" s="21">
        <v>7</v>
      </c>
      <c r="Y2843" s="21"/>
      <c r="Z2843" s="21"/>
      <c r="AA2843" s="21"/>
      <c r="AB2843" s="21"/>
      <c r="AC2843" s="21"/>
      <c r="AD2843" s="21"/>
      <c r="AE2843" s="21"/>
      <c r="AF2843" s="21"/>
      <c r="AG2843" s="21"/>
      <c r="AH2843" s="21">
        <v>27</v>
      </c>
      <c r="AI2843" s="21"/>
      <c r="AJ2843" s="21"/>
      <c r="AK2843" s="21"/>
      <c r="AL2843" s="21">
        <v>3</v>
      </c>
      <c r="AM2843" s="21">
        <v>1</v>
      </c>
      <c r="AN2843" s="21">
        <v>4</v>
      </c>
      <c r="AO2843" s="21">
        <v>7</v>
      </c>
      <c r="AP2843" s="21"/>
      <c r="AQ2843" s="21">
        <v>2</v>
      </c>
      <c r="AR2843" s="21">
        <v>5</v>
      </c>
      <c r="AS2843" s="21">
        <v>5</v>
      </c>
      <c r="AT2843" s="12" t="str">
        <f>HYPERLINK("http://www.openstreetmap.org/?mlat=35.6455&amp;mlon=45.064&amp;zoom=12#map=12/35.6455/45.064","Maplink1")</f>
        <v>Maplink1</v>
      </c>
      <c r="AU2843" s="12" t="str">
        <f>HYPERLINK("https://www.google.iq/maps/search/+35.6455,45.064/@35.6455,45.064,14z?hl=en","Maplink2")</f>
        <v>Maplink2</v>
      </c>
      <c r="AV2843" s="12" t="str">
        <f>HYPERLINK("http://www.bing.com/maps/?lvl=14&amp;sty=h&amp;cp=35.6455~45.064&amp;sp=point.35.6455_45.064","Maplink3")</f>
        <v>Maplink3</v>
      </c>
    </row>
    <row r="2844" spans="1:48" ht="15" customHeight="1" x14ac:dyDescent="0.25">
      <c r="A2844" s="19">
        <v>4464</v>
      </c>
      <c r="B2844" s="20" t="s">
        <v>24</v>
      </c>
      <c r="C2844" s="20" t="s">
        <v>4846</v>
      </c>
      <c r="D2844" s="20" t="s">
        <v>4910</v>
      </c>
      <c r="E2844" s="20" t="s">
        <v>4911</v>
      </c>
      <c r="F2844" s="20">
        <v>35.644957949999998</v>
      </c>
      <c r="G2844" s="20">
        <v>45.038172879999998</v>
      </c>
      <c r="H2844" s="22">
        <v>20</v>
      </c>
      <c r="I2844" s="22">
        <v>120</v>
      </c>
      <c r="J2844" s="21"/>
      <c r="K2844" s="21">
        <v>4</v>
      </c>
      <c r="L2844" s="21">
        <v>7</v>
      </c>
      <c r="M2844" s="21"/>
      <c r="N2844" s="21"/>
      <c r="O2844" s="21"/>
      <c r="P2844" s="21"/>
      <c r="Q2844" s="21"/>
      <c r="R2844" s="21">
        <v>1</v>
      </c>
      <c r="S2844" s="21"/>
      <c r="T2844" s="21"/>
      <c r="U2844" s="21"/>
      <c r="V2844" s="21">
        <v>2</v>
      </c>
      <c r="W2844" s="21"/>
      <c r="X2844" s="21">
        <v>6</v>
      </c>
      <c r="Y2844" s="21"/>
      <c r="Z2844" s="21"/>
      <c r="AA2844" s="21"/>
      <c r="AB2844" s="21"/>
      <c r="AC2844" s="21"/>
      <c r="AD2844" s="21"/>
      <c r="AE2844" s="21"/>
      <c r="AF2844" s="21"/>
      <c r="AG2844" s="21"/>
      <c r="AH2844" s="21">
        <v>20</v>
      </c>
      <c r="AI2844" s="21"/>
      <c r="AJ2844" s="21"/>
      <c r="AK2844" s="21"/>
      <c r="AL2844" s="21">
        <v>7</v>
      </c>
      <c r="AM2844" s="21">
        <v>1</v>
      </c>
      <c r="AN2844" s="21">
        <v>2</v>
      </c>
      <c r="AO2844" s="21">
        <v>4</v>
      </c>
      <c r="AP2844" s="21">
        <v>2</v>
      </c>
      <c r="AQ2844" s="21">
        <v>1</v>
      </c>
      <c r="AR2844" s="21">
        <v>3</v>
      </c>
      <c r="AS2844" s="21"/>
      <c r="AT2844" s="12" t="str">
        <f>HYPERLINK("http://www.openstreetmap.org/?mlat=35.645&amp;mlon=45.0382&amp;zoom=12#map=12/35.645/45.0382","Maplink1")</f>
        <v>Maplink1</v>
      </c>
      <c r="AU2844" s="12" t="str">
        <f>HYPERLINK("https://www.google.iq/maps/search/+35.645,45.0382/@35.645,45.0382,14z?hl=en","Maplink2")</f>
        <v>Maplink2</v>
      </c>
      <c r="AV2844" s="12" t="str">
        <f>HYPERLINK("http://www.bing.com/maps/?lvl=14&amp;sty=h&amp;cp=35.645~45.0382&amp;sp=point.35.645_45.0382","Maplink3")</f>
        <v>Maplink3</v>
      </c>
    </row>
    <row r="2845" spans="1:48" ht="15" customHeight="1" x14ac:dyDescent="0.25">
      <c r="A2845" s="19">
        <v>6143</v>
      </c>
      <c r="B2845" s="20" t="s">
        <v>24</v>
      </c>
      <c r="C2845" s="20" t="s">
        <v>4846</v>
      </c>
      <c r="D2845" s="20" t="s">
        <v>4912</v>
      </c>
      <c r="E2845" s="20" t="s">
        <v>4913</v>
      </c>
      <c r="F2845" s="20">
        <v>35.651218999999998</v>
      </c>
      <c r="G2845" s="20">
        <v>45.082851900000001</v>
      </c>
      <c r="H2845" s="22">
        <v>16</v>
      </c>
      <c r="I2845" s="22">
        <v>96</v>
      </c>
      <c r="J2845" s="21">
        <v>4</v>
      </c>
      <c r="K2845" s="21"/>
      <c r="L2845" s="21">
        <v>1</v>
      </c>
      <c r="M2845" s="21"/>
      <c r="N2845" s="21"/>
      <c r="O2845" s="21"/>
      <c r="P2845" s="21"/>
      <c r="Q2845" s="21"/>
      <c r="R2845" s="21"/>
      <c r="S2845" s="21"/>
      <c r="T2845" s="21"/>
      <c r="U2845" s="21"/>
      <c r="V2845" s="21"/>
      <c r="W2845" s="21"/>
      <c r="X2845" s="21">
        <v>11</v>
      </c>
      <c r="Y2845" s="21"/>
      <c r="Z2845" s="21"/>
      <c r="AA2845" s="21"/>
      <c r="AB2845" s="21"/>
      <c r="AC2845" s="21"/>
      <c r="AD2845" s="21"/>
      <c r="AE2845" s="21"/>
      <c r="AF2845" s="21"/>
      <c r="AG2845" s="21"/>
      <c r="AH2845" s="21">
        <v>16</v>
      </c>
      <c r="AI2845" s="21"/>
      <c r="AJ2845" s="21"/>
      <c r="AK2845" s="21"/>
      <c r="AL2845" s="21"/>
      <c r="AM2845" s="21">
        <v>4</v>
      </c>
      <c r="AN2845" s="21">
        <v>2</v>
      </c>
      <c r="AO2845" s="21">
        <v>3</v>
      </c>
      <c r="AP2845" s="21">
        <v>1</v>
      </c>
      <c r="AQ2845" s="21">
        <v>1</v>
      </c>
      <c r="AR2845" s="21">
        <v>5</v>
      </c>
      <c r="AS2845" s="21"/>
      <c r="AT2845" s="12" t="str">
        <f>HYPERLINK("http://www.openstreetmap.org/?mlat=35.6512&amp;mlon=45.0829&amp;zoom=12#map=12/35.6512/45.0829","Maplink1")</f>
        <v>Maplink1</v>
      </c>
      <c r="AU2845" s="12" t="str">
        <f>HYPERLINK("https://www.google.iq/maps/search/+35.6512,45.0829/@35.6512,45.0829,14z?hl=en","Maplink2")</f>
        <v>Maplink2</v>
      </c>
      <c r="AV2845" s="12" t="str">
        <f>HYPERLINK("http://www.bing.com/maps/?lvl=14&amp;sty=h&amp;cp=35.6512~45.0829&amp;sp=point.35.6512_45.0829","Maplink3")</f>
        <v>Maplink3</v>
      </c>
    </row>
    <row r="2846" spans="1:48" ht="15" customHeight="1" x14ac:dyDescent="0.25">
      <c r="A2846" s="19">
        <v>23598</v>
      </c>
      <c r="B2846" s="20" t="s">
        <v>24</v>
      </c>
      <c r="C2846" s="20" t="s">
        <v>4846</v>
      </c>
      <c r="D2846" s="20" t="s">
        <v>4914</v>
      </c>
      <c r="E2846" s="20" t="s">
        <v>4915</v>
      </c>
      <c r="F2846" s="20">
        <v>35.653002839999999</v>
      </c>
      <c r="G2846" s="20">
        <v>45.066976490000002</v>
      </c>
      <c r="H2846" s="22">
        <v>26</v>
      </c>
      <c r="I2846" s="22">
        <v>156</v>
      </c>
      <c r="J2846" s="21">
        <v>6</v>
      </c>
      <c r="K2846" s="21">
        <v>1</v>
      </c>
      <c r="L2846" s="21">
        <v>14</v>
      </c>
      <c r="M2846" s="21"/>
      <c r="N2846" s="21"/>
      <c r="O2846" s="21">
        <v>1</v>
      </c>
      <c r="P2846" s="21"/>
      <c r="Q2846" s="21"/>
      <c r="R2846" s="21">
        <v>1</v>
      </c>
      <c r="S2846" s="21"/>
      <c r="T2846" s="21"/>
      <c r="U2846" s="21"/>
      <c r="V2846" s="21"/>
      <c r="W2846" s="21"/>
      <c r="X2846" s="21">
        <v>3</v>
      </c>
      <c r="Y2846" s="21"/>
      <c r="Z2846" s="21"/>
      <c r="AA2846" s="21"/>
      <c r="AB2846" s="21"/>
      <c r="AC2846" s="21"/>
      <c r="AD2846" s="21"/>
      <c r="AE2846" s="21"/>
      <c r="AF2846" s="21"/>
      <c r="AG2846" s="21"/>
      <c r="AH2846" s="21">
        <v>26</v>
      </c>
      <c r="AI2846" s="21"/>
      <c r="AJ2846" s="21"/>
      <c r="AK2846" s="21"/>
      <c r="AL2846" s="21">
        <v>4</v>
      </c>
      <c r="AM2846" s="21">
        <v>2</v>
      </c>
      <c r="AN2846" s="21">
        <v>2</v>
      </c>
      <c r="AO2846" s="21">
        <v>4</v>
      </c>
      <c r="AP2846" s="21">
        <v>2</v>
      </c>
      <c r="AQ2846" s="21">
        <v>1</v>
      </c>
      <c r="AR2846" s="21">
        <v>5</v>
      </c>
      <c r="AS2846" s="21">
        <v>6</v>
      </c>
      <c r="AT2846" s="12" t="str">
        <f>HYPERLINK("http://www.openstreetmap.org/?mlat=35.653&amp;mlon=45.067&amp;zoom=12#map=12/35.653/45.067","Maplink1")</f>
        <v>Maplink1</v>
      </c>
      <c r="AU2846" s="12" t="str">
        <f>HYPERLINK("https://www.google.iq/maps/search/+35.653,45.067/@35.653,45.067,14z?hl=en","Maplink2")</f>
        <v>Maplink2</v>
      </c>
      <c r="AV2846" s="12" t="str">
        <f>HYPERLINK("http://www.bing.com/maps/?lvl=14&amp;sty=h&amp;cp=35.653~45.067&amp;sp=point.35.653_45.067","Maplink3")</f>
        <v>Maplink3</v>
      </c>
    </row>
    <row r="2847" spans="1:48" ht="15" customHeight="1" x14ac:dyDescent="0.25">
      <c r="A2847" s="19">
        <v>24102</v>
      </c>
      <c r="B2847" s="20" t="s">
        <v>24</v>
      </c>
      <c r="C2847" s="20" t="s">
        <v>4846</v>
      </c>
      <c r="D2847" s="20" t="s">
        <v>4916</v>
      </c>
      <c r="E2847" s="20" t="s">
        <v>4917</v>
      </c>
      <c r="F2847" s="20">
        <v>35.594053199999998</v>
      </c>
      <c r="G2847" s="20">
        <v>45.342945499999999</v>
      </c>
      <c r="H2847" s="22">
        <v>65</v>
      </c>
      <c r="I2847" s="22">
        <v>390</v>
      </c>
      <c r="J2847" s="21">
        <v>11</v>
      </c>
      <c r="K2847" s="21"/>
      <c r="L2847" s="21">
        <v>23</v>
      </c>
      <c r="M2847" s="21"/>
      <c r="N2847" s="21"/>
      <c r="O2847" s="21"/>
      <c r="P2847" s="21"/>
      <c r="Q2847" s="21"/>
      <c r="R2847" s="21">
        <v>5</v>
      </c>
      <c r="S2847" s="21"/>
      <c r="T2847" s="21"/>
      <c r="U2847" s="21"/>
      <c r="V2847" s="21">
        <v>5</v>
      </c>
      <c r="W2847" s="21"/>
      <c r="X2847" s="21">
        <v>21</v>
      </c>
      <c r="Y2847" s="21"/>
      <c r="Z2847" s="21"/>
      <c r="AA2847" s="21"/>
      <c r="AB2847" s="21"/>
      <c r="AC2847" s="21"/>
      <c r="AD2847" s="21"/>
      <c r="AE2847" s="21"/>
      <c r="AF2847" s="21"/>
      <c r="AG2847" s="21"/>
      <c r="AH2847" s="21">
        <v>65</v>
      </c>
      <c r="AI2847" s="21"/>
      <c r="AJ2847" s="21"/>
      <c r="AK2847" s="21"/>
      <c r="AL2847" s="21"/>
      <c r="AM2847" s="21">
        <v>21</v>
      </c>
      <c r="AN2847" s="21">
        <v>20</v>
      </c>
      <c r="AO2847" s="21">
        <v>9</v>
      </c>
      <c r="AP2847" s="21">
        <v>4</v>
      </c>
      <c r="AQ2847" s="21">
        <v>3</v>
      </c>
      <c r="AR2847" s="21"/>
      <c r="AS2847" s="21">
        <v>8</v>
      </c>
      <c r="AT2847" s="12" t="str">
        <f>HYPERLINK("http://www.openstreetmap.org/?mlat=35.5941&amp;mlon=45.3429&amp;zoom=12#map=12/35.5941/45.3429","Maplink1")</f>
        <v>Maplink1</v>
      </c>
      <c r="AU2847" s="12" t="str">
        <f>HYPERLINK("https://www.google.iq/maps/search/+35.5941,45.3429/@35.5941,45.3429,14z?hl=en","Maplink2")</f>
        <v>Maplink2</v>
      </c>
      <c r="AV2847" s="12" t="str">
        <f>HYPERLINK("http://www.bing.com/maps/?lvl=14&amp;sty=h&amp;cp=35.5941~45.3429&amp;sp=point.35.5941_45.3429","Maplink3")</f>
        <v>Maplink3</v>
      </c>
    </row>
    <row r="2848" spans="1:48" ht="15" customHeight="1" x14ac:dyDescent="0.25">
      <c r="A2848" s="19">
        <v>25078</v>
      </c>
      <c r="B2848" s="20" t="s">
        <v>24</v>
      </c>
      <c r="C2848" s="20" t="s">
        <v>4846</v>
      </c>
      <c r="D2848" s="20" t="s">
        <v>4918</v>
      </c>
      <c r="E2848" s="20" t="s">
        <v>4919</v>
      </c>
      <c r="F2848" s="20">
        <v>35.395998570000003</v>
      </c>
      <c r="G2848" s="20">
        <v>45.59650688</v>
      </c>
      <c r="H2848" s="22">
        <v>87</v>
      </c>
      <c r="I2848" s="22">
        <v>522</v>
      </c>
      <c r="J2848" s="21">
        <v>1</v>
      </c>
      <c r="K2848" s="21">
        <v>57</v>
      </c>
      <c r="L2848" s="21"/>
      <c r="M2848" s="21"/>
      <c r="N2848" s="21"/>
      <c r="O2848" s="21">
        <v>23</v>
      </c>
      <c r="P2848" s="21"/>
      <c r="Q2848" s="21"/>
      <c r="R2848" s="21"/>
      <c r="S2848" s="21"/>
      <c r="T2848" s="21"/>
      <c r="U2848" s="21"/>
      <c r="V2848" s="21"/>
      <c r="W2848" s="21"/>
      <c r="X2848" s="21">
        <v>6</v>
      </c>
      <c r="Y2848" s="21"/>
      <c r="Z2848" s="21"/>
      <c r="AA2848" s="21"/>
      <c r="AB2848" s="21"/>
      <c r="AC2848" s="21"/>
      <c r="AD2848" s="21"/>
      <c r="AE2848" s="21"/>
      <c r="AF2848" s="21"/>
      <c r="AG2848" s="21"/>
      <c r="AH2848" s="21">
        <v>87</v>
      </c>
      <c r="AI2848" s="21"/>
      <c r="AJ2848" s="21"/>
      <c r="AK2848" s="21"/>
      <c r="AL2848" s="21">
        <v>12</v>
      </c>
      <c r="AM2848" s="21">
        <v>35</v>
      </c>
      <c r="AN2848" s="21">
        <v>23</v>
      </c>
      <c r="AO2848" s="21">
        <v>17</v>
      </c>
      <c r="AP2848" s="21"/>
      <c r="AQ2848" s="21"/>
      <c r="AR2848" s="21"/>
      <c r="AS2848" s="21"/>
      <c r="AT2848" s="12" t="str">
        <f>HYPERLINK("http://www.openstreetmap.org/?mlat=35.396&amp;mlon=45.5965&amp;zoom=12#map=12/35.396/45.5965","Maplink1")</f>
        <v>Maplink1</v>
      </c>
      <c r="AU2848" s="12" t="str">
        <f>HYPERLINK("https://www.google.iq/maps/search/+35.396,45.5965/@35.396,45.5965,14z?hl=en","Maplink2")</f>
        <v>Maplink2</v>
      </c>
      <c r="AV2848" s="12" t="str">
        <f>HYPERLINK("http://www.bing.com/maps/?lvl=14&amp;sty=h&amp;cp=35.396~45.5965&amp;sp=point.35.396_45.5965","Maplink3")</f>
        <v>Maplink3</v>
      </c>
    </row>
    <row r="2849" spans="1:48" ht="15" customHeight="1" x14ac:dyDescent="0.25">
      <c r="A2849" s="19">
        <v>31989</v>
      </c>
      <c r="B2849" s="20" t="s">
        <v>24</v>
      </c>
      <c r="C2849" s="20" t="s">
        <v>4846</v>
      </c>
      <c r="D2849" s="20" t="s">
        <v>4920</v>
      </c>
      <c r="E2849" s="20" t="s">
        <v>4921</v>
      </c>
      <c r="F2849" s="20">
        <v>35.59601</v>
      </c>
      <c r="G2849" s="20">
        <v>45.430520000000001</v>
      </c>
      <c r="H2849" s="22">
        <v>60</v>
      </c>
      <c r="I2849" s="22">
        <v>360</v>
      </c>
      <c r="J2849" s="21">
        <v>14</v>
      </c>
      <c r="K2849" s="21"/>
      <c r="L2849" s="21">
        <v>15</v>
      </c>
      <c r="M2849" s="21"/>
      <c r="N2849" s="21"/>
      <c r="O2849" s="21">
        <v>4</v>
      </c>
      <c r="P2849" s="21"/>
      <c r="Q2849" s="21"/>
      <c r="R2849" s="21">
        <v>15</v>
      </c>
      <c r="S2849" s="21"/>
      <c r="T2849" s="21"/>
      <c r="U2849" s="21"/>
      <c r="V2849" s="21">
        <v>3</v>
      </c>
      <c r="W2849" s="21"/>
      <c r="X2849" s="21">
        <v>9</v>
      </c>
      <c r="Y2849" s="21"/>
      <c r="Z2849" s="21"/>
      <c r="AA2849" s="21"/>
      <c r="AB2849" s="21"/>
      <c r="AC2849" s="21"/>
      <c r="AD2849" s="21"/>
      <c r="AE2849" s="21"/>
      <c r="AF2849" s="21"/>
      <c r="AG2849" s="21"/>
      <c r="AH2849" s="21">
        <v>60</v>
      </c>
      <c r="AI2849" s="21"/>
      <c r="AJ2849" s="21"/>
      <c r="AK2849" s="21"/>
      <c r="AL2849" s="21">
        <v>4</v>
      </c>
      <c r="AM2849" s="21">
        <v>10</v>
      </c>
      <c r="AN2849" s="21">
        <v>4</v>
      </c>
      <c r="AO2849" s="21">
        <v>9</v>
      </c>
      <c r="AP2849" s="21">
        <v>8</v>
      </c>
      <c r="AQ2849" s="21">
        <v>6</v>
      </c>
      <c r="AR2849" s="21">
        <v>4</v>
      </c>
      <c r="AS2849" s="21">
        <v>15</v>
      </c>
      <c r="AT2849" s="12" t="str">
        <f>HYPERLINK("http://www.openstreetmap.org/?mlat=35.596&amp;mlon=45.4305&amp;zoom=12#map=12/35.596/45.4305","Maplink1")</f>
        <v>Maplink1</v>
      </c>
      <c r="AU2849" s="12" t="str">
        <f>HYPERLINK("https://www.google.iq/maps/search/+35.596,45.4305/@35.596,45.4305,14z?hl=en","Maplink2")</f>
        <v>Maplink2</v>
      </c>
      <c r="AV2849" s="12" t="str">
        <f>HYPERLINK("http://www.bing.com/maps/?lvl=14&amp;sty=h&amp;cp=35.596~45.4305&amp;sp=point.35.596_45.4305","Maplink3")</f>
        <v>Maplink3</v>
      </c>
    </row>
    <row r="2850" spans="1:48" ht="15" customHeight="1" x14ac:dyDescent="0.25">
      <c r="A2850" s="19">
        <v>32061</v>
      </c>
      <c r="B2850" s="20" t="s">
        <v>24</v>
      </c>
      <c r="C2850" s="20" t="s">
        <v>4846</v>
      </c>
      <c r="D2850" s="20" t="s">
        <v>4922</v>
      </c>
      <c r="E2850" s="20" t="s">
        <v>4923</v>
      </c>
      <c r="F2850" s="20">
        <v>35.555129999999998</v>
      </c>
      <c r="G2850" s="20">
        <v>45.436059999999998</v>
      </c>
      <c r="H2850" s="22">
        <v>17</v>
      </c>
      <c r="I2850" s="22">
        <v>102</v>
      </c>
      <c r="J2850" s="21">
        <v>2</v>
      </c>
      <c r="K2850" s="21">
        <v>4</v>
      </c>
      <c r="L2850" s="21">
        <v>8</v>
      </c>
      <c r="M2850" s="21"/>
      <c r="N2850" s="21"/>
      <c r="O2850" s="21"/>
      <c r="P2850" s="21"/>
      <c r="Q2850" s="21"/>
      <c r="R2850" s="21"/>
      <c r="S2850" s="21"/>
      <c r="T2850" s="21"/>
      <c r="U2850" s="21"/>
      <c r="V2850" s="21"/>
      <c r="W2850" s="21"/>
      <c r="X2850" s="21">
        <v>3</v>
      </c>
      <c r="Y2850" s="21"/>
      <c r="Z2850" s="21"/>
      <c r="AA2850" s="21"/>
      <c r="AB2850" s="21"/>
      <c r="AC2850" s="21"/>
      <c r="AD2850" s="21"/>
      <c r="AE2850" s="21"/>
      <c r="AF2850" s="21"/>
      <c r="AG2850" s="21"/>
      <c r="AH2850" s="21">
        <v>17</v>
      </c>
      <c r="AI2850" s="21"/>
      <c r="AJ2850" s="21"/>
      <c r="AK2850" s="21"/>
      <c r="AL2850" s="21">
        <v>6</v>
      </c>
      <c r="AM2850" s="21"/>
      <c r="AN2850" s="21"/>
      <c r="AO2850" s="21">
        <v>5</v>
      </c>
      <c r="AP2850" s="21"/>
      <c r="AQ2850" s="21">
        <v>2</v>
      </c>
      <c r="AR2850" s="21"/>
      <c r="AS2850" s="21">
        <v>4</v>
      </c>
      <c r="AT2850" s="12" t="str">
        <f>HYPERLINK("http://www.openstreetmap.org/?mlat=35.5551&amp;mlon=45.4361&amp;zoom=12#map=12/35.5551/45.4361","Maplink1")</f>
        <v>Maplink1</v>
      </c>
      <c r="AU2850" s="12" t="str">
        <f>HYPERLINK("https://www.google.iq/maps/search/+35.5551,45.4361/@35.5551,45.4361,14z?hl=en","Maplink2")</f>
        <v>Maplink2</v>
      </c>
      <c r="AV2850" s="12" t="str">
        <f>HYPERLINK("http://www.bing.com/maps/?lvl=14&amp;sty=h&amp;cp=35.5551~45.4361&amp;sp=point.35.5551_45.4361","Maplink3")</f>
        <v>Maplink3</v>
      </c>
    </row>
    <row r="2851" spans="1:48" ht="15" customHeight="1" x14ac:dyDescent="0.25">
      <c r="A2851" s="19">
        <v>23771</v>
      </c>
      <c r="B2851" s="20" t="s">
        <v>24</v>
      </c>
      <c r="C2851" s="20" t="s">
        <v>4846</v>
      </c>
      <c r="D2851" s="20" t="s">
        <v>4924</v>
      </c>
      <c r="E2851" s="20" t="s">
        <v>4925</v>
      </c>
      <c r="F2851" s="20">
        <v>35.580962939999999</v>
      </c>
      <c r="G2851" s="20">
        <v>45.173239709999997</v>
      </c>
      <c r="H2851" s="22">
        <v>137</v>
      </c>
      <c r="I2851" s="22">
        <v>822</v>
      </c>
      <c r="J2851" s="21">
        <v>11</v>
      </c>
      <c r="K2851" s="21">
        <v>5</v>
      </c>
      <c r="L2851" s="21">
        <v>16</v>
      </c>
      <c r="M2851" s="21"/>
      <c r="N2851" s="21"/>
      <c r="O2851" s="21">
        <v>15</v>
      </c>
      <c r="P2851" s="21"/>
      <c r="Q2851" s="21"/>
      <c r="R2851" s="21">
        <v>3</v>
      </c>
      <c r="S2851" s="21"/>
      <c r="T2851" s="21"/>
      <c r="U2851" s="21"/>
      <c r="V2851" s="21">
        <v>50</v>
      </c>
      <c r="W2851" s="21"/>
      <c r="X2851" s="21">
        <v>37</v>
      </c>
      <c r="Y2851" s="21"/>
      <c r="Z2851" s="21"/>
      <c r="AA2851" s="21"/>
      <c r="AB2851" s="21"/>
      <c r="AC2851" s="21"/>
      <c r="AD2851" s="21"/>
      <c r="AE2851" s="21"/>
      <c r="AF2851" s="21"/>
      <c r="AG2851" s="21"/>
      <c r="AH2851" s="21">
        <v>137</v>
      </c>
      <c r="AI2851" s="21"/>
      <c r="AJ2851" s="21"/>
      <c r="AK2851" s="21"/>
      <c r="AL2851" s="21">
        <v>10</v>
      </c>
      <c r="AM2851" s="21">
        <v>24</v>
      </c>
      <c r="AN2851" s="21">
        <v>24</v>
      </c>
      <c r="AO2851" s="21">
        <v>19</v>
      </c>
      <c r="AP2851" s="21">
        <v>24</v>
      </c>
      <c r="AQ2851" s="21">
        <v>20</v>
      </c>
      <c r="AR2851" s="21">
        <v>6</v>
      </c>
      <c r="AS2851" s="21">
        <v>10</v>
      </c>
      <c r="AT2851" s="12" t="str">
        <f>HYPERLINK("http://www.openstreetmap.org/?mlat=35.581&amp;mlon=45.1732&amp;zoom=12#map=12/35.581/45.1732","Maplink1")</f>
        <v>Maplink1</v>
      </c>
      <c r="AU2851" s="12" t="str">
        <f>HYPERLINK("https://www.google.iq/maps/search/+35.581,45.1732/@35.581,45.1732,14z?hl=en","Maplink2")</f>
        <v>Maplink2</v>
      </c>
      <c r="AV2851" s="12" t="str">
        <f>HYPERLINK("http://www.bing.com/maps/?lvl=14&amp;sty=h&amp;cp=35.581~45.1732&amp;sp=point.35.581_45.1732","Maplink3")</f>
        <v>Maplink3</v>
      </c>
    </row>
    <row r="2852" spans="1:48" ht="15" customHeight="1" x14ac:dyDescent="0.25">
      <c r="A2852" s="19">
        <v>23927</v>
      </c>
      <c r="B2852" s="20" t="s">
        <v>24</v>
      </c>
      <c r="C2852" s="20" t="s">
        <v>4846</v>
      </c>
      <c r="D2852" s="20" t="s">
        <v>4926</v>
      </c>
      <c r="E2852" s="20" t="s">
        <v>4927</v>
      </c>
      <c r="F2852" s="20">
        <v>35.594399989999999</v>
      </c>
      <c r="G2852" s="20">
        <v>45.139496479999998</v>
      </c>
      <c r="H2852" s="22">
        <v>208</v>
      </c>
      <c r="I2852" s="22">
        <v>1248</v>
      </c>
      <c r="J2852" s="21">
        <v>27</v>
      </c>
      <c r="K2852" s="21">
        <v>8</v>
      </c>
      <c r="L2852" s="21">
        <v>58</v>
      </c>
      <c r="M2852" s="21"/>
      <c r="N2852" s="21"/>
      <c r="O2852" s="21">
        <v>7</v>
      </c>
      <c r="P2852" s="21"/>
      <c r="Q2852" s="21"/>
      <c r="R2852" s="21">
        <v>20</v>
      </c>
      <c r="S2852" s="21"/>
      <c r="T2852" s="21"/>
      <c r="U2852" s="21"/>
      <c r="V2852" s="21">
        <v>52</v>
      </c>
      <c r="W2852" s="21"/>
      <c r="X2852" s="21">
        <v>36</v>
      </c>
      <c r="Y2852" s="21"/>
      <c r="Z2852" s="21"/>
      <c r="AA2852" s="21"/>
      <c r="AB2852" s="21"/>
      <c r="AC2852" s="21"/>
      <c r="AD2852" s="21"/>
      <c r="AE2852" s="21"/>
      <c r="AF2852" s="21"/>
      <c r="AG2852" s="21"/>
      <c r="AH2852" s="21">
        <v>208</v>
      </c>
      <c r="AI2852" s="21"/>
      <c r="AJ2852" s="21"/>
      <c r="AK2852" s="21"/>
      <c r="AL2852" s="21">
        <v>7</v>
      </c>
      <c r="AM2852" s="21">
        <v>16</v>
      </c>
      <c r="AN2852" s="21">
        <v>47</v>
      </c>
      <c r="AO2852" s="21">
        <v>17</v>
      </c>
      <c r="AP2852" s="21">
        <v>24</v>
      </c>
      <c r="AQ2852" s="21">
        <v>20</v>
      </c>
      <c r="AR2852" s="21">
        <v>18</v>
      </c>
      <c r="AS2852" s="21">
        <v>59</v>
      </c>
      <c r="AT2852" s="12" t="str">
        <f>HYPERLINK("http://www.openstreetmap.org/?mlat=35.5944&amp;mlon=45.1395&amp;zoom=12#map=12/35.5944/45.1395","Maplink1")</f>
        <v>Maplink1</v>
      </c>
      <c r="AU2852" s="12" t="str">
        <f>HYPERLINK("https://www.google.iq/maps/search/+35.5944,45.1395/@35.5944,45.1395,14z?hl=en","Maplink2")</f>
        <v>Maplink2</v>
      </c>
      <c r="AV2852" s="12" t="str">
        <f>HYPERLINK("http://www.bing.com/maps/?lvl=14&amp;sty=h&amp;cp=35.5944~45.1395&amp;sp=point.35.5944_45.1395","Maplink3")</f>
        <v>Maplink3</v>
      </c>
    </row>
    <row r="2853" spans="1:48" ht="15" customHeight="1" x14ac:dyDescent="0.25">
      <c r="A2853" s="19">
        <v>23536</v>
      </c>
      <c r="B2853" s="20" t="s">
        <v>24</v>
      </c>
      <c r="C2853" s="20" t="s">
        <v>4846</v>
      </c>
      <c r="D2853" s="20" t="s">
        <v>4928</v>
      </c>
      <c r="E2853" s="20" t="s">
        <v>4617</v>
      </c>
      <c r="F2853" s="20">
        <v>35.591225319999999</v>
      </c>
      <c r="G2853" s="20">
        <v>45.145702049999997</v>
      </c>
      <c r="H2853" s="22">
        <v>66</v>
      </c>
      <c r="I2853" s="22">
        <v>396</v>
      </c>
      <c r="J2853" s="21">
        <v>2</v>
      </c>
      <c r="K2853" s="21">
        <v>1</v>
      </c>
      <c r="L2853" s="21">
        <v>10</v>
      </c>
      <c r="M2853" s="21"/>
      <c r="N2853" s="21"/>
      <c r="O2853" s="21">
        <v>3</v>
      </c>
      <c r="P2853" s="21"/>
      <c r="Q2853" s="21"/>
      <c r="R2853" s="21">
        <v>22</v>
      </c>
      <c r="S2853" s="21"/>
      <c r="T2853" s="21"/>
      <c r="U2853" s="21"/>
      <c r="V2853" s="21">
        <v>5</v>
      </c>
      <c r="W2853" s="21"/>
      <c r="X2853" s="21">
        <v>23</v>
      </c>
      <c r="Y2853" s="21"/>
      <c r="Z2853" s="21"/>
      <c r="AA2853" s="21"/>
      <c r="AB2853" s="21"/>
      <c r="AC2853" s="21"/>
      <c r="AD2853" s="21"/>
      <c r="AE2853" s="21"/>
      <c r="AF2853" s="21"/>
      <c r="AG2853" s="21"/>
      <c r="AH2853" s="21">
        <v>66</v>
      </c>
      <c r="AI2853" s="21"/>
      <c r="AJ2853" s="21"/>
      <c r="AK2853" s="21"/>
      <c r="AL2853" s="21"/>
      <c r="AM2853" s="21">
        <v>9</v>
      </c>
      <c r="AN2853" s="21">
        <v>5</v>
      </c>
      <c r="AO2853" s="21">
        <v>7</v>
      </c>
      <c r="AP2853" s="21">
        <v>2</v>
      </c>
      <c r="AQ2853" s="21">
        <v>2</v>
      </c>
      <c r="AR2853" s="21">
        <v>1</v>
      </c>
      <c r="AS2853" s="21">
        <v>40</v>
      </c>
      <c r="AT2853" s="12" t="str">
        <f>HYPERLINK("http://www.openstreetmap.org/?mlat=35.5912&amp;mlon=45.1457&amp;zoom=12#map=12/35.5912/45.1457","Maplink1")</f>
        <v>Maplink1</v>
      </c>
      <c r="AU2853" s="12" t="str">
        <f>HYPERLINK("https://www.google.iq/maps/search/+35.5912,45.1457/@35.5912,45.1457,14z?hl=en","Maplink2")</f>
        <v>Maplink2</v>
      </c>
      <c r="AV2853" s="12" t="str">
        <f>HYPERLINK("http://www.bing.com/maps/?lvl=14&amp;sty=h&amp;cp=35.5912~45.1457&amp;sp=point.35.5912_45.1457","Maplink3")</f>
        <v>Maplink3</v>
      </c>
    </row>
    <row r="2854" spans="1:48" ht="15" customHeight="1" x14ac:dyDescent="0.25">
      <c r="A2854" s="19">
        <v>21283</v>
      </c>
      <c r="B2854" s="20" t="s">
        <v>24</v>
      </c>
      <c r="C2854" s="20" t="s">
        <v>4846</v>
      </c>
      <c r="D2854" s="20" t="s">
        <v>4929</v>
      </c>
      <c r="E2854" s="20" t="s">
        <v>4626</v>
      </c>
      <c r="F2854" s="20">
        <v>35.599390110000002</v>
      </c>
      <c r="G2854" s="20">
        <v>45.133628440000003</v>
      </c>
      <c r="H2854" s="22">
        <v>63</v>
      </c>
      <c r="I2854" s="22">
        <v>378</v>
      </c>
      <c r="J2854" s="21">
        <v>6</v>
      </c>
      <c r="K2854" s="21">
        <v>7</v>
      </c>
      <c r="L2854" s="21">
        <v>5</v>
      </c>
      <c r="M2854" s="21"/>
      <c r="N2854" s="21"/>
      <c r="O2854" s="21">
        <v>2</v>
      </c>
      <c r="P2854" s="21"/>
      <c r="Q2854" s="21"/>
      <c r="R2854" s="21">
        <v>13</v>
      </c>
      <c r="S2854" s="21"/>
      <c r="T2854" s="21"/>
      <c r="U2854" s="21"/>
      <c r="V2854" s="21">
        <v>11</v>
      </c>
      <c r="W2854" s="21"/>
      <c r="X2854" s="21">
        <v>19</v>
      </c>
      <c r="Y2854" s="21"/>
      <c r="Z2854" s="21"/>
      <c r="AA2854" s="21"/>
      <c r="AB2854" s="21"/>
      <c r="AC2854" s="21"/>
      <c r="AD2854" s="21"/>
      <c r="AE2854" s="21"/>
      <c r="AF2854" s="21"/>
      <c r="AG2854" s="21"/>
      <c r="AH2854" s="21">
        <v>63</v>
      </c>
      <c r="AI2854" s="21"/>
      <c r="AJ2854" s="21"/>
      <c r="AK2854" s="21"/>
      <c r="AL2854" s="21"/>
      <c r="AM2854" s="21">
        <v>17</v>
      </c>
      <c r="AN2854" s="21">
        <v>13</v>
      </c>
      <c r="AO2854" s="21">
        <v>5</v>
      </c>
      <c r="AP2854" s="21"/>
      <c r="AQ2854" s="21">
        <v>4</v>
      </c>
      <c r="AR2854" s="21"/>
      <c r="AS2854" s="21">
        <v>24</v>
      </c>
      <c r="AT2854" s="12" t="str">
        <f>HYPERLINK("http://www.openstreetmap.org/?mlat=35.5994&amp;mlon=45.1336&amp;zoom=12#map=12/35.5994/45.1336","Maplink1")</f>
        <v>Maplink1</v>
      </c>
      <c r="AU2854" s="12" t="str">
        <f>HYPERLINK("https://www.google.iq/maps/search/+35.5994,45.1336/@35.5994,45.1336,14z?hl=en","Maplink2")</f>
        <v>Maplink2</v>
      </c>
      <c r="AV2854" s="12" t="str">
        <f>HYPERLINK("http://www.bing.com/maps/?lvl=14&amp;sty=h&amp;cp=35.5994~45.1336&amp;sp=point.35.5994_45.1336","Maplink3")</f>
        <v>Maplink3</v>
      </c>
    </row>
    <row r="2855" spans="1:48" ht="15" customHeight="1" x14ac:dyDescent="0.25">
      <c r="A2855" s="19">
        <v>25892</v>
      </c>
      <c r="B2855" s="20" t="s">
        <v>24</v>
      </c>
      <c r="C2855" s="20" t="s">
        <v>4846</v>
      </c>
      <c r="D2855" s="20" t="s">
        <v>4930</v>
      </c>
      <c r="E2855" s="20" t="s">
        <v>4931</v>
      </c>
      <c r="F2855" s="20">
        <v>35.588543700000002</v>
      </c>
      <c r="G2855" s="20">
        <v>45.150779540000002</v>
      </c>
      <c r="H2855" s="22">
        <v>38</v>
      </c>
      <c r="I2855" s="22">
        <v>228</v>
      </c>
      <c r="J2855" s="21">
        <v>11</v>
      </c>
      <c r="K2855" s="21"/>
      <c r="L2855" s="21">
        <v>6</v>
      </c>
      <c r="M2855" s="21"/>
      <c r="N2855" s="21"/>
      <c r="O2855" s="21">
        <v>4</v>
      </c>
      <c r="P2855" s="21"/>
      <c r="Q2855" s="21"/>
      <c r="R2855" s="21">
        <v>6</v>
      </c>
      <c r="S2855" s="21"/>
      <c r="T2855" s="21"/>
      <c r="U2855" s="21"/>
      <c r="V2855" s="21">
        <v>5</v>
      </c>
      <c r="W2855" s="21"/>
      <c r="X2855" s="21">
        <v>6</v>
      </c>
      <c r="Y2855" s="21"/>
      <c r="Z2855" s="21"/>
      <c r="AA2855" s="21"/>
      <c r="AB2855" s="21"/>
      <c r="AC2855" s="21"/>
      <c r="AD2855" s="21"/>
      <c r="AE2855" s="21"/>
      <c r="AF2855" s="21"/>
      <c r="AG2855" s="21"/>
      <c r="AH2855" s="21">
        <v>38</v>
      </c>
      <c r="AI2855" s="21"/>
      <c r="AJ2855" s="21"/>
      <c r="AK2855" s="21"/>
      <c r="AL2855" s="21">
        <v>2</v>
      </c>
      <c r="AM2855" s="21">
        <v>4</v>
      </c>
      <c r="AN2855" s="21">
        <v>5</v>
      </c>
      <c r="AO2855" s="21">
        <v>9</v>
      </c>
      <c r="AP2855" s="21">
        <v>6</v>
      </c>
      <c r="AQ2855" s="21">
        <v>1</v>
      </c>
      <c r="AR2855" s="21">
        <v>1</v>
      </c>
      <c r="AS2855" s="21">
        <v>10</v>
      </c>
      <c r="AT2855" s="12" t="str">
        <f>HYPERLINK("http://www.openstreetmap.org/?mlat=35.5885&amp;mlon=45.1508&amp;zoom=12#map=12/35.5885/45.1508","Maplink1")</f>
        <v>Maplink1</v>
      </c>
      <c r="AU2855" s="12" t="str">
        <f>HYPERLINK("https://www.google.iq/maps/search/+35.5885,45.1508/@35.5885,45.1508,14z?hl=en","Maplink2")</f>
        <v>Maplink2</v>
      </c>
      <c r="AV2855" s="12" t="str">
        <f>HYPERLINK("http://www.bing.com/maps/?lvl=14&amp;sty=h&amp;cp=35.5885~45.1508&amp;sp=point.35.5885_45.1508","Maplink3")</f>
        <v>Maplink3</v>
      </c>
    </row>
    <row r="2856" spans="1:48" ht="15" customHeight="1" x14ac:dyDescent="0.25">
      <c r="A2856" s="19">
        <v>5739</v>
      </c>
      <c r="B2856" s="20" t="s">
        <v>24</v>
      </c>
      <c r="C2856" s="20" t="s">
        <v>4846</v>
      </c>
      <c r="D2856" s="20" t="s">
        <v>4932</v>
      </c>
      <c r="E2856" s="20" t="s">
        <v>4933</v>
      </c>
      <c r="F2856" s="20">
        <v>35.574539999999999</v>
      </c>
      <c r="G2856" s="20">
        <v>45.152410000000003</v>
      </c>
      <c r="H2856" s="22">
        <v>13</v>
      </c>
      <c r="I2856" s="22">
        <v>78</v>
      </c>
      <c r="J2856" s="21">
        <v>1</v>
      </c>
      <c r="K2856" s="21"/>
      <c r="L2856" s="21">
        <v>5</v>
      </c>
      <c r="M2856" s="21"/>
      <c r="N2856" s="21"/>
      <c r="O2856" s="21"/>
      <c r="P2856" s="21"/>
      <c r="Q2856" s="21"/>
      <c r="R2856" s="21"/>
      <c r="S2856" s="21"/>
      <c r="T2856" s="21"/>
      <c r="U2856" s="21"/>
      <c r="V2856" s="21">
        <v>5</v>
      </c>
      <c r="W2856" s="21"/>
      <c r="X2856" s="21">
        <v>2</v>
      </c>
      <c r="Y2856" s="21"/>
      <c r="Z2856" s="21"/>
      <c r="AA2856" s="21"/>
      <c r="AB2856" s="21"/>
      <c r="AC2856" s="21"/>
      <c r="AD2856" s="21"/>
      <c r="AE2856" s="21"/>
      <c r="AF2856" s="21"/>
      <c r="AG2856" s="21"/>
      <c r="AH2856" s="21">
        <v>13</v>
      </c>
      <c r="AI2856" s="21"/>
      <c r="AJ2856" s="21"/>
      <c r="AK2856" s="21"/>
      <c r="AL2856" s="21"/>
      <c r="AM2856" s="21">
        <v>5</v>
      </c>
      <c r="AN2856" s="21">
        <v>4</v>
      </c>
      <c r="AO2856" s="21">
        <v>3</v>
      </c>
      <c r="AP2856" s="21"/>
      <c r="AQ2856" s="21"/>
      <c r="AR2856" s="21"/>
      <c r="AS2856" s="21">
        <v>1</v>
      </c>
      <c r="AT2856" s="12" t="str">
        <f>HYPERLINK("http://www.openstreetmap.org/?mlat=35.5745&amp;mlon=45.1524&amp;zoom=12#map=12/35.5745/45.1524","Maplink1")</f>
        <v>Maplink1</v>
      </c>
      <c r="AU2856" s="12" t="str">
        <f>HYPERLINK("https://www.google.iq/maps/search/+35.5745,45.1524/@35.5745,45.1524,14z?hl=en","Maplink2")</f>
        <v>Maplink2</v>
      </c>
      <c r="AV2856" s="12" t="str">
        <f>HYPERLINK("http://www.bing.com/maps/?lvl=14&amp;sty=h&amp;cp=35.5745~45.1524&amp;sp=point.35.5745_45.1524","Maplink3")</f>
        <v>Maplink3</v>
      </c>
    </row>
    <row r="2857" spans="1:48" ht="15" customHeight="1" x14ac:dyDescent="0.25">
      <c r="A2857" s="19">
        <v>4507</v>
      </c>
      <c r="B2857" s="20" t="s">
        <v>24</v>
      </c>
      <c r="C2857" s="20" t="s">
        <v>4846</v>
      </c>
      <c r="D2857" s="20" t="s">
        <v>4934</v>
      </c>
      <c r="E2857" s="20" t="s">
        <v>4935</v>
      </c>
      <c r="F2857" s="20">
        <v>35.467529999999996</v>
      </c>
      <c r="G2857" s="20">
        <v>45.255659999999999</v>
      </c>
      <c r="H2857" s="22">
        <v>8</v>
      </c>
      <c r="I2857" s="22">
        <v>48</v>
      </c>
      <c r="J2857" s="21">
        <v>3</v>
      </c>
      <c r="K2857" s="21"/>
      <c r="L2857" s="21">
        <v>3</v>
      </c>
      <c r="M2857" s="21"/>
      <c r="N2857" s="21"/>
      <c r="O2857" s="21">
        <v>1</v>
      </c>
      <c r="P2857" s="21"/>
      <c r="Q2857" s="21"/>
      <c r="R2857" s="21"/>
      <c r="S2857" s="21"/>
      <c r="T2857" s="21"/>
      <c r="U2857" s="21"/>
      <c r="V2857" s="21"/>
      <c r="W2857" s="21"/>
      <c r="X2857" s="21">
        <v>1</v>
      </c>
      <c r="Y2857" s="21"/>
      <c r="Z2857" s="21"/>
      <c r="AA2857" s="21"/>
      <c r="AB2857" s="21"/>
      <c r="AC2857" s="21"/>
      <c r="AD2857" s="21"/>
      <c r="AE2857" s="21"/>
      <c r="AF2857" s="21"/>
      <c r="AG2857" s="21"/>
      <c r="AH2857" s="21">
        <v>8</v>
      </c>
      <c r="AI2857" s="21"/>
      <c r="AJ2857" s="21"/>
      <c r="AK2857" s="21"/>
      <c r="AL2857" s="21"/>
      <c r="AM2857" s="21">
        <v>1</v>
      </c>
      <c r="AN2857" s="21"/>
      <c r="AO2857" s="21">
        <v>1</v>
      </c>
      <c r="AP2857" s="21"/>
      <c r="AQ2857" s="21">
        <v>1</v>
      </c>
      <c r="AR2857" s="21">
        <v>2</v>
      </c>
      <c r="AS2857" s="21">
        <v>3</v>
      </c>
      <c r="AT2857" s="12" t="str">
        <f>HYPERLINK("http://www.openstreetmap.org/?mlat=35.4675&amp;mlon=45.2557&amp;zoom=12#map=12/35.4675/45.2557","Maplink1")</f>
        <v>Maplink1</v>
      </c>
      <c r="AU2857" s="12" t="str">
        <f>HYPERLINK("https://www.google.iq/maps/search/+35.4675,45.2557/@35.4675,45.2557,14z?hl=en","Maplink2")</f>
        <v>Maplink2</v>
      </c>
      <c r="AV2857" s="12" t="str">
        <f>HYPERLINK("http://www.bing.com/maps/?lvl=14&amp;sty=h&amp;cp=35.4675~45.2557&amp;sp=point.35.4675_45.2557","Maplink3")</f>
        <v>Maplink3</v>
      </c>
    </row>
    <row r="2858" spans="1:48" ht="15" customHeight="1" x14ac:dyDescent="0.25">
      <c r="A2858" s="19">
        <v>4566</v>
      </c>
      <c r="B2858" s="20" t="s">
        <v>24</v>
      </c>
      <c r="C2858" s="20" t="s">
        <v>4846</v>
      </c>
      <c r="D2858" s="20" t="s">
        <v>4936</v>
      </c>
      <c r="E2858" s="20" t="s">
        <v>4937</v>
      </c>
      <c r="F2858" s="20">
        <v>35.502809999999997</v>
      </c>
      <c r="G2858" s="20">
        <v>45.247860000000003</v>
      </c>
      <c r="H2858" s="22">
        <v>23</v>
      </c>
      <c r="I2858" s="22">
        <v>138</v>
      </c>
      <c r="J2858" s="21">
        <v>6</v>
      </c>
      <c r="K2858" s="21">
        <v>1</v>
      </c>
      <c r="L2858" s="21">
        <v>4</v>
      </c>
      <c r="M2858" s="21"/>
      <c r="N2858" s="21"/>
      <c r="O2858" s="21">
        <v>1</v>
      </c>
      <c r="P2858" s="21"/>
      <c r="Q2858" s="21"/>
      <c r="R2858" s="21"/>
      <c r="S2858" s="21"/>
      <c r="T2858" s="21"/>
      <c r="U2858" s="21"/>
      <c r="V2858" s="21">
        <v>2</v>
      </c>
      <c r="W2858" s="21"/>
      <c r="X2858" s="21">
        <v>9</v>
      </c>
      <c r="Y2858" s="21"/>
      <c r="Z2858" s="21"/>
      <c r="AA2858" s="21"/>
      <c r="AB2858" s="21"/>
      <c r="AC2858" s="21"/>
      <c r="AD2858" s="21"/>
      <c r="AE2858" s="21"/>
      <c r="AF2858" s="21"/>
      <c r="AG2858" s="21"/>
      <c r="AH2858" s="21">
        <v>23</v>
      </c>
      <c r="AI2858" s="21"/>
      <c r="AJ2858" s="21"/>
      <c r="AK2858" s="21"/>
      <c r="AL2858" s="21"/>
      <c r="AM2858" s="21">
        <v>7</v>
      </c>
      <c r="AN2858" s="21">
        <v>1</v>
      </c>
      <c r="AO2858" s="21">
        <v>3</v>
      </c>
      <c r="AP2858" s="21"/>
      <c r="AQ2858" s="21">
        <v>2</v>
      </c>
      <c r="AR2858" s="21">
        <v>8</v>
      </c>
      <c r="AS2858" s="21">
        <v>2</v>
      </c>
      <c r="AT2858" s="12" t="str">
        <f>HYPERLINK("http://www.openstreetmap.org/?mlat=35.5028&amp;mlon=45.2479&amp;zoom=12#map=12/35.5028/45.2479","Maplink1")</f>
        <v>Maplink1</v>
      </c>
      <c r="AU2858" s="12" t="str">
        <f>HYPERLINK("https://www.google.iq/maps/search/+35.5028,45.2479/@35.5028,45.2479,14z?hl=en","Maplink2")</f>
        <v>Maplink2</v>
      </c>
      <c r="AV2858" s="12" t="str">
        <f>HYPERLINK("http://www.bing.com/maps/?lvl=14&amp;sty=h&amp;cp=35.5028~45.2479&amp;sp=point.35.5028_45.2479","Maplink3")</f>
        <v>Maplink3</v>
      </c>
    </row>
    <row r="2859" spans="1:48" ht="15" customHeight="1" x14ac:dyDescent="0.25">
      <c r="A2859" s="19">
        <v>4496</v>
      </c>
      <c r="B2859" s="20" t="s">
        <v>24</v>
      </c>
      <c r="C2859" s="20" t="s">
        <v>4846</v>
      </c>
      <c r="D2859" s="20" t="s">
        <v>4938</v>
      </c>
      <c r="E2859" s="20" t="s">
        <v>4939</v>
      </c>
      <c r="F2859" s="20">
        <v>35.542110000000001</v>
      </c>
      <c r="G2859" s="20">
        <v>45.15831</v>
      </c>
      <c r="H2859" s="22">
        <v>20</v>
      </c>
      <c r="I2859" s="22">
        <v>120</v>
      </c>
      <c r="J2859" s="21"/>
      <c r="K2859" s="21"/>
      <c r="L2859" s="21">
        <v>2</v>
      </c>
      <c r="M2859" s="21"/>
      <c r="N2859" s="21"/>
      <c r="O2859" s="21">
        <v>2</v>
      </c>
      <c r="P2859" s="21"/>
      <c r="Q2859" s="21"/>
      <c r="R2859" s="21"/>
      <c r="S2859" s="21"/>
      <c r="T2859" s="21"/>
      <c r="U2859" s="21"/>
      <c r="V2859" s="21">
        <v>8</v>
      </c>
      <c r="W2859" s="21"/>
      <c r="X2859" s="21">
        <v>8</v>
      </c>
      <c r="Y2859" s="21"/>
      <c r="Z2859" s="21"/>
      <c r="AA2859" s="21"/>
      <c r="AB2859" s="21"/>
      <c r="AC2859" s="21"/>
      <c r="AD2859" s="21"/>
      <c r="AE2859" s="21"/>
      <c r="AF2859" s="21"/>
      <c r="AG2859" s="21"/>
      <c r="AH2859" s="21">
        <v>20</v>
      </c>
      <c r="AI2859" s="21"/>
      <c r="AJ2859" s="21"/>
      <c r="AK2859" s="21"/>
      <c r="AL2859" s="21"/>
      <c r="AM2859" s="21">
        <v>4</v>
      </c>
      <c r="AN2859" s="21">
        <v>5</v>
      </c>
      <c r="AO2859" s="21"/>
      <c r="AP2859" s="21">
        <v>2</v>
      </c>
      <c r="AQ2859" s="21">
        <v>4</v>
      </c>
      <c r="AR2859" s="21">
        <v>5</v>
      </c>
      <c r="AS2859" s="21"/>
      <c r="AT2859" s="12" t="str">
        <f>HYPERLINK("http://www.openstreetmap.org/?mlat=35.5421&amp;mlon=45.1583&amp;zoom=12#map=12/35.5421/45.1583","Maplink1")</f>
        <v>Maplink1</v>
      </c>
      <c r="AU2859" s="12" t="str">
        <f>HYPERLINK("https://www.google.iq/maps/search/+35.5421,45.1583/@35.5421,45.1583,14z?hl=en","Maplink2")</f>
        <v>Maplink2</v>
      </c>
      <c r="AV2859" s="12" t="str">
        <f>HYPERLINK("http://www.bing.com/maps/?lvl=14&amp;sty=h&amp;cp=35.5421~45.1583&amp;sp=point.35.5421_45.1583","Maplink3")</f>
        <v>Maplink3</v>
      </c>
    </row>
    <row r="2860" spans="1:48" ht="15" customHeight="1" x14ac:dyDescent="0.25">
      <c r="A2860" s="19">
        <v>5760</v>
      </c>
      <c r="B2860" s="20" t="s">
        <v>24</v>
      </c>
      <c r="C2860" s="20" t="s">
        <v>4846</v>
      </c>
      <c r="D2860" s="20" t="s">
        <v>4940</v>
      </c>
      <c r="E2860" s="20" t="s">
        <v>4941</v>
      </c>
      <c r="F2860" s="20">
        <v>35.527970000000003</v>
      </c>
      <c r="G2860" s="20">
        <v>45.171140000000001</v>
      </c>
      <c r="H2860" s="22">
        <v>10</v>
      </c>
      <c r="I2860" s="22">
        <v>60</v>
      </c>
      <c r="J2860" s="21">
        <v>3</v>
      </c>
      <c r="K2860" s="21"/>
      <c r="L2860" s="21"/>
      <c r="M2860" s="21"/>
      <c r="N2860" s="21"/>
      <c r="O2860" s="21"/>
      <c r="P2860" s="21"/>
      <c r="Q2860" s="21"/>
      <c r="R2860" s="21"/>
      <c r="S2860" s="21"/>
      <c r="T2860" s="21"/>
      <c r="U2860" s="21"/>
      <c r="V2860" s="21">
        <v>5</v>
      </c>
      <c r="W2860" s="21"/>
      <c r="X2860" s="21">
        <v>2</v>
      </c>
      <c r="Y2860" s="21"/>
      <c r="Z2860" s="21"/>
      <c r="AA2860" s="21"/>
      <c r="AB2860" s="21"/>
      <c r="AC2860" s="21"/>
      <c r="AD2860" s="21"/>
      <c r="AE2860" s="21"/>
      <c r="AF2860" s="21"/>
      <c r="AG2860" s="21"/>
      <c r="AH2860" s="21">
        <v>10</v>
      </c>
      <c r="AI2860" s="21"/>
      <c r="AJ2860" s="21"/>
      <c r="AK2860" s="21"/>
      <c r="AL2860" s="21"/>
      <c r="AM2860" s="21">
        <v>1</v>
      </c>
      <c r="AN2860" s="21">
        <v>3</v>
      </c>
      <c r="AO2860" s="21">
        <v>2</v>
      </c>
      <c r="AP2860" s="21"/>
      <c r="AQ2860" s="21">
        <v>3</v>
      </c>
      <c r="AR2860" s="21">
        <v>1</v>
      </c>
      <c r="AS2860" s="21"/>
      <c r="AT2860" s="12" t="str">
        <f>HYPERLINK("http://www.openstreetmap.org/?mlat=35.528&amp;mlon=45.1711&amp;zoom=12#map=12/35.528/45.1711","Maplink1")</f>
        <v>Maplink1</v>
      </c>
      <c r="AU2860" s="12" t="str">
        <f>HYPERLINK("https://www.google.iq/maps/search/+35.528,45.1711/@35.528,45.1711,14z?hl=en","Maplink2")</f>
        <v>Maplink2</v>
      </c>
      <c r="AV2860" s="12" t="str">
        <f>HYPERLINK("http://www.bing.com/maps/?lvl=14&amp;sty=h&amp;cp=35.528~45.1711&amp;sp=point.35.528_45.1711","Maplink3")</f>
        <v>Maplink3</v>
      </c>
    </row>
    <row r="2861" spans="1:48" ht="15" customHeight="1" x14ac:dyDescent="0.25">
      <c r="A2861" s="19">
        <v>5885</v>
      </c>
      <c r="B2861" s="20" t="s">
        <v>24</v>
      </c>
      <c r="C2861" s="20" t="s">
        <v>4846</v>
      </c>
      <c r="D2861" s="20" t="s">
        <v>4942</v>
      </c>
      <c r="E2861" s="20" t="s">
        <v>4943</v>
      </c>
      <c r="F2861" s="20">
        <v>35.531489999999998</v>
      </c>
      <c r="G2861" s="20">
        <v>45.187420000000003</v>
      </c>
      <c r="H2861" s="22">
        <v>21</v>
      </c>
      <c r="I2861" s="22">
        <v>126</v>
      </c>
      <c r="J2861" s="21">
        <v>1</v>
      </c>
      <c r="K2861" s="21">
        <v>1</v>
      </c>
      <c r="L2861" s="21">
        <v>7</v>
      </c>
      <c r="M2861" s="21"/>
      <c r="N2861" s="21"/>
      <c r="O2861" s="21"/>
      <c r="P2861" s="21"/>
      <c r="Q2861" s="21"/>
      <c r="R2861" s="21"/>
      <c r="S2861" s="21"/>
      <c r="T2861" s="21"/>
      <c r="U2861" s="21"/>
      <c r="V2861" s="21">
        <v>1</v>
      </c>
      <c r="W2861" s="21"/>
      <c r="X2861" s="21">
        <v>11</v>
      </c>
      <c r="Y2861" s="21"/>
      <c r="Z2861" s="21"/>
      <c r="AA2861" s="21"/>
      <c r="AB2861" s="21"/>
      <c r="AC2861" s="21"/>
      <c r="AD2861" s="21"/>
      <c r="AE2861" s="21"/>
      <c r="AF2861" s="21"/>
      <c r="AG2861" s="21"/>
      <c r="AH2861" s="21">
        <v>21</v>
      </c>
      <c r="AI2861" s="21"/>
      <c r="AJ2861" s="21"/>
      <c r="AK2861" s="21"/>
      <c r="AL2861" s="21"/>
      <c r="AM2861" s="21">
        <v>7</v>
      </c>
      <c r="AN2861" s="21">
        <v>2</v>
      </c>
      <c r="AO2861" s="21">
        <v>5</v>
      </c>
      <c r="AP2861" s="21"/>
      <c r="AQ2861" s="21">
        <v>3</v>
      </c>
      <c r="AR2861" s="21">
        <v>4</v>
      </c>
      <c r="AS2861" s="21"/>
      <c r="AT2861" s="12" t="str">
        <f>HYPERLINK("http://www.openstreetmap.org/?mlat=35.5315&amp;mlon=45.1874&amp;zoom=12#map=12/35.5315/45.1874","Maplink1")</f>
        <v>Maplink1</v>
      </c>
      <c r="AU2861" s="12" t="str">
        <f>HYPERLINK("https://www.google.iq/maps/search/+35.5315,45.1874/@35.5315,45.1874,14z?hl=en","Maplink2")</f>
        <v>Maplink2</v>
      </c>
      <c r="AV2861" s="12" t="str">
        <f>HYPERLINK("http://www.bing.com/maps/?lvl=14&amp;sty=h&amp;cp=35.5315~45.1874&amp;sp=point.35.5315_45.1874","Maplink3")</f>
        <v>Maplink3</v>
      </c>
    </row>
    <row r="2862" spans="1:48" ht="15" customHeight="1" x14ac:dyDescent="0.25">
      <c r="A2862" s="19">
        <v>4563</v>
      </c>
      <c r="B2862" s="20" t="s">
        <v>24</v>
      </c>
      <c r="C2862" s="20" t="s">
        <v>4846</v>
      </c>
      <c r="D2862" s="20" t="s">
        <v>4944</v>
      </c>
      <c r="E2862" s="20" t="s">
        <v>4945</v>
      </c>
      <c r="F2862" s="20">
        <v>35.533909999999999</v>
      </c>
      <c r="G2862" s="20">
        <v>45.191789999999997</v>
      </c>
      <c r="H2862" s="22">
        <v>11</v>
      </c>
      <c r="I2862" s="22">
        <v>66</v>
      </c>
      <c r="J2862" s="21"/>
      <c r="K2862" s="21"/>
      <c r="L2862" s="21">
        <v>3</v>
      </c>
      <c r="M2862" s="21"/>
      <c r="N2862" s="21"/>
      <c r="O2862" s="21"/>
      <c r="P2862" s="21"/>
      <c r="Q2862" s="21"/>
      <c r="R2862" s="21"/>
      <c r="S2862" s="21"/>
      <c r="T2862" s="21"/>
      <c r="U2862" s="21"/>
      <c r="V2862" s="21">
        <v>1</v>
      </c>
      <c r="W2862" s="21"/>
      <c r="X2862" s="21">
        <v>7</v>
      </c>
      <c r="Y2862" s="21"/>
      <c r="Z2862" s="21"/>
      <c r="AA2862" s="21"/>
      <c r="AB2862" s="21"/>
      <c r="AC2862" s="21"/>
      <c r="AD2862" s="21"/>
      <c r="AE2862" s="21"/>
      <c r="AF2862" s="21"/>
      <c r="AG2862" s="21"/>
      <c r="AH2862" s="21">
        <v>11</v>
      </c>
      <c r="AI2862" s="21"/>
      <c r="AJ2862" s="21"/>
      <c r="AK2862" s="21"/>
      <c r="AL2862" s="21"/>
      <c r="AM2862" s="21">
        <v>2</v>
      </c>
      <c r="AN2862" s="21">
        <v>4</v>
      </c>
      <c r="AO2862" s="21">
        <v>3</v>
      </c>
      <c r="AP2862" s="21"/>
      <c r="AQ2862" s="21"/>
      <c r="AR2862" s="21">
        <v>2</v>
      </c>
      <c r="AS2862" s="21"/>
      <c r="AT2862" s="12" t="str">
        <f>HYPERLINK("http://www.openstreetmap.org/?mlat=35.5339&amp;mlon=45.1918&amp;zoom=12#map=12/35.5339/45.1918","Maplink1")</f>
        <v>Maplink1</v>
      </c>
      <c r="AU2862" s="12" t="str">
        <f>HYPERLINK("https://www.google.iq/maps/search/+35.5339,45.1918/@35.5339,45.1918,14z?hl=en","Maplink2")</f>
        <v>Maplink2</v>
      </c>
      <c r="AV2862" s="12" t="str">
        <f>HYPERLINK("http://www.bing.com/maps/?lvl=14&amp;sty=h&amp;cp=35.5339~45.1918&amp;sp=point.35.5339_45.1918","Maplink3")</f>
        <v>Maplink3</v>
      </c>
    </row>
    <row r="2863" spans="1:48" ht="15" customHeight="1" x14ac:dyDescent="0.25">
      <c r="A2863" s="19">
        <v>31965</v>
      </c>
      <c r="B2863" s="20" t="s">
        <v>24</v>
      </c>
      <c r="C2863" s="20" t="s">
        <v>4846</v>
      </c>
      <c r="D2863" s="20" t="s">
        <v>4946</v>
      </c>
      <c r="E2863" s="20" t="s">
        <v>4947</v>
      </c>
      <c r="F2863" s="20">
        <v>35.518039999999999</v>
      </c>
      <c r="G2863" s="20">
        <v>45.24333</v>
      </c>
      <c r="H2863" s="22">
        <v>17</v>
      </c>
      <c r="I2863" s="22">
        <v>102</v>
      </c>
      <c r="J2863" s="21"/>
      <c r="K2863" s="21">
        <v>2</v>
      </c>
      <c r="L2863" s="21">
        <v>3</v>
      </c>
      <c r="M2863" s="21"/>
      <c r="N2863" s="21"/>
      <c r="O2863" s="21">
        <v>3</v>
      </c>
      <c r="P2863" s="21"/>
      <c r="Q2863" s="21"/>
      <c r="R2863" s="21"/>
      <c r="S2863" s="21"/>
      <c r="T2863" s="21"/>
      <c r="U2863" s="21"/>
      <c r="V2863" s="21">
        <v>3</v>
      </c>
      <c r="W2863" s="21"/>
      <c r="X2863" s="21">
        <v>6</v>
      </c>
      <c r="Y2863" s="21"/>
      <c r="Z2863" s="21"/>
      <c r="AA2863" s="21"/>
      <c r="AB2863" s="21"/>
      <c r="AC2863" s="21"/>
      <c r="AD2863" s="21"/>
      <c r="AE2863" s="21"/>
      <c r="AF2863" s="21"/>
      <c r="AG2863" s="21"/>
      <c r="AH2863" s="21">
        <v>17</v>
      </c>
      <c r="AI2863" s="21"/>
      <c r="AJ2863" s="21"/>
      <c r="AK2863" s="21"/>
      <c r="AL2863" s="21"/>
      <c r="AM2863" s="21">
        <v>4</v>
      </c>
      <c r="AN2863" s="21">
        <v>3</v>
      </c>
      <c r="AO2863" s="21">
        <v>4</v>
      </c>
      <c r="AP2863" s="21">
        <v>1</v>
      </c>
      <c r="AQ2863" s="21">
        <v>1</v>
      </c>
      <c r="AR2863" s="21">
        <v>3</v>
      </c>
      <c r="AS2863" s="21">
        <v>1</v>
      </c>
      <c r="AT2863" s="12" t="str">
        <f>HYPERLINK("http://www.openstreetmap.org/?mlat=35.518&amp;mlon=45.2433&amp;zoom=12#map=12/35.518/45.2433","Maplink1")</f>
        <v>Maplink1</v>
      </c>
      <c r="AU2863" s="12" t="str">
        <f>HYPERLINK("https://www.google.iq/maps/search/+35.518,45.2433/@35.518,45.2433,14z?hl=en","Maplink2")</f>
        <v>Maplink2</v>
      </c>
      <c r="AV2863" s="12" t="str">
        <f>HYPERLINK("http://www.bing.com/maps/?lvl=14&amp;sty=h&amp;cp=35.518~45.2433&amp;sp=point.35.518_45.2433","Maplink3")</f>
        <v>Maplink3</v>
      </c>
    </row>
    <row r="2864" spans="1:48" ht="15" customHeight="1" x14ac:dyDescent="0.25">
      <c r="A2864" s="19">
        <v>4876</v>
      </c>
      <c r="B2864" s="20" t="s">
        <v>24</v>
      </c>
      <c r="C2864" s="20" t="s">
        <v>4846</v>
      </c>
      <c r="D2864" s="20" t="s">
        <v>4948</v>
      </c>
      <c r="E2864" s="20" t="s">
        <v>4949</v>
      </c>
      <c r="F2864" s="20">
        <v>35.574730000000002</v>
      </c>
      <c r="G2864" s="20">
        <v>45.13796</v>
      </c>
      <c r="H2864" s="22">
        <v>13</v>
      </c>
      <c r="I2864" s="22">
        <v>78</v>
      </c>
      <c r="J2864" s="21">
        <v>3</v>
      </c>
      <c r="K2864" s="21"/>
      <c r="L2864" s="21">
        <v>4</v>
      </c>
      <c r="M2864" s="21"/>
      <c r="N2864" s="21"/>
      <c r="O2864" s="21"/>
      <c r="P2864" s="21"/>
      <c r="Q2864" s="21"/>
      <c r="R2864" s="21"/>
      <c r="S2864" s="21"/>
      <c r="T2864" s="21"/>
      <c r="U2864" s="21"/>
      <c r="V2864" s="21"/>
      <c r="W2864" s="21"/>
      <c r="X2864" s="21">
        <v>6</v>
      </c>
      <c r="Y2864" s="21"/>
      <c r="Z2864" s="21"/>
      <c r="AA2864" s="21"/>
      <c r="AB2864" s="21"/>
      <c r="AC2864" s="21"/>
      <c r="AD2864" s="21"/>
      <c r="AE2864" s="21"/>
      <c r="AF2864" s="21"/>
      <c r="AG2864" s="21"/>
      <c r="AH2864" s="21">
        <v>13</v>
      </c>
      <c r="AI2864" s="21"/>
      <c r="AJ2864" s="21"/>
      <c r="AK2864" s="21"/>
      <c r="AL2864" s="21"/>
      <c r="AM2864" s="21">
        <v>4</v>
      </c>
      <c r="AN2864" s="21"/>
      <c r="AO2864" s="21">
        <v>5</v>
      </c>
      <c r="AP2864" s="21"/>
      <c r="AQ2864" s="21">
        <v>4</v>
      </c>
      <c r="AR2864" s="21"/>
      <c r="AS2864" s="21"/>
      <c r="AT2864" s="12" t="str">
        <f>HYPERLINK("http://www.openstreetmap.org/?mlat=35.5747&amp;mlon=45.138&amp;zoom=12#map=12/35.5747/45.138","Maplink1")</f>
        <v>Maplink1</v>
      </c>
      <c r="AU2864" s="12" t="str">
        <f>HYPERLINK("https://www.google.iq/maps/search/+35.5747,45.138/@35.5747,45.138,14z?hl=en","Maplink2")</f>
        <v>Maplink2</v>
      </c>
      <c r="AV2864" s="12" t="str">
        <f>HYPERLINK("http://www.bing.com/maps/?lvl=14&amp;sty=h&amp;cp=35.5747~45.138&amp;sp=point.35.5747_45.138","Maplink3")</f>
        <v>Maplink3</v>
      </c>
    </row>
    <row r="2865" spans="1:48" ht="15" customHeight="1" x14ac:dyDescent="0.25">
      <c r="A2865" s="19">
        <v>4557</v>
      </c>
      <c r="B2865" s="20" t="s">
        <v>24</v>
      </c>
      <c r="C2865" s="20" t="s">
        <v>4846</v>
      </c>
      <c r="D2865" s="20" t="s">
        <v>4950</v>
      </c>
      <c r="E2865" s="20" t="s">
        <v>4951</v>
      </c>
      <c r="F2865" s="20">
        <v>35.522629999999999</v>
      </c>
      <c r="G2865" s="20">
        <v>45.198120000000003</v>
      </c>
      <c r="H2865" s="22">
        <v>34</v>
      </c>
      <c r="I2865" s="22">
        <v>204</v>
      </c>
      <c r="J2865" s="21">
        <v>3</v>
      </c>
      <c r="K2865" s="21"/>
      <c r="L2865" s="21">
        <v>10</v>
      </c>
      <c r="M2865" s="21"/>
      <c r="N2865" s="21"/>
      <c r="O2865" s="21"/>
      <c r="P2865" s="21"/>
      <c r="Q2865" s="21"/>
      <c r="R2865" s="21"/>
      <c r="S2865" s="21"/>
      <c r="T2865" s="21"/>
      <c r="U2865" s="21"/>
      <c r="V2865" s="21">
        <v>4</v>
      </c>
      <c r="W2865" s="21"/>
      <c r="X2865" s="21">
        <v>17</v>
      </c>
      <c r="Y2865" s="21"/>
      <c r="Z2865" s="21"/>
      <c r="AA2865" s="21"/>
      <c r="AB2865" s="21"/>
      <c r="AC2865" s="21"/>
      <c r="AD2865" s="21"/>
      <c r="AE2865" s="21"/>
      <c r="AF2865" s="21"/>
      <c r="AG2865" s="21"/>
      <c r="AH2865" s="21">
        <v>34</v>
      </c>
      <c r="AI2865" s="21"/>
      <c r="AJ2865" s="21"/>
      <c r="AK2865" s="21"/>
      <c r="AL2865" s="21">
        <v>1</v>
      </c>
      <c r="AM2865" s="21">
        <v>16</v>
      </c>
      <c r="AN2865" s="21">
        <v>8</v>
      </c>
      <c r="AO2865" s="21">
        <v>5</v>
      </c>
      <c r="AP2865" s="21">
        <v>1</v>
      </c>
      <c r="AQ2865" s="21">
        <v>3</v>
      </c>
      <c r="AR2865" s="21"/>
      <c r="AS2865" s="21"/>
      <c r="AT2865" s="12" t="str">
        <f>HYPERLINK("http://www.openstreetmap.org/?mlat=35.5226&amp;mlon=45.1981&amp;zoom=12#map=12/35.5226/45.1981","Maplink1")</f>
        <v>Maplink1</v>
      </c>
      <c r="AU2865" s="12" t="str">
        <f>HYPERLINK("https://www.google.iq/maps/search/+35.5226,45.1981/@35.5226,45.1981,14z?hl=en","Maplink2")</f>
        <v>Maplink2</v>
      </c>
      <c r="AV2865" s="12" t="str">
        <f>HYPERLINK("http://www.bing.com/maps/?lvl=14&amp;sty=h&amp;cp=35.5226~45.1981&amp;sp=point.35.5226_45.1981","Maplink3")</f>
        <v>Maplink3</v>
      </c>
    </row>
    <row r="2866" spans="1:48" ht="15" customHeight="1" x14ac:dyDescent="0.25">
      <c r="A2866" s="19">
        <v>4684</v>
      </c>
      <c r="B2866" s="20" t="s">
        <v>24</v>
      </c>
      <c r="C2866" s="20" t="s">
        <v>4846</v>
      </c>
      <c r="D2866" s="20" t="s">
        <v>4952</v>
      </c>
      <c r="E2866" s="20" t="s">
        <v>4953</v>
      </c>
      <c r="F2866" s="20">
        <v>35.482819999999997</v>
      </c>
      <c r="G2866" s="20">
        <v>45.268270000000001</v>
      </c>
      <c r="H2866" s="22">
        <v>9</v>
      </c>
      <c r="I2866" s="22">
        <v>54</v>
      </c>
      <c r="J2866" s="21"/>
      <c r="K2866" s="21"/>
      <c r="L2866" s="21">
        <v>2</v>
      </c>
      <c r="M2866" s="21"/>
      <c r="N2866" s="21"/>
      <c r="O2866" s="21"/>
      <c r="P2866" s="21"/>
      <c r="Q2866" s="21"/>
      <c r="R2866" s="21"/>
      <c r="S2866" s="21"/>
      <c r="T2866" s="21"/>
      <c r="U2866" s="21"/>
      <c r="V2866" s="21">
        <v>5</v>
      </c>
      <c r="W2866" s="21"/>
      <c r="X2866" s="21">
        <v>2</v>
      </c>
      <c r="Y2866" s="21"/>
      <c r="Z2866" s="21"/>
      <c r="AA2866" s="21"/>
      <c r="AB2866" s="21"/>
      <c r="AC2866" s="21"/>
      <c r="AD2866" s="21"/>
      <c r="AE2866" s="21"/>
      <c r="AF2866" s="21"/>
      <c r="AG2866" s="21"/>
      <c r="AH2866" s="21">
        <v>9</v>
      </c>
      <c r="AI2866" s="21"/>
      <c r="AJ2866" s="21"/>
      <c r="AK2866" s="21"/>
      <c r="AL2866" s="21"/>
      <c r="AM2866" s="21">
        <v>6</v>
      </c>
      <c r="AN2866" s="21">
        <v>1</v>
      </c>
      <c r="AO2866" s="21">
        <v>2</v>
      </c>
      <c r="AP2866" s="21"/>
      <c r="AQ2866" s="21"/>
      <c r="AR2866" s="21"/>
      <c r="AS2866" s="21"/>
      <c r="AT2866" s="12" t="str">
        <f>HYPERLINK("http://www.openstreetmap.org/?mlat=35.4828&amp;mlon=45.2683&amp;zoom=12#map=12/35.4828/45.2683","Maplink1")</f>
        <v>Maplink1</v>
      </c>
      <c r="AU2866" s="12" t="str">
        <f>HYPERLINK("https://www.google.iq/maps/search/+35.4828,45.2683/@35.4828,45.2683,14z?hl=en","Maplink2")</f>
        <v>Maplink2</v>
      </c>
      <c r="AV2866" s="12" t="str">
        <f>HYPERLINK("http://www.bing.com/maps/?lvl=14&amp;sty=h&amp;cp=35.4828~45.2683&amp;sp=point.35.4828_45.2683","Maplink3")</f>
        <v>Maplink3</v>
      </c>
    </row>
    <row r="2867" spans="1:48" ht="15" customHeight="1" x14ac:dyDescent="0.25">
      <c r="A2867" s="19">
        <v>4964</v>
      </c>
      <c r="B2867" s="20" t="s">
        <v>24</v>
      </c>
      <c r="C2867" s="20" t="s">
        <v>4846</v>
      </c>
      <c r="D2867" s="20" t="s">
        <v>4954</v>
      </c>
      <c r="E2867" s="20" t="s">
        <v>4955</v>
      </c>
      <c r="F2867" s="20">
        <v>35.558300000000003</v>
      </c>
      <c r="G2867" s="20">
        <v>45.201259999999998</v>
      </c>
      <c r="H2867" s="22">
        <v>97</v>
      </c>
      <c r="I2867" s="22">
        <v>582</v>
      </c>
      <c r="J2867" s="21">
        <v>16</v>
      </c>
      <c r="K2867" s="21">
        <v>3</v>
      </c>
      <c r="L2867" s="21">
        <v>26</v>
      </c>
      <c r="M2867" s="21"/>
      <c r="N2867" s="21"/>
      <c r="O2867" s="21">
        <v>4</v>
      </c>
      <c r="P2867" s="21"/>
      <c r="Q2867" s="21"/>
      <c r="R2867" s="21"/>
      <c r="S2867" s="21"/>
      <c r="T2867" s="21"/>
      <c r="U2867" s="21"/>
      <c r="V2867" s="21">
        <v>19</v>
      </c>
      <c r="W2867" s="21"/>
      <c r="X2867" s="21">
        <v>29</v>
      </c>
      <c r="Y2867" s="21"/>
      <c r="Z2867" s="21"/>
      <c r="AA2867" s="21"/>
      <c r="AB2867" s="21"/>
      <c r="AC2867" s="21"/>
      <c r="AD2867" s="21"/>
      <c r="AE2867" s="21"/>
      <c r="AF2867" s="21"/>
      <c r="AG2867" s="21"/>
      <c r="AH2867" s="21">
        <v>97</v>
      </c>
      <c r="AI2867" s="21"/>
      <c r="AJ2867" s="21"/>
      <c r="AK2867" s="21"/>
      <c r="AL2867" s="21">
        <v>2</v>
      </c>
      <c r="AM2867" s="21">
        <v>26</v>
      </c>
      <c r="AN2867" s="21">
        <v>16</v>
      </c>
      <c r="AO2867" s="21">
        <v>18</v>
      </c>
      <c r="AP2867" s="21">
        <v>10</v>
      </c>
      <c r="AQ2867" s="21">
        <v>14</v>
      </c>
      <c r="AR2867" s="21">
        <v>4</v>
      </c>
      <c r="AS2867" s="21">
        <v>7</v>
      </c>
      <c r="AT2867" s="12" t="str">
        <f>HYPERLINK("http://www.openstreetmap.org/?mlat=35.5583&amp;mlon=45.2013&amp;zoom=12#map=12/35.5583/45.2013","Maplink1")</f>
        <v>Maplink1</v>
      </c>
      <c r="AU2867" s="12" t="str">
        <f>HYPERLINK("https://www.google.iq/maps/search/+35.5583,45.2013/@35.5583,45.2013,14z?hl=en","Maplink2")</f>
        <v>Maplink2</v>
      </c>
      <c r="AV2867" s="12" t="str">
        <f>HYPERLINK("http://www.bing.com/maps/?lvl=14&amp;sty=h&amp;cp=35.5583~45.2013&amp;sp=point.35.5583_45.2013","Maplink3")</f>
        <v>Maplink3</v>
      </c>
    </row>
    <row r="2868" spans="1:48" ht="15" customHeight="1" x14ac:dyDescent="0.25">
      <c r="A2868" s="19">
        <v>5808</v>
      </c>
      <c r="B2868" s="20" t="s">
        <v>24</v>
      </c>
      <c r="C2868" s="20" t="s">
        <v>4846</v>
      </c>
      <c r="D2868" s="20" t="s">
        <v>4956</v>
      </c>
      <c r="E2868" s="20" t="s">
        <v>4957</v>
      </c>
      <c r="F2868" s="20">
        <v>35.565930000000002</v>
      </c>
      <c r="G2868" s="20">
        <v>45.195520000000002</v>
      </c>
      <c r="H2868" s="22">
        <v>50</v>
      </c>
      <c r="I2868" s="22">
        <v>300</v>
      </c>
      <c r="J2868" s="21">
        <v>8</v>
      </c>
      <c r="K2868" s="21">
        <v>2</v>
      </c>
      <c r="L2868" s="21">
        <v>7</v>
      </c>
      <c r="M2868" s="21"/>
      <c r="N2868" s="21"/>
      <c r="O2868" s="21"/>
      <c r="P2868" s="21"/>
      <c r="Q2868" s="21"/>
      <c r="R2868" s="21"/>
      <c r="S2868" s="21"/>
      <c r="T2868" s="21"/>
      <c r="U2868" s="21"/>
      <c r="V2868" s="21">
        <v>19</v>
      </c>
      <c r="W2868" s="21"/>
      <c r="X2868" s="21">
        <v>14</v>
      </c>
      <c r="Y2868" s="21"/>
      <c r="Z2868" s="21"/>
      <c r="AA2868" s="21"/>
      <c r="AB2868" s="21"/>
      <c r="AC2868" s="21"/>
      <c r="AD2868" s="21"/>
      <c r="AE2868" s="21"/>
      <c r="AF2868" s="21"/>
      <c r="AG2868" s="21"/>
      <c r="AH2868" s="21">
        <v>50</v>
      </c>
      <c r="AI2868" s="21"/>
      <c r="AJ2868" s="21"/>
      <c r="AK2868" s="21"/>
      <c r="AL2868" s="21"/>
      <c r="AM2868" s="21">
        <v>14</v>
      </c>
      <c r="AN2868" s="21">
        <v>6</v>
      </c>
      <c r="AO2868" s="21">
        <v>8</v>
      </c>
      <c r="AP2868" s="21">
        <v>15</v>
      </c>
      <c r="AQ2868" s="21">
        <v>2</v>
      </c>
      <c r="AR2868" s="21">
        <v>4</v>
      </c>
      <c r="AS2868" s="21">
        <v>1</v>
      </c>
      <c r="AT2868" s="12" t="str">
        <f>HYPERLINK("http://www.openstreetmap.org/?mlat=35.5659&amp;mlon=45.1955&amp;zoom=12#map=12/35.5659/45.1955","Maplink1")</f>
        <v>Maplink1</v>
      </c>
      <c r="AU2868" s="12" t="str">
        <f>HYPERLINK("https://www.google.iq/maps/search/+35.5659,45.1955/@35.5659,45.1955,14z?hl=en","Maplink2")</f>
        <v>Maplink2</v>
      </c>
      <c r="AV2868" s="12" t="str">
        <f>HYPERLINK("http://www.bing.com/maps/?lvl=14&amp;sty=h&amp;cp=35.5659~45.1955&amp;sp=point.35.5659_45.1955","Maplink3")</f>
        <v>Maplink3</v>
      </c>
    </row>
    <row r="2869" spans="1:48" ht="15" customHeight="1" x14ac:dyDescent="0.25">
      <c r="A2869" s="19">
        <v>5806</v>
      </c>
      <c r="B2869" s="20" t="s">
        <v>24</v>
      </c>
      <c r="C2869" s="20" t="s">
        <v>4846</v>
      </c>
      <c r="D2869" s="20" t="s">
        <v>5998</v>
      </c>
      <c r="E2869" s="20" t="s">
        <v>5999</v>
      </c>
      <c r="F2869" s="20">
        <v>35.616942033999997</v>
      </c>
      <c r="G2869" s="20">
        <v>45.1022384989</v>
      </c>
      <c r="H2869" s="22">
        <v>21</v>
      </c>
      <c r="I2869" s="22">
        <v>126</v>
      </c>
      <c r="J2869" s="21">
        <v>5</v>
      </c>
      <c r="K2869" s="21"/>
      <c r="L2869" s="21">
        <v>1</v>
      </c>
      <c r="M2869" s="21"/>
      <c r="N2869" s="21"/>
      <c r="O2869" s="21"/>
      <c r="P2869" s="21"/>
      <c r="Q2869" s="21"/>
      <c r="R2869" s="21"/>
      <c r="S2869" s="21"/>
      <c r="T2869" s="21"/>
      <c r="U2869" s="21"/>
      <c r="V2869" s="21">
        <v>5</v>
      </c>
      <c r="W2869" s="21"/>
      <c r="X2869" s="21">
        <v>10</v>
      </c>
      <c r="Y2869" s="21"/>
      <c r="Z2869" s="21"/>
      <c r="AA2869" s="21"/>
      <c r="AB2869" s="21"/>
      <c r="AC2869" s="21"/>
      <c r="AD2869" s="21"/>
      <c r="AE2869" s="21"/>
      <c r="AF2869" s="21"/>
      <c r="AG2869" s="21"/>
      <c r="AH2869" s="21">
        <v>21</v>
      </c>
      <c r="AI2869" s="21"/>
      <c r="AJ2869" s="21"/>
      <c r="AK2869" s="21"/>
      <c r="AL2869" s="21">
        <v>2</v>
      </c>
      <c r="AM2869" s="21">
        <v>7</v>
      </c>
      <c r="AN2869" s="21">
        <v>5</v>
      </c>
      <c r="AO2869" s="21">
        <v>2</v>
      </c>
      <c r="AP2869" s="21">
        <v>1</v>
      </c>
      <c r="AQ2869" s="21"/>
      <c r="AR2869" s="21"/>
      <c r="AS2869" s="21">
        <v>4</v>
      </c>
      <c r="AT2869" s="12" t="str">
        <f>HYPERLINK("http://www.openstreetmap.org/?mlat=35.6169&amp;mlon=45.1022&amp;zoom=12#map=12/35.6169/45.1022","Maplink1")</f>
        <v>Maplink1</v>
      </c>
      <c r="AU2869" s="12" t="str">
        <f>HYPERLINK("https://www.google.iq/maps/search/+35.6169,45.1022/@35.6169,45.1022,14z?hl=en","Maplink2")</f>
        <v>Maplink2</v>
      </c>
      <c r="AV2869" s="12" t="str">
        <f>HYPERLINK("http://www.bing.com/maps/?lvl=14&amp;sty=h&amp;cp=35.6169~45.1022&amp;sp=point.35.6169_45.1022","Maplink3")</f>
        <v>Maplink3</v>
      </c>
    </row>
    <row r="2870" spans="1:48" ht="15" customHeight="1" x14ac:dyDescent="0.25">
      <c r="A2870" s="19">
        <v>5116</v>
      </c>
      <c r="B2870" s="20" t="s">
        <v>24</v>
      </c>
      <c r="C2870" s="20" t="s">
        <v>4846</v>
      </c>
      <c r="D2870" s="20" t="s">
        <v>5899</v>
      </c>
      <c r="E2870" s="20" t="s">
        <v>5900</v>
      </c>
      <c r="F2870" s="20">
        <v>35.570659999999997</v>
      </c>
      <c r="G2870" s="20">
        <v>45.163510000000002</v>
      </c>
      <c r="H2870" s="22">
        <v>38</v>
      </c>
      <c r="I2870" s="22">
        <v>228</v>
      </c>
      <c r="J2870" s="21">
        <v>7</v>
      </c>
      <c r="K2870" s="21"/>
      <c r="L2870" s="21">
        <v>4</v>
      </c>
      <c r="M2870" s="21"/>
      <c r="N2870" s="21"/>
      <c r="O2870" s="21"/>
      <c r="P2870" s="21"/>
      <c r="Q2870" s="21"/>
      <c r="R2870" s="21"/>
      <c r="S2870" s="21"/>
      <c r="T2870" s="21"/>
      <c r="U2870" s="21"/>
      <c r="V2870" s="21">
        <v>14</v>
      </c>
      <c r="W2870" s="21"/>
      <c r="X2870" s="21">
        <v>13</v>
      </c>
      <c r="Y2870" s="21"/>
      <c r="Z2870" s="21"/>
      <c r="AA2870" s="21"/>
      <c r="AB2870" s="21"/>
      <c r="AC2870" s="21"/>
      <c r="AD2870" s="21"/>
      <c r="AE2870" s="21"/>
      <c r="AF2870" s="21"/>
      <c r="AG2870" s="21"/>
      <c r="AH2870" s="21">
        <v>38</v>
      </c>
      <c r="AI2870" s="21"/>
      <c r="AJ2870" s="21"/>
      <c r="AK2870" s="21"/>
      <c r="AL2870" s="21">
        <v>2</v>
      </c>
      <c r="AM2870" s="21">
        <v>15</v>
      </c>
      <c r="AN2870" s="21">
        <v>13</v>
      </c>
      <c r="AO2870" s="21">
        <v>8</v>
      </c>
      <c r="AP2870" s="21"/>
      <c r="AQ2870" s="21"/>
      <c r="AR2870" s="21"/>
      <c r="AS2870" s="21"/>
      <c r="AT2870" s="12" t="str">
        <f>HYPERLINK("http://www.openstreetmap.org/?mlat=35.5707&amp;mlon=45.1635&amp;zoom=12#map=12/35.5707/45.1635","Maplink1")</f>
        <v>Maplink1</v>
      </c>
      <c r="AU2870" s="12" t="str">
        <f>HYPERLINK("https://www.google.iq/maps/search/+35.5707,45.1635/@35.5707,45.1635,14z?hl=en","Maplink2")</f>
        <v>Maplink2</v>
      </c>
      <c r="AV2870" s="12" t="str">
        <f>HYPERLINK("http://www.bing.com/maps/?lvl=14&amp;sty=h&amp;cp=35.5707~45.1635&amp;sp=point.35.5707_45.1635","Maplink3")</f>
        <v>Maplink3</v>
      </c>
    </row>
    <row r="2871" spans="1:48" ht="15" customHeight="1" x14ac:dyDescent="0.25">
      <c r="A2871" s="19">
        <v>31964</v>
      </c>
      <c r="B2871" s="20" t="s">
        <v>24</v>
      </c>
      <c r="C2871" s="20" t="s">
        <v>4846</v>
      </c>
      <c r="D2871" s="20" t="s">
        <v>4958</v>
      </c>
      <c r="E2871" s="20" t="s">
        <v>4959</v>
      </c>
      <c r="F2871" s="20">
        <v>35.523760000000003</v>
      </c>
      <c r="G2871" s="20">
        <v>45.216050000000003</v>
      </c>
      <c r="H2871" s="22">
        <v>13</v>
      </c>
      <c r="I2871" s="22">
        <v>78</v>
      </c>
      <c r="J2871" s="21">
        <v>2</v>
      </c>
      <c r="K2871" s="21"/>
      <c r="L2871" s="21">
        <v>2</v>
      </c>
      <c r="M2871" s="21"/>
      <c r="N2871" s="21"/>
      <c r="O2871" s="21"/>
      <c r="P2871" s="21"/>
      <c r="Q2871" s="21"/>
      <c r="R2871" s="21"/>
      <c r="S2871" s="21"/>
      <c r="T2871" s="21"/>
      <c r="U2871" s="21"/>
      <c r="V2871" s="21">
        <v>3</v>
      </c>
      <c r="W2871" s="21"/>
      <c r="X2871" s="21">
        <v>6</v>
      </c>
      <c r="Y2871" s="21"/>
      <c r="Z2871" s="21"/>
      <c r="AA2871" s="21"/>
      <c r="AB2871" s="21"/>
      <c r="AC2871" s="21"/>
      <c r="AD2871" s="21"/>
      <c r="AE2871" s="21"/>
      <c r="AF2871" s="21"/>
      <c r="AG2871" s="21"/>
      <c r="AH2871" s="21">
        <v>13</v>
      </c>
      <c r="AI2871" s="21"/>
      <c r="AJ2871" s="21"/>
      <c r="AK2871" s="21"/>
      <c r="AL2871" s="21"/>
      <c r="AM2871" s="21"/>
      <c r="AN2871" s="21">
        <v>3</v>
      </c>
      <c r="AO2871" s="21">
        <v>2</v>
      </c>
      <c r="AP2871" s="21">
        <v>3</v>
      </c>
      <c r="AQ2871" s="21"/>
      <c r="AR2871" s="21">
        <v>5</v>
      </c>
      <c r="AS2871" s="21"/>
      <c r="AT2871" s="12" t="str">
        <f>HYPERLINK("http://www.openstreetmap.org/?mlat=35.5238&amp;mlon=45.2161&amp;zoom=12#map=12/35.5238/45.2161","Maplink1")</f>
        <v>Maplink1</v>
      </c>
      <c r="AU2871" s="12" t="str">
        <f>HYPERLINK("https://www.google.iq/maps/search/+35.5238,45.2161/@35.5238,45.2161,14z?hl=en","Maplink2")</f>
        <v>Maplink2</v>
      </c>
      <c r="AV2871" s="12" t="str">
        <f>HYPERLINK("http://www.bing.com/maps/?lvl=14&amp;sty=h&amp;cp=35.5238~45.2161&amp;sp=point.35.5238_45.2161","Maplink3")</f>
        <v>Maplink3</v>
      </c>
    </row>
    <row r="2872" spans="1:48" ht="15" customHeight="1" x14ac:dyDescent="0.25">
      <c r="A2872" s="19">
        <v>28414</v>
      </c>
      <c r="B2872" s="20" t="s">
        <v>24</v>
      </c>
      <c r="C2872" s="20" t="s">
        <v>4846</v>
      </c>
      <c r="D2872" s="20" t="s">
        <v>4960</v>
      </c>
      <c r="E2872" s="20" t="s">
        <v>4494</v>
      </c>
      <c r="F2872" s="20">
        <v>35.593941749999999</v>
      </c>
      <c r="G2872" s="20">
        <v>45.401400649999999</v>
      </c>
      <c r="H2872" s="22">
        <v>134</v>
      </c>
      <c r="I2872" s="22">
        <v>804</v>
      </c>
      <c r="J2872" s="21">
        <v>61</v>
      </c>
      <c r="K2872" s="21"/>
      <c r="L2872" s="21">
        <v>18</v>
      </c>
      <c r="M2872" s="21"/>
      <c r="N2872" s="21"/>
      <c r="O2872" s="21"/>
      <c r="P2872" s="21"/>
      <c r="Q2872" s="21"/>
      <c r="R2872" s="21">
        <v>30</v>
      </c>
      <c r="S2872" s="21"/>
      <c r="T2872" s="21"/>
      <c r="U2872" s="21"/>
      <c r="V2872" s="21"/>
      <c r="W2872" s="21"/>
      <c r="X2872" s="21">
        <v>25</v>
      </c>
      <c r="Y2872" s="21"/>
      <c r="Z2872" s="21"/>
      <c r="AA2872" s="21"/>
      <c r="AB2872" s="21"/>
      <c r="AC2872" s="21"/>
      <c r="AD2872" s="21"/>
      <c r="AE2872" s="21"/>
      <c r="AF2872" s="21"/>
      <c r="AG2872" s="21"/>
      <c r="AH2872" s="21">
        <v>134</v>
      </c>
      <c r="AI2872" s="21"/>
      <c r="AJ2872" s="21"/>
      <c r="AK2872" s="21"/>
      <c r="AL2872" s="21">
        <v>12</v>
      </c>
      <c r="AM2872" s="21">
        <v>14</v>
      </c>
      <c r="AN2872" s="21"/>
      <c r="AO2872" s="21">
        <v>20</v>
      </c>
      <c r="AP2872" s="21">
        <v>16</v>
      </c>
      <c r="AQ2872" s="21">
        <v>20</v>
      </c>
      <c r="AR2872" s="21">
        <v>2</v>
      </c>
      <c r="AS2872" s="21">
        <v>50</v>
      </c>
      <c r="AT2872" s="12" t="str">
        <f>HYPERLINK("http://www.openstreetmap.org/?mlat=35.5939&amp;mlon=45.4014&amp;zoom=12#map=12/35.5939/45.4014","Maplink1")</f>
        <v>Maplink1</v>
      </c>
      <c r="AU2872" s="12" t="str">
        <f>HYPERLINK("https://www.google.iq/maps/search/+35.5939,45.4014/@35.5939,45.4014,14z?hl=en","Maplink2")</f>
        <v>Maplink2</v>
      </c>
      <c r="AV2872" s="12" t="str">
        <f>HYPERLINK("http://www.bing.com/maps/?lvl=14&amp;sty=h&amp;cp=35.5939~45.4014&amp;sp=point.35.5939_45.4014","Maplink3")</f>
        <v>Maplink3</v>
      </c>
    </row>
    <row r="2873" spans="1:48" ht="15" customHeight="1" x14ac:dyDescent="0.25">
      <c r="A2873" s="19">
        <v>31985</v>
      </c>
      <c r="B2873" s="20" t="s">
        <v>24</v>
      </c>
      <c r="C2873" s="20" t="s">
        <v>4846</v>
      </c>
      <c r="D2873" s="20" t="s">
        <v>4961</v>
      </c>
      <c r="E2873" s="20" t="s">
        <v>4962</v>
      </c>
      <c r="F2873" s="20">
        <v>35.578330000000001</v>
      </c>
      <c r="G2873" s="20">
        <v>45.415750000000003</v>
      </c>
      <c r="H2873" s="22">
        <v>32</v>
      </c>
      <c r="I2873" s="22">
        <v>192</v>
      </c>
      <c r="J2873" s="21">
        <v>8</v>
      </c>
      <c r="K2873" s="21">
        <v>1</v>
      </c>
      <c r="L2873" s="21">
        <v>17</v>
      </c>
      <c r="M2873" s="21"/>
      <c r="N2873" s="21"/>
      <c r="O2873" s="21">
        <v>3</v>
      </c>
      <c r="P2873" s="21"/>
      <c r="Q2873" s="21"/>
      <c r="R2873" s="21"/>
      <c r="S2873" s="21"/>
      <c r="T2873" s="21"/>
      <c r="U2873" s="21"/>
      <c r="V2873" s="21">
        <v>1</v>
      </c>
      <c r="W2873" s="21"/>
      <c r="X2873" s="21">
        <v>2</v>
      </c>
      <c r="Y2873" s="21"/>
      <c r="Z2873" s="21"/>
      <c r="AA2873" s="21"/>
      <c r="AB2873" s="21"/>
      <c r="AC2873" s="21"/>
      <c r="AD2873" s="21"/>
      <c r="AE2873" s="21"/>
      <c r="AF2873" s="21"/>
      <c r="AG2873" s="21"/>
      <c r="AH2873" s="21">
        <v>32</v>
      </c>
      <c r="AI2873" s="21"/>
      <c r="AJ2873" s="21"/>
      <c r="AK2873" s="21"/>
      <c r="AL2873" s="21">
        <v>1</v>
      </c>
      <c r="AM2873" s="21">
        <v>6</v>
      </c>
      <c r="AN2873" s="21"/>
      <c r="AO2873" s="21">
        <v>15</v>
      </c>
      <c r="AP2873" s="21">
        <v>2</v>
      </c>
      <c r="AQ2873" s="21">
        <v>5</v>
      </c>
      <c r="AR2873" s="21">
        <v>2</v>
      </c>
      <c r="AS2873" s="21">
        <v>1</v>
      </c>
      <c r="AT2873" s="12" t="str">
        <f>HYPERLINK("http://www.openstreetmap.org/?mlat=35.5783&amp;mlon=45.4158&amp;zoom=12#map=12/35.5783/45.4158","Maplink1")</f>
        <v>Maplink1</v>
      </c>
      <c r="AU2873" s="12" t="str">
        <f>HYPERLINK("https://www.google.iq/maps/search/+35.5783,45.4158/@35.5783,45.4158,14z?hl=en","Maplink2")</f>
        <v>Maplink2</v>
      </c>
      <c r="AV2873" s="12" t="str">
        <f>HYPERLINK("http://www.bing.com/maps/?lvl=14&amp;sty=h&amp;cp=35.5783~45.4158&amp;sp=point.35.5783_45.4158","Maplink3")</f>
        <v>Maplink3</v>
      </c>
    </row>
    <row r="2874" spans="1:48" ht="15" customHeight="1" x14ac:dyDescent="0.25">
      <c r="A2874" s="19">
        <v>31864</v>
      </c>
      <c r="B2874" s="20" t="s">
        <v>24</v>
      </c>
      <c r="C2874" s="20" t="s">
        <v>4846</v>
      </c>
      <c r="D2874" s="20" t="s">
        <v>4963</v>
      </c>
      <c r="E2874" s="20" t="s">
        <v>4964</v>
      </c>
      <c r="F2874" s="20">
        <v>35.47392</v>
      </c>
      <c r="G2874" s="20">
        <v>45.434179999999998</v>
      </c>
      <c r="H2874" s="22">
        <v>10</v>
      </c>
      <c r="I2874" s="22">
        <v>60</v>
      </c>
      <c r="J2874" s="21"/>
      <c r="K2874" s="21"/>
      <c r="L2874" s="21">
        <v>3</v>
      </c>
      <c r="M2874" s="21"/>
      <c r="N2874" s="21"/>
      <c r="O2874" s="21">
        <v>4</v>
      </c>
      <c r="P2874" s="21"/>
      <c r="Q2874" s="21"/>
      <c r="R2874" s="21"/>
      <c r="S2874" s="21"/>
      <c r="T2874" s="21"/>
      <c r="U2874" s="21"/>
      <c r="V2874" s="21">
        <v>3</v>
      </c>
      <c r="W2874" s="21"/>
      <c r="X2874" s="21"/>
      <c r="Y2874" s="21"/>
      <c r="Z2874" s="21"/>
      <c r="AA2874" s="21"/>
      <c r="AB2874" s="21"/>
      <c r="AC2874" s="21"/>
      <c r="AD2874" s="21"/>
      <c r="AE2874" s="21"/>
      <c r="AF2874" s="21"/>
      <c r="AG2874" s="21"/>
      <c r="AH2874" s="21">
        <v>10</v>
      </c>
      <c r="AI2874" s="21"/>
      <c r="AJ2874" s="21"/>
      <c r="AK2874" s="21"/>
      <c r="AL2874" s="21"/>
      <c r="AM2874" s="21">
        <v>5</v>
      </c>
      <c r="AN2874" s="21"/>
      <c r="AO2874" s="21">
        <v>5</v>
      </c>
      <c r="AP2874" s="21"/>
      <c r="AQ2874" s="21"/>
      <c r="AR2874" s="21"/>
      <c r="AS2874" s="21"/>
      <c r="AT2874" s="12" t="str">
        <f>HYPERLINK("http://www.openstreetmap.org/?mlat=35.4739&amp;mlon=45.4342&amp;zoom=12#map=12/35.4739/45.4342","Maplink1")</f>
        <v>Maplink1</v>
      </c>
      <c r="AU2874" s="12" t="str">
        <f>HYPERLINK("https://www.google.iq/maps/search/+35.4739,45.4342/@35.4739,45.4342,14z?hl=en","Maplink2")</f>
        <v>Maplink2</v>
      </c>
      <c r="AV2874" s="12" t="str">
        <f>HYPERLINK("http://www.bing.com/maps/?lvl=14&amp;sty=h&amp;cp=35.4739~45.4342&amp;sp=point.35.4739_45.4342","Maplink3")</f>
        <v>Maplink3</v>
      </c>
    </row>
    <row r="2875" spans="1:48" ht="15" customHeight="1" x14ac:dyDescent="0.25">
      <c r="A2875" s="19">
        <v>32002</v>
      </c>
      <c r="B2875" s="20" t="s">
        <v>24</v>
      </c>
      <c r="C2875" s="20" t="s">
        <v>4846</v>
      </c>
      <c r="D2875" s="20" t="s">
        <v>4965</v>
      </c>
      <c r="E2875" s="20" t="s">
        <v>4966</v>
      </c>
      <c r="F2875" s="20">
        <v>35.601730000000003</v>
      </c>
      <c r="G2875" s="20">
        <v>45.409750000000003</v>
      </c>
      <c r="H2875" s="22">
        <v>68</v>
      </c>
      <c r="I2875" s="22">
        <v>408</v>
      </c>
      <c r="J2875" s="21">
        <v>40</v>
      </c>
      <c r="K2875" s="21">
        <v>1</v>
      </c>
      <c r="L2875" s="21">
        <v>7</v>
      </c>
      <c r="M2875" s="21"/>
      <c r="N2875" s="21"/>
      <c r="O2875" s="21"/>
      <c r="P2875" s="21"/>
      <c r="Q2875" s="21"/>
      <c r="R2875" s="21">
        <v>10</v>
      </c>
      <c r="S2875" s="21"/>
      <c r="T2875" s="21"/>
      <c r="U2875" s="21"/>
      <c r="V2875" s="21">
        <v>3</v>
      </c>
      <c r="W2875" s="21"/>
      <c r="X2875" s="21">
        <v>7</v>
      </c>
      <c r="Y2875" s="21"/>
      <c r="Z2875" s="21"/>
      <c r="AA2875" s="21"/>
      <c r="AB2875" s="21"/>
      <c r="AC2875" s="21"/>
      <c r="AD2875" s="21"/>
      <c r="AE2875" s="21"/>
      <c r="AF2875" s="21"/>
      <c r="AG2875" s="21"/>
      <c r="AH2875" s="21">
        <v>68</v>
      </c>
      <c r="AI2875" s="21"/>
      <c r="AJ2875" s="21"/>
      <c r="AK2875" s="21"/>
      <c r="AL2875" s="21">
        <v>8</v>
      </c>
      <c r="AM2875" s="21">
        <v>9</v>
      </c>
      <c r="AN2875" s="21">
        <v>7</v>
      </c>
      <c r="AO2875" s="21">
        <v>10</v>
      </c>
      <c r="AP2875" s="21">
        <v>11</v>
      </c>
      <c r="AQ2875" s="21">
        <v>6</v>
      </c>
      <c r="AR2875" s="21">
        <v>1</v>
      </c>
      <c r="AS2875" s="21">
        <v>16</v>
      </c>
      <c r="AT2875" s="12" t="str">
        <f>HYPERLINK("http://www.openstreetmap.org/?mlat=35.6017&amp;mlon=45.4098&amp;zoom=12#map=12/35.6017/45.4098","Maplink1")</f>
        <v>Maplink1</v>
      </c>
      <c r="AU2875" s="12" t="str">
        <f>HYPERLINK("https://www.google.iq/maps/search/+35.6017,45.4098/@35.6017,45.4098,14z?hl=en","Maplink2")</f>
        <v>Maplink2</v>
      </c>
      <c r="AV2875" s="12" t="str">
        <f>HYPERLINK("http://www.bing.com/maps/?lvl=14&amp;sty=h&amp;cp=35.6017~45.4098&amp;sp=point.35.6017_45.4098","Maplink3")</f>
        <v>Maplink3</v>
      </c>
    </row>
    <row r="2876" spans="1:48" ht="15" customHeight="1" x14ac:dyDescent="0.25">
      <c r="A2876" s="19">
        <v>31978</v>
      </c>
      <c r="B2876" s="20" t="s">
        <v>24</v>
      </c>
      <c r="C2876" s="20" t="s">
        <v>4846</v>
      </c>
      <c r="D2876" s="20" t="s">
        <v>4967</v>
      </c>
      <c r="E2876" s="20" t="s">
        <v>4968</v>
      </c>
      <c r="F2876" s="20">
        <v>35.528640000000003</v>
      </c>
      <c r="G2876" s="20">
        <v>45.444690000000001</v>
      </c>
      <c r="H2876" s="22">
        <v>106</v>
      </c>
      <c r="I2876" s="22">
        <v>636</v>
      </c>
      <c r="J2876" s="21">
        <v>38</v>
      </c>
      <c r="K2876" s="21">
        <v>2</v>
      </c>
      <c r="L2876" s="21">
        <v>12</v>
      </c>
      <c r="M2876" s="21"/>
      <c r="N2876" s="21"/>
      <c r="O2876" s="21">
        <v>7</v>
      </c>
      <c r="P2876" s="21"/>
      <c r="Q2876" s="21"/>
      <c r="R2876" s="21"/>
      <c r="S2876" s="21"/>
      <c r="T2876" s="21"/>
      <c r="U2876" s="21"/>
      <c r="V2876" s="21">
        <v>17</v>
      </c>
      <c r="W2876" s="21"/>
      <c r="X2876" s="21">
        <v>30</v>
      </c>
      <c r="Y2876" s="21"/>
      <c r="Z2876" s="21"/>
      <c r="AA2876" s="21"/>
      <c r="AB2876" s="21"/>
      <c r="AC2876" s="21"/>
      <c r="AD2876" s="21"/>
      <c r="AE2876" s="21"/>
      <c r="AF2876" s="21"/>
      <c r="AG2876" s="21"/>
      <c r="AH2876" s="21">
        <v>106</v>
      </c>
      <c r="AI2876" s="21"/>
      <c r="AJ2876" s="21"/>
      <c r="AK2876" s="21"/>
      <c r="AL2876" s="21">
        <v>16</v>
      </c>
      <c r="AM2876" s="21">
        <v>45</v>
      </c>
      <c r="AN2876" s="21">
        <v>7</v>
      </c>
      <c r="AO2876" s="21">
        <v>34</v>
      </c>
      <c r="AP2876" s="21">
        <v>2</v>
      </c>
      <c r="AQ2876" s="21"/>
      <c r="AR2876" s="21"/>
      <c r="AS2876" s="21">
        <v>2</v>
      </c>
      <c r="AT2876" s="12" t="str">
        <f>HYPERLINK("http://www.openstreetmap.org/?mlat=35.5286&amp;mlon=45.4447&amp;zoom=12#map=12/35.5286/45.4447","Maplink1")</f>
        <v>Maplink1</v>
      </c>
      <c r="AU2876" s="12" t="str">
        <f>HYPERLINK("https://www.google.iq/maps/search/+35.5286,45.4447/@35.5286,45.4447,14z?hl=en","Maplink2")</f>
        <v>Maplink2</v>
      </c>
      <c r="AV2876" s="12" t="str">
        <f>HYPERLINK("http://www.bing.com/maps/?lvl=14&amp;sty=h&amp;cp=35.5286~45.4447&amp;sp=point.35.5286_45.4447","Maplink3")</f>
        <v>Maplink3</v>
      </c>
    </row>
    <row r="2877" spans="1:48" ht="15" customHeight="1" x14ac:dyDescent="0.25">
      <c r="A2877" s="19">
        <v>21285</v>
      </c>
      <c r="B2877" s="20" t="s">
        <v>24</v>
      </c>
      <c r="C2877" s="20" t="s">
        <v>4846</v>
      </c>
      <c r="D2877" s="20" t="s">
        <v>5830</v>
      </c>
      <c r="E2877" s="20" t="s">
        <v>5831</v>
      </c>
      <c r="F2877" s="20">
        <v>35.55286289</v>
      </c>
      <c r="G2877" s="20">
        <v>45.427228200000002</v>
      </c>
      <c r="H2877" s="22">
        <v>59</v>
      </c>
      <c r="I2877" s="22">
        <v>354</v>
      </c>
      <c r="J2877" s="21">
        <v>14</v>
      </c>
      <c r="K2877" s="21">
        <v>5</v>
      </c>
      <c r="L2877" s="21">
        <v>4</v>
      </c>
      <c r="M2877" s="21"/>
      <c r="N2877" s="21"/>
      <c r="O2877" s="21">
        <v>14</v>
      </c>
      <c r="P2877" s="21"/>
      <c r="Q2877" s="21"/>
      <c r="R2877" s="21">
        <v>1</v>
      </c>
      <c r="S2877" s="21"/>
      <c r="T2877" s="21"/>
      <c r="U2877" s="21"/>
      <c r="V2877" s="21">
        <v>12</v>
      </c>
      <c r="W2877" s="21"/>
      <c r="X2877" s="21">
        <v>9</v>
      </c>
      <c r="Y2877" s="21"/>
      <c r="Z2877" s="21"/>
      <c r="AA2877" s="21"/>
      <c r="AB2877" s="21"/>
      <c r="AC2877" s="21"/>
      <c r="AD2877" s="21"/>
      <c r="AE2877" s="21"/>
      <c r="AF2877" s="21"/>
      <c r="AG2877" s="21"/>
      <c r="AH2877" s="21">
        <v>59</v>
      </c>
      <c r="AI2877" s="21"/>
      <c r="AJ2877" s="21"/>
      <c r="AK2877" s="21"/>
      <c r="AL2877" s="21">
        <v>2</v>
      </c>
      <c r="AM2877" s="21">
        <v>3</v>
      </c>
      <c r="AN2877" s="21">
        <v>1</v>
      </c>
      <c r="AO2877" s="21">
        <v>12</v>
      </c>
      <c r="AP2877" s="21">
        <v>12</v>
      </c>
      <c r="AQ2877" s="21">
        <v>7</v>
      </c>
      <c r="AR2877" s="21">
        <v>8</v>
      </c>
      <c r="AS2877" s="21">
        <v>14</v>
      </c>
      <c r="AT2877" s="12" t="str">
        <f>HYPERLINK("http://www.openstreetmap.org/?mlat=35.5529&amp;mlon=45.4272&amp;zoom=12#map=12/35.5529/45.4272","Maplink1")</f>
        <v>Maplink1</v>
      </c>
      <c r="AU2877" s="12" t="str">
        <f>HYPERLINK("https://www.google.iq/maps/search/+35.5529,45.4272/@35.5529,45.4272,14z?hl=en","Maplink2")</f>
        <v>Maplink2</v>
      </c>
      <c r="AV2877" s="12" t="str">
        <f>HYPERLINK("http://www.bing.com/maps/?lvl=14&amp;sty=h&amp;cp=35.5529~45.4272&amp;sp=point.35.5529_45.4272","Maplink3")</f>
        <v>Maplink3</v>
      </c>
    </row>
    <row r="2878" spans="1:48" ht="15" customHeight="1" x14ac:dyDescent="0.25">
      <c r="A2878" s="19">
        <v>21287</v>
      </c>
      <c r="B2878" s="20" t="s">
        <v>24</v>
      </c>
      <c r="C2878" s="20" t="s">
        <v>4846</v>
      </c>
      <c r="D2878" s="20" t="s">
        <v>4969</v>
      </c>
      <c r="E2878" s="20" t="s">
        <v>4796</v>
      </c>
      <c r="F2878" s="20">
        <v>35.544136629</v>
      </c>
      <c r="G2878" s="20">
        <v>45.401408227099999</v>
      </c>
      <c r="H2878" s="22">
        <v>49</v>
      </c>
      <c r="I2878" s="22">
        <v>294</v>
      </c>
      <c r="J2878" s="21">
        <v>1</v>
      </c>
      <c r="K2878" s="21">
        <v>1</v>
      </c>
      <c r="L2878" s="21">
        <v>8</v>
      </c>
      <c r="M2878" s="21"/>
      <c r="N2878" s="21"/>
      <c r="O2878" s="21"/>
      <c r="P2878" s="21"/>
      <c r="Q2878" s="21"/>
      <c r="R2878" s="21">
        <v>14</v>
      </c>
      <c r="S2878" s="21"/>
      <c r="T2878" s="21"/>
      <c r="U2878" s="21"/>
      <c r="V2878" s="21">
        <v>10</v>
      </c>
      <c r="W2878" s="21"/>
      <c r="X2878" s="21">
        <v>15</v>
      </c>
      <c r="Y2878" s="21"/>
      <c r="Z2878" s="21"/>
      <c r="AA2878" s="21"/>
      <c r="AB2878" s="21"/>
      <c r="AC2878" s="21"/>
      <c r="AD2878" s="21"/>
      <c r="AE2878" s="21"/>
      <c r="AF2878" s="21"/>
      <c r="AG2878" s="21">
        <v>8</v>
      </c>
      <c r="AH2878" s="21">
        <v>41</v>
      </c>
      <c r="AI2878" s="21"/>
      <c r="AJ2878" s="21"/>
      <c r="AK2878" s="21"/>
      <c r="AL2878" s="21">
        <v>1</v>
      </c>
      <c r="AM2878" s="21"/>
      <c r="AN2878" s="21">
        <v>8</v>
      </c>
      <c r="AO2878" s="21">
        <v>2</v>
      </c>
      <c r="AP2878" s="21">
        <v>4</v>
      </c>
      <c r="AQ2878" s="21"/>
      <c r="AR2878" s="21">
        <v>1</v>
      </c>
      <c r="AS2878" s="21">
        <v>33</v>
      </c>
      <c r="AT2878" s="12" t="str">
        <f>HYPERLINK("http://www.openstreetmap.org/?mlat=35.5441&amp;mlon=45.4014&amp;zoom=12#map=12/35.5441/45.4014","Maplink1")</f>
        <v>Maplink1</v>
      </c>
      <c r="AU2878" s="12" t="str">
        <f>HYPERLINK("https://www.google.iq/maps/search/+35.5441,45.4014/@35.5441,45.4014,14z?hl=en","Maplink2")</f>
        <v>Maplink2</v>
      </c>
      <c r="AV2878" s="12" t="str">
        <f>HYPERLINK("http://www.bing.com/maps/?lvl=14&amp;sty=h&amp;cp=35.5441~45.4014&amp;sp=point.35.5441_45.4014","Maplink3")</f>
        <v>Maplink3</v>
      </c>
    </row>
    <row r="2879" spans="1:48" ht="15" customHeight="1" x14ac:dyDescent="0.25">
      <c r="A2879" s="19">
        <v>33348</v>
      </c>
      <c r="B2879" s="20" t="s">
        <v>24</v>
      </c>
      <c r="C2879" s="20" t="s">
        <v>4846</v>
      </c>
      <c r="D2879" s="20" t="s">
        <v>5832</v>
      </c>
      <c r="E2879" s="20" t="s">
        <v>5833</v>
      </c>
      <c r="F2879" s="20">
        <v>35.546480000000003</v>
      </c>
      <c r="G2879" s="20">
        <v>45.396520000000002</v>
      </c>
      <c r="H2879" s="22">
        <v>13</v>
      </c>
      <c r="I2879" s="22">
        <v>78</v>
      </c>
      <c r="J2879" s="21">
        <v>1</v>
      </c>
      <c r="K2879" s="21"/>
      <c r="L2879" s="21">
        <v>4</v>
      </c>
      <c r="M2879" s="21"/>
      <c r="N2879" s="21"/>
      <c r="O2879" s="21"/>
      <c r="P2879" s="21"/>
      <c r="Q2879" s="21"/>
      <c r="R2879" s="21"/>
      <c r="S2879" s="21"/>
      <c r="T2879" s="21"/>
      <c r="U2879" s="21"/>
      <c r="V2879" s="21">
        <v>8</v>
      </c>
      <c r="W2879" s="21"/>
      <c r="X2879" s="21"/>
      <c r="Y2879" s="21"/>
      <c r="Z2879" s="21"/>
      <c r="AA2879" s="21"/>
      <c r="AB2879" s="21"/>
      <c r="AC2879" s="21"/>
      <c r="AD2879" s="21"/>
      <c r="AE2879" s="21"/>
      <c r="AF2879" s="21"/>
      <c r="AG2879" s="21"/>
      <c r="AH2879" s="21">
        <v>13</v>
      </c>
      <c r="AI2879" s="21"/>
      <c r="AJ2879" s="21"/>
      <c r="AK2879" s="21"/>
      <c r="AL2879" s="21"/>
      <c r="AM2879" s="21">
        <v>1</v>
      </c>
      <c r="AN2879" s="21">
        <v>2</v>
      </c>
      <c r="AO2879" s="21">
        <v>6</v>
      </c>
      <c r="AP2879" s="21">
        <v>4</v>
      </c>
      <c r="AQ2879" s="21"/>
      <c r="AR2879" s="21"/>
      <c r="AS2879" s="21"/>
      <c r="AT2879" s="12" t="str">
        <f>HYPERLINK("http://www.openstreetmap.org/?mlat=35.5465&amp;mlon=45.3965&amp;zoom=12#map=12/35.5465/45.3965","Maplink1")</f>
        <v>Maplink1</v>
      </c>
      <c r="AU2879" s="12" t="str">
        <f>HYPERLINK("https://www.google.iq/maps/search/+35.5465,45.3965/@35.5465,45.3965,14z?hl=en","Maplink2")</f>
        <v>Maplink2</v>
      </c>
      <c r="AV2879" s="12" t="str">
        <f>HYPERLINK("http://www.bing.com/maps/?lvl=14&amp;sty=h&amp;cp=35.5465~45.3965&amp;sp=point.35.5465_45.3965","Maplink3")</f>
        <v>Maplink3</v>
      </c>
    </row>
    <row r="2880" spans="1:48" ht="15" customHeight="1" x14ac:dyDescent="0.25">
      <c r="A2880" s="19">
        <v>31974</v>
      </c>
      <c r="B2880" s="20" t="s">
        <v>24</v>
      </c>
      <c r="C2880" s="20" t="s">
        <v>4846</v>
      </c>
      <c r="D2880" s="20" t="s">
        <v>4970</v>
      </c>
      <c r="E2880" s="20" t="s">
        <v>4971</v>
      </c>
      <c r="F2880" s="20">
        <v>35.534179999999999</v>
      </c>
      <c r="G2880" s="20">
        <v>45.4497</v>
      </c>
      <c r="H2880" s="22">
        <v>27</v>
      </c>
      <c r="I2880" s="22">
        <v>162</v>
      </c>
      <c r="J2880" s="21">
        <v>5</v>
      </c>
      <c r="K2880" s="21"/>
      <c r="L2880" s="21">
        <v>5</v>
      </c>
      <c r="M2880" s="21"/>
      <c r="N2880" s="21"/>
      <c r="O2880" s="21">
        <v>4</v>
      </c>
      <c r="P2880" s="21"/>
      <c r="Q2880" s="21"/>
      <c r="R2880" s="21"/>
      <c r="S2880" s="21"/>
      <c r="T2880" s="21"/>
      <c r="U2880" s="21"/>
      <c r="V2880" s="21">
        <v>5</v>
      </c>
      <c r="W2880" s="21"/>
      <c r="X2880" s="21">
        <v>8</v>
      </c>
      <c r="Y2880" s="21"/>
      <c r="Z2880" s="21"/>
      <c r="AA2880" s="21"/>
      <c r="AB2880" s="21"/>
      <c r="AC2880" s="21"/>
      <c r="AD2880" s="21"/>
      <c r="AE2880" s="21"/>
      <c r="AF2880" s="21"/>
      <c r="AG2880" s="21"/>
      <c r="AH2880" s="21">
        <v>27</v>
      </c>
      <c r="AI2880" s="21"/>
      <c r="AJ2880" s="21"/>
      <c r="AK2880" s="21"/>
      <c r="AL2880" s="21">
        <v>3</v>
      </c>
      <c r="AM2880" s="21">
        <v>13</v>
      </c>
      <c r="AN2880" s="21">
        <v>9</v>
      </c>
      <c r="AO2880" s="21"/>
      <c r="AP2880" s="21"/>
      <c r="AQ2880" s="21"/>
      <c r="AR2880" s="21">
        <v>2</v>
      </c>
      <c r="AS2880" s="21"/>
      <c r="AT2880" s="12" t="str">
        <f>HYPERLINK("http://www.openstreetmap.org/?mlat=35.5342&amp;mlon=45.4497&amp;zoom=12#map=12/35.5342/45.4497","Maplink1")</f>
        <v>Maplink1</v>
      </c>
      <c r="AU2880" s="12" t="str">
        <f>HYPERLINK("https://www.google.iq/maps/search/+35.5342,45.4497/@35.5342,45.4497,14z?hl=en","Maplink2")</f>
        <v>Maplink2</v>
      </c>
      <c r="AV2880" s="12" t="str">
        <f>HYPERLINK("http://www.bing.com/maps/?lvl=14&amp;sty=h&amp;cp=35.5342~45.4497&amp;sp=point.35.5342_45.4497","Maplink3")</f>
        <v>Maplink3</v>
      </c>
    </row>
    <row r="2881" spans="1:48" ht="15" customHeight="1" x14ac:dyDescent="0.25">
      <c r="A2881" s="19">
        <v>32073</v>
      </c>
      <c r="B2881" s="20" t="s">
        <v>24</v>
      </c>
      <c r="C2881" s="20" t="s">
        <v>4846</v>
      </c>
      <c r="D2881" s="20" t="s">
        <v>4972</v>
      </c>
      <c r="E2881" s="20" t="s">
        <v>4973</v>
      </c>
      <c r="F2881" s="20">
        <v>35.564520000000002</v>
      </c>
      <c r="G2881" s="20">
        <v>45.355119999999999</v>
      </c>
      <c r="H2881" s="22">
        <v>168</v>
      </c>
      <c r="I2881" s="22">
        <v>1008</v>
      </c>
      <c r="J2881" s="21">
        <v>29</v>
      </c>
      <c r="K2881" s="21"/>
      <c r="L2881" s="21">
        <v>62</v>
      </c>
      <c r="M2881" s="21"/>
      <c r="N2881" s="21"/>
      <c r="O2881" s="21">
        <v>6</v>
      </c>
      <c r="P2881" s="21"/>
      <c r="Q2881" s="21"/>
      <c r="R2881" s="21">
        <v>30</v>
      </c>
      <c r="S2881" s="21"/>
      <c r="T2881" s="21"/>
      <c r="U2881" s="21"/>
      <c r="V2881" s="21">
        <v>8</v>
      </c>
      <c r="W2881" s="21"/>
      <c r="X2881" s="21">
        <v>33</v>
      </c>
      <c r="Y2881" s="21"/>
      <c r="Z2881" s="21"/>
      <c r="AA2881" s="21"/>
      <c r="AB2881" s="21"/>
      <c r="AC2881" s="21"/>
      <c r="AD2881" s="21"/>
      <c r="AE2881" s="21"/>
      <c r="AF2881" s="21"/>
      <c r="AG2881" s="21"/>
      <c r="AH2881" s="21">
        <v>168</v>
      </c>
      <c r="AI2881" s="21"/>
      <c r="AJ2881" s="21"/>
      <c r="AK2881" s="21"/>
      <c r="AL2881" s="21">
        <v>38</v>
      </c>
      <c r="AM2881" s="21">
        <v>30</v>
      </c>
      <c r="AN2881" s="21">
        <v>20</v>
      </c>
      <c r="AO2881" s="21">
        <v>25</v>
      </c>
      <c r="AP2881" s="21"/>
      <c r="AQ2881" s="21">
        <v>1</v>
      </c>
      <c r="AR2881" s="21">
        <v>4</v>
      </c>
      <c r="AS2881" s="21">
        <v>50</v>
      </c>
      <c r="AT2881" s="12" t="str">
        <f>HYPERLINK("http://www.openstreetmap.org/?mlat=35.5645&amp;mlon=45.3551&amp;zoom=12#map=12/35.5645/45.3551","Maplink1")</f>
        <v>Maplink1</v>
      </c>
      <c r="AU2881" s="12" t="str">
        <f>HYPERLINK("https://www.google.iq/maps/search/+35.5645,45.3551/@35.5645,45.3551,14z?hl=en","Maplink2")</f>
        <v>Maplink2</v>
      </c>
      <c r="AV2881" s="12" t="str">
        <f>HYPERLINK("http://www.bing.com/maps/?lvl=14&amp;sty=h&amp;cp=35.5645~45.3551&amp;sp=point.35.5645_45.3551","Maplink3")</f>
        <v>Maplink3</v>
      </c>
    </row>
    <row r="2882" spans="1:48" ht="15" customHeight="1" x14ac:dyDescent="0.25">
      <c r="A2882" s="19">
        <v>25301</v>
      </c>
      <c r="B2882" s="20" t="s">
        <v>24</v>
      </c>
      <c r="C2882" s="20" t="s">
        <v>4846</v>
      </c>
      <c r="D2882" s="20" t="s">
        <v>4974</v>
      </c>
      <c r="E2882" s="20" t="s">
        <v>4975</v>
      </c>
      <c r="F2882" s="20">
        <v>35.578407200000001</v>
      </c>
      <c r="G2882" s="20">
        <v>45.438618329999997</v>
      </c>
      <c r="H2882" s="22">
        <v>41</v>
      </c>
      <c r="I2882" s="22">
        <v>246</v>
      </c>
      <c r="J2882" s="21">
        <v>21</v>
      </c>
      <c r="K2882" s="21"/>
      <c r="L2882" s="21">
        <v>10</v>
      </c>
      <c r="M2882" s="21"/>
      <c r="N2882" s="21"/>
      <c r="O2882" s="21">
        <v>2</v>
      </c>
      <c r="P2882" s="21"/>
      <c r="Q2882" s="21"/>
      <c r="R2882" s="21"/>
      <c r="S2882" s="21"/>
      <c r="T2882" s="21"/>
      <c r="U2882" s="21"/>
      <c r="V2882" s="21">
        <v>2</v>
      </c>
      <c r="W2882" s="21"/>
      <c r="X2882" s="21">
        <v>6</v>
      </c>
      <c r="Y2882" s="21"/>
      <c r="Z2882" s="21"/>
      <c r="AA2882" s="21"/>
      <c r="AB2882" s="21"/>
      <c r="AC2882" s="21"/>
      <c r="AD2882" s="21"/>
      <c r="AE2882" s="21"/>
      <c r="AF2882" s="21"/>
      <c r="AG2882" s="21"/>
      <c r="AH2882" s="21">
        <v>41</v>
      </c>
      <c r="AI2882" s="21"/>
      <c r="AJ2882" s="21"/>
      <c r="AK2882" s="21"/>
      <c r="AL2882" s="21">
        <v>3</v>
      </c>
      <c r="AM2882" s="21">
        <v>9</v>
      </c>
      <c r="AN2882" s="21">
        <v>2</v>
      </c>
      <c r="AO2882" s="21">
        <v>2</v>
      </c>
      <c r="AP2882" s="21">
        <v>7</v>
      </c>
      <c r="AQ2882" s="21">
        <v>7</v>
      </c>
      <c r="AR2882" s="21">
        <v>8</v>
      </c>
      <c r="AS2882" s="21">
        <v>3</v>
      </c>
      <c r="AT2882" s="12" t="str">
        <f>HYPERLINK("http://www.openstreetmap.org/?mlat=35.5784&amp;mlon=45.4386&amp;zoom=12#map=12/35.5784/45.4386","Maplink1")</f>
        <v>Maplink1</v>
      </c>
      <c r="AU2882" s="12" t="str">
        <f>HYPERLINK("https://www.google.iq/maps/search/+35.5784,45.4386/@35.5784,45.4386,14z?hl=en","Maplink2")</f>
        <v>Maplink2</v>
      </c>
      <c r="AV2882" s="12" t="str">
        <f>HYPERLINK("http://www.bing.com/maps/?lvl=14&amp;sty=h&amp;cp=35.5784~45.4386&amp;sp=point.35.5784_45.4386","Maplink3")</f>
        <v>Maplink3</v>
      </c>
    </row>
    <row r="2883" spans="1:48" ht="15" customHeight="1" x14ac:dyDescent="0.25">
      <c r="A2883" s="19">
        <v>4513</v>
      </c>
      <c r="B2883" s="20" t="s">
        <v>24</v>
      </c>
      <c r="C2883" s="20" t="s">
        <v>4846</v>
      </c>
      <c r="D2883" s="20" t="s">
        <v>4976</v>
      </c>
      <c r="E2883" s="20" t="s">
        <v>4977</v>
      </c>
      <c r="F2883" s="20">
        <v>35.458485533900003</v>
      </c>
      <c r="G2883" s="20">
        <v>45.507306969299997</v>
      </c>
      <c r="H2883" s="22">
        <v>7</v>
      </c>
      <c r="I2883" s="22">
        <v>42</v>
      </c>
      <c r="J2883" s="21"/>
      <c r="K2883" s="21"/>
      <c r="L2883" s="21"/>
      <c r="M2883" s="21"/>
      <c r="N2883" s="21"/>
      <c r="O2883" s="21">
        <v>7</v>
      </c>
      <c r="P2883" s="21"/>
      <c r="Q2883" s="21"/>
      <c r="R2883" s="21"/>
      <c r="S2883" s="21"/>
      <c r="T2883" s="21"/>
      <c r="U2883" s="21"/>
      <c r="V2883" s="21"/>
      <c r="W2883" s="21"/>
      <c r="X2883" s="21"/>
      <c r="Y2883" s="21"/>
      <c r="Z2883" s="21"/>
      <c r="AA2883" s="21"/>
      <c r="AB2883" s="21"/>
      <c r="AC2883" s="21"/>
      <c r="AD2883" s="21"/>
      <c r="AE2883" s="21"/>
      <c r="AF2883" s="21"/>
      <c r="AG2883" s="21"/>
      <c r="AH2883" s="21">
        <v>7</v>
      </c>
      <c r="AI2883" s="21"/>
      <c r="AJ2883" s="21"/>
      <c r="AK2883" s="21"/>
      <c r="AL2883" s="21"/>
      <c r="AM2883" s="21"/>
      <c r="AN2883" s="21"/>
      <c r="AO2883" s="21">
        <v>7</v>
      </c>
      <c r="AP2883" s="21"/>
      <c r="AQ2883" s="21"/>
      <c r="AR2883" s="21"/>
      <c r="AS2883" s="21"/>
      <c r="AT2883" s="12" t="str">
        <f>HYPERLINK("http://www.openstreetmap.org/?mlat=35.4585&amp;mlon=45.5073&amp;zoom=12#map=12/35.4585/45.5073","Maplink1")</f>
        <v>Maplink1</v>
      </c>
      <c r="AU2883" s="12" t="str">
        <f>HYPERLINK("https://www.google.iq/maps/search/+35.4585,45.5073/@35.4585,45.5073,14z?hl=en","Maplink2")</f>
        <v>Maplink2</v>
      </c>
      <c r="AV2883" s="12" t="str">
        <f>HYPERLINK("http://www.bing.com/maps/?lvl=14&amp;sty=h&amp;cp=35.4585~45.5073&amp;sp=point.35.4585_45.5073","Maplink3")</f>
        <v>Maplink3</v>
      </c>
    </row>
    <row r="2884" spans="1:48" ht="15" customHeight="1" x14ac:dyDescent="0.25">
      <c r="A2884" s="19">
        <v>23926</v>
      </c>
      <c r="B2884" s="20" t="s">
        <v>24</v>
      </c>
      <c r="C2884" s="20" t="s">
        <v>4846</v>
      </c>
      <c r="D2884" s="20" t="s">
        <v>4978</v>
      </c>
      <c r="E2884" s="20" t="s">
        <v>4979</v>
      </c>
      <c r="F2884" s="20">
        <v>35.551173060000004</v>
      </c>
      <c r="G2884" s="20">
        <v>45.443180320000003</v>
      </c>
      <c r="H2884" s="22">
        <v>33</v>
      </c>
      <c r="I2884" s="22">
        <v>198</v>
      </c>
      <c r="J2884" s="21">
        <v>6</v>
      </c>
      <c r="K2884" s="21">
        <v>1</v>
      </c>
      <c r="L2884" s="21">
        <v>9</v>
      </c>
      <c r="M2884" s="21"/>
      <c r="N2884" s="21"/>
      <c r="O2884" s="21"/>
      <c r="P2884" s="21"/>
      <c r="Q2884" s="21"/>
      <c r="R2884" s="21"/>
      <c r="S2884" s="21"/>
      <c r="T2884" s="21"/>
      <c r="U2884" s="21"/>
      <c r="V2884" s="21"/>
      <c r="W2884" s="21"/>
      <c r="X2884" s="21">
        <v>17</v>
      </c>
      <c r="Y2884" s="21"/>
      <c r="Z2884" s="21"/>
      <c r="AA2884" s="21"/>
      <c r="AB2884" s="21"/>
      <c r="AC2884" s="21"/>
      <c r="AD2884" s="21"/>
      <c r="AE2884" s="21"/>
      <c r="AF2884" s="21"/>
      <c r="AG2884" s="21"/>
      <c r="AH2884" s="21">
        <v>33</v>
      </c>
      <c r="AI2884" s="21"/>
      <c r="AJ2884" s="21"/>
      <c r="AK2884" s="21"/>
      <c r="AL2884" s="21"/>
      <c r="AM2884" s="21">
        <v>5</v>
      </c>
      <c r="AN2884" s="21">
        <v>3</v>
      </c>
      <c r="AO2884" s="21">
        <v>5</v>
      </c>
      <c r="AP2884" s="21">
        <v>2</v>
      </c>
      <c r="AQ2884" s="21">
        <v>4</v>
      </c>
      <c r="AR2884" s="21">
        <v>14</v>
      </c>
      <c r="AS2884" s="21"/>
      <c r="AT2884" s="12" t="str">
        <f>HYPERLINK("http://www.openstreetmap.org/?mlat=35.5512&amp;mlon=45.4432&amp;zoom=12#map=12/35.5512/45.4432","Maplink1")</f>
        <v>Maplink1</v>
      </c>
      <c r="AU2884" s="12" t="str">
        <f>HYPERLINK("https://www.google.iq/maps/search/+35.5512,45.4432/@35.5512,45.4432,14z?hl=en","Maplink2")</f>
        <v>Maplink2</v>
      </c>
      <c r="AV2884" s="12" t="str">
        <f>HYPERLINK("http://www.bing.com/maps/?lvl=14&amp;sty=h&amp;cp=35.5512~45.4432&amp;sp=point.35.5512_45.4432","Maplink3")</f>
        <v>Maplink3</v>
      </c>
    </row>
    <row r="2885" spans="1:48" ht="15" customHeight="1" x14ac:dyDescent="0.25">
      <c r="A2885" s="19">
        <v>31971</v>
      </c>
      <c r="B2885" s="20" t="s">
        <v>24</v>
      </c>
      <c r="C2885" s="20" t="s">
        <v>4846</v>
      </c>
      <c r="D2885" s="20" t="s">
        <v>4980</v>
      </c>
      <c r="E2885" s="20" t="s">
        <v>4981</v>
      </c>
      <c r="F2885" s="20">
        <v>35.127450000000003</v>
      </c>
      <c r="G2885" s="20">
        <v>45.591880000000003</v>
      </c>
      <c r="H2885" s="22">
        <v>3</v>
      </c>
      <c r="I2885" s="22">
        <v>18</v>
      </c>
      <c r="J2885" s="21"/>
      <c r="K2885" s="21"/>
      <c r="L2885" s="21"/>
      <c r="M2885" s="21"/>
      <c r="N2885" s="21"/>
      <c r="O2885" s="21">
        <v>2</v>
      </c>
      <c r="P2885" s="21"/>
      <c r="Q2885" s="21"/>
      <c r="R2885" s="21"/>
      <c r="S2885" s="21"/>
      <c r="T2885" s="21"/>
      <c r="U2885" s="21"/>
      <c r="V2885" s="21"/>
      <c r="W2885" s="21"/>
      <c r="X2885" s="21">
        <v>1</v>
      </c>
      <c r="Y2885" s="21"/>
      <c r="Z2885" s="21"/>
      <c r="AA2885" s="21"/>
      <c r="AB2885" s="21"/>
      <c r="AC2885" s="21"/>
      <c r="AD2885" s="21"/>
      <c r="AE2885" s="21"/>
      <c r="AF2885" s="21"/>
      <c r="AG2885" s="21"/>
      <c r="AH2885" s="21">
        <v>3</v>
      </c>
      <c r="AI2885" s="21"/>
      <c r="AJ2885" s="21"/>
      <c r="AK2885" s="21"/>
      <c r="AL2885" s="21">
        <v>1</v>
      </c>
      <c r="AM2885" s="21">
        <v>2</v>
      </c>
      <c r="AN2885" s="21"/>
      <c r="AO2885" s="21"/>
      <c r="AP2885" s="21"/>
      <c r="AQ2885" s="21"/>
      <c r="AR2885" s="21"/>
      <c r="AS2885" s="21"/>
      <c r="AT2885" s="12" t="str">
        <f>HYPERLINK("http://www.openstreetmap.org/?mlat=35.1275&amp;mlon=45.5919&amp;zoom=12#map=12/35.1275/45.5919","Maplink1")</f>
        <v>Maplink1</v>
      </c>
      <c r="AU2885" s="12" t="str">
        <f>HYPERLINK("https://www.google.iq/maps/search/+35.1275,45.5919/@35.1275,45.5919,14z?hl=en","Maplink2")</f>
        <v>Maplink2</v>
      </c>
      <c r="AV2885" s="12" t="str">
        <f>HYPERLINK("http://www.bing.com/maps/?lvl=14&amp;sty=h&amp;cp=35.1275~45.5919&amp;sp=point.35.1275_45.5919","Maplink3")</f>
        <v>Maplink3</v>
      </c>
    </row>
    <row r="2886" spans="1:48" ht="15" customHeight="1" x14ac:dyDescent="0.25">
      <c r="A2886" s="19">
        <v>23717</v>
      </c>
      <c r="B2886" s="20" t="s">
        <v>24</v>
      </c>
      <c r="C2886" s="20" t="s">
        <v>4846</v>
      </c>
      <c r="D2886" s="20" t="s">
        <v>4982</v>
      </c>
      <c r="E2886" s="20" t="s">
        <v>4983</v>
      </c>
      <c r="F2886" s="20">
        <v>35.546708700000003</v>
      </c>
      <c r="G2886" s="20">
        <v>45.479024649999999</v>
      </c>
      <c r="H2886" s="22">
        <v>125</v>
      </c>
      <c r="I2886" s="22">
        <v>750</v>
      </c>
      <c r="J2886" s="21">
        <v>47</v>
      </c>
      <c r="K2886" s="21">
        <v>1</v>
      </c>
      <c r="L2886" s="21">
        <v>54</v>
      </c>
      <c r="M2886" s="21"/>
      <c r="N2886" s="21"/>
      <c r="O2886" s="21">
        <v>11</v>
      </c>
      <c r="P2886" s="21"/>
      <c r="Q2886" s="21"/>
      <c r="R2886" s="21"/>
      <c r="S2886" s="21"/>
      <c r="T2886" s="21"/>
      <c r="U2886" s="21"/>
      <c r="V2886" s="21">
        <v>6</v>
      </c>
      <c r="W2886" s="21"/>
      <c r="X2886" s="21">
        <v>6</v>
      </c>
      <c r="Y2886" s="21"/>
      <c r="Z2886" s="21"/>
      <c r="AA2886" s="21"/>
      <c r="AB2886" s="21"/>
      <c r="AC2886" s="21"/>
      <c r="AD2886" s="21"/>
      <c r="AE2886" s="21"/>
      <c r="AF2886" s="21"/>
      <c r="AG2886" s="21"/>
      <c r="AH2886" s="21">
        <v>125</v>
      </c>
      <c r="AI2886" s="21"/>
      <c r="AJ2886" s="21"/>
      <c r="AK2886" s="21"/>
      <c r="AL2886" s="21">
        <v>1</v>
      </c>
      <c r="AM2886" s="21">
        <v>30</v>
      </c>
      <c r="AN2886" s="21">
        <v>9</v>
      </c>
      <c r="AO2886" s="21">
        <v>28</v>
      </c>
      <c r="AP2886" s="21">
        <v>12</v>
      </c>
      <c r="AQ2886" s="21">
        <v>29</v>
      </c>
      <c r="AR2886" s="21">
        <v>10</v>
      </c>
      <c r="AS2886" s="21">
        <v>6</v>
      </c>
      <c r="AT2886" s="12" t="str">
        <f>HYPERLINK("http://www.openstreetmap.org/?mlat=35.5467&amp;mlon=45.479&amp;zoom=12#map=12/35.5467/45.479","Maplink1")</f>
        <v>Maplink1</v>
      </c>
      <c r="AU2886" s="12" t="str">
        <f>HYPERLINK("https://www.google.iq/maps/search/+35.5467,45.479/@35.5467,45.479,14z?hl=en","Maplink2")</f>
        <v>Maplink2</v>
      </c>
      <c r="AV2886" s="12" t="str">
        <f>HYPERLINK("http://www.bing.com/maps/?lvl=14&amp;sty=h&amp;cp=35.5467~45.479&amp;sp=point.35.5467_45.479","Maplink3")</f>
        <v>Maplink3</v>
      </c>
    </row>
    <row r="2887" spans="1:48" ht="15" customHeight="1" x14ac:dyDescent="0.25">
      <c r="A2887" s="19">
        <v>24818</v>
      </c>
      <c r="B2887" s="20" t="s">
        <v>24</v>
      </c>
      <c r="C2887" s="20" t="s">
        <v>4846</v>
      </c>
      <c r="D2887" s="20" t="s">
        <v>4984</v>
      </c>
      <c r="E2887" s="20" t="s">
        <v>4985</v>
      </c>
      <c r="F2887" s="20">
        <v>35.539604050000001</v>
      </c>
      <c r="G2887" s="20">
        <v>45.42280616</v>
      </c>
      <c r="H2887" s="22">
        <v>48</v>
      </c>
      <c r="I2887" s="22">
        <v>288</v>
      </c>
      <c r="J2887" s="21">
        <v>9</v>
      </c>
      <c r="K2887" s="21"/>
      <c r="L2887" s="21">
        <v>20</v>
      </c>
      <c r="M2887" s="21"/>
      <c r="N2887" s="21"/>
      <c r="O2887" s="21">
        <v>5</v>
      </c>
      <c r="P2887" s="21"/>
      <c r="Q2887" s="21"/>
      <c r="R2887" s="21"/>
      <c r="S2887" s="21"/>
      <c r="T2887" s="21"/>
      <c r="U2887" s="21"/>
      <c r="V2887" s="21">
        <v>8</v>
      </c>
      <c r="W2887" s="21"/>
      <c r="X2887" s="21">
        <v>6</v>
      </c>
      <c r="Y2887" s="21"/>
      <c r="Z2887" s="21"/>
      <c r="AA2887" s="21"/>
      <c r="AB2887" s="21"/>
      <c r="AC2887" s="21"/>
      <c r="AD2887" s="21"/>
      <c r="AE2887" s="21"/>
      <c r="AF2887" s="21"/>
      <c r="AG2887" s="21"/>
      <c r="AH2887" s="21">
        <v>48</v>
      </c>
      <c r="AI2887" s="21"/>
      <c r="AJ2887" s="21"/>
      <c r="AK2887" s="21"/>
      <c r="AL2887" s="21"/>
      <c r="AM2887" s="21"/>
      <c r="AN2887" s="21">
        <v>1</v>
      </c>
      <c r="AO2887" s="21">
        <v>1</v>
      </c>
      <c r="AP2887" s="21">
        <v>17</v>
      </c>
      <c r="AQ2887" s="21">
        <v>5</v>
      </c>
      <c r="AR2887" s="21">
        <v>15</v>
      </c>
      <c r="AS2887" s="21">
        <v>9</v>
      </c>
      <c r="AT2887" s="12" t="str">
        <f>HYPERLINK("http://www.openstreetmap.org/?mlat=35.5396&amp;mlon=45.4228&amp;zoom=12#map=12/35.5396/45.4228","Maplink1")</f>
        <v>Maplink1</v>
      </c>
      <c r="AU2887" s="12" t="str">
        <f>HYPERLINK("https://www.google.iq/maps/search/+35.5396,45.4228/@35.5396,45.4228,14z?hl=en","Maplink2")</f>
        <v>Maplink2</v>
      </c>
      <c r="AV2887" s="12" t="str">
        <f>HYPERLINK("http://www.bing.com/maps/?lvl=14&amp;sty=h&amp;cp=35.5396~45.4228&amp;sp=point.35.5396_45.4228","Maplink3")</f>
        <v>Maplink3</v>
      </c>
    </row>
    <row r="2888" spans="1:48" ht="15" customHeight="1" x14ac:dyDescent="0.25">
      <c r="A2888" s="19">
        <v>6231</v>
      </c>
      <c r="B2888" s="20" t="s">
        <v>24</v>
      </c>
      <c r="C2888" s="20" t="s">
        <v>4846</v>
      </c>
      <c r="D2888" s="20" t="s">
        <v>4986</v>
      </c>
      <c r="E2888" s="20" t="s">
        <v>4987</v>
      </c>
      <c r="F2888" s="20">
        <v>35.36383</v>
      </c>
      <c r="G2888" s="20">
        <v>45.327260000000003</v>
      </c>
      <c r="H2888" s="22">
        <v>4</v>
      </c>
      <c r="I2888" s="22">
        <v>24</v>
      </c>
      <c r="J2888" s="21"/>
      <c r="K2888" s="21"/>
      <c r="L2888" s="21">
        <v>1</v>
      </c>
      <c r="M2888" s="21"/>
      <c r="N2888" s="21"/>
      <c r="O2888" s="21">
        <v>1</v>
      </c>
      <c r="P2888" s="21"/>
      <c r="Q2888" s="21"/>
      <c r="R2888" s="21">
        <v>2</v>
      </c>
      <c r="S2888" s="21"/>
      <c r="T2888" s="21"/>
      <c r="U2888" s="21"/>
      <c r="V2888" s="21"/>
      <c r="W2888" s="21"/>
      <c r="X2888" s="21"/>
      <c r="Y2888" s="21"/>
      <c r="Z2888" s="21"/>
      <c r="AA2888" s="21"/>
      <c r="AB2888" s="21"/>
      <c r="AC2888" s="21"/>
      <c r="AD2888" s="21"/>
      <c r="AE2888" s="21"/>
      <c r="AF2888" s="21"/>
      <c r="AG2888" s="21"/>
      <c r="AH2888" s="21">
        <v>4</v>
      </c>
      <c r="AI2888" s="21"/>
      <c r="AJ2888" s="21"/>
      <c r="AK2888" s="21"/>
      <c r="AL2888" s="21"/>
      <c r="AM2888" s="21"/>
      <c r="AN2888" s="21"/>
      <c r="AO2888" s="21">
        <v>1</v>
      </c>
      <c r="AP2888" s="21">
        <v>1</v>
      </c>
      <c r="AQ2888" s="21"/>
      <c r="AR2888" s="21"/>
      <c r="AS2888" s="21">
        <v>2</v>
      </c>
      <c r="AT2888" s="12" t="str">
        <f>HYPERLINK("http://www.openstreetmap.org/?mlat=35.3638&amp;mlon=45.3273&amp;zoom=12#map=12/35.3638/45.3273","Maplink1")</f>
        <v>Maplink1</v>
      </c>
      <c r="AU2888" s="12" t="str">
        <f>HYPERLINK("https://www.google.iq/maps/search/+35.3638,45.3273/@35.3638,45.3273,14z?hl=en","Maplink2")</f>
        <v>Maplink2</v>
      </c>
      <c r="AV2888" s="12" t="str">
        <f>HYPERLINK("http://www.bing.com/maps/?lvl=14&amp;sty=h&amp;cp=35.3638~45.3273&amp;sp=point.35.3638_45.3273","Maplink3")</f>
        <v>Maplink3</v>
      </c>
    </row>
    <row r="2889" spans="1:48" ht="15" customHeight="1" x14ac:dyDescent="0.25">
      <c r="A2889" s="19">
        <v>21036</v>
      </c>
      <c r="B2889" s="20" t="s">
        <v>24</v>
      </c>
      <c r="C2889" s="20" t="s">
        <v>4846</v>
      </c>
      <c r="D2889" s="20" t="s">
        <v>4596</v>
      </c>
      <c r="E2889" s="20" t="s">
        <v>4597</v>
      </c>
      <c r="F2889" s="20">
        <v>35.588171719999998</v>
      </c>
      <c r="G2889" s="20">
        <v>45.407741000000001</v>
      </c>
      <c r="H2889" s="22">
        <v>117</v>
      </c>
      <c r="I2889" s="22">
        <v>702</v>
      </c>
      <c r="J2889" s="21">
        <v>34</v>
      </c>
      <c r="K2889" s="21"/>
      <c r="L2889" s="21">
        <v>22</v>
      </c>
      <c r="M2889" s="21"/>
      <c r="N2889" s="21"/>
      <c r="O2889" s="21">
        <v>4</v>
      </c>
      <c r="P2889" s="21"/>
      <c r="Q2889" s="21"/>
      <c r="R2889" s="21">
        <v>45</v>
      </c>
      <c r="S2889" s="21"/>
      <c r="T2889" s="21"/>
      <c r="U2889" s="21"/>
      <c r="V2889" s="21">
        <v>4</v>
      </c>
      <c r="W2889" s="21"/>
      <c r="X2889" s="21">
        <v>8</v>
      </c>
      <c r="Y2889" s="21"/>
      <c r="Z2889" s="21"/>
      <c r="AA2889" s="21"/>
      <c r="AB2889" s="21"/>
      <c r="AC2889" s="21"/>
      <c r="AD2889" s="21"/>
      <c r="AE2889" s="21"/>
      <c r="AF2889" s="21"/>
      <c r="AG2889" s="21"/>
      <c r="AH2889" s="21">
        <v>117</v>
      </c>
      <c r="AI2889" s="21"/>
      <c r="AJ2889" s="21"/>
      <c r="AK2889" s="21"/>
      <c r="AL2889" s="21">
        <v>5</v>
      </c>
      <c r="AM2889" s="21">
        <v>11</v>
      </c>
      <c r="AN2889" s="21">
        <v>4</v>
      </c>
      <c r="AO2889" s="21">
        <v>6</v>
      </c>
      <c r="AP2889" s="21">
        <v>7</v>
      </c>
      <c r="AQ2889" s="21">
        <v>31</v>
      </c>
      <c r="AR2889" s="21">
        <v>3</v>
      </c>
      <c r="AS2889" s="21">
        <v>50</v>
      </c>
      <c r="AT2889" s="12" t="str">
        <f>HYPERLINK("http://www.openstreetmap.org/?mlat=35.5882&amp;mlon=45.4077&amp;zoom=12#map=12/35.5882/45.4077","Maplink1")</f>
        <v>Maplink1</v>
      </c>
      <c r="AU2889" s="12" t="str">
        <f>HYPERLINK("https://www.google.iq/maps/search/+35.5882,45.4077/@35.5882,45.4077,14z?hl=en","Maplink2")</f>
        <v>Maplink2</v>
      </c>
      <c r="AV2889" s="12" t="str">
        <f>HYPERLINK("http://www.bing.com/maps/?lvl=14&amp;sty=h&amp;cp=35.5882~45.4077&amp;sp=point.35.5882_45.4077","Maplink3")</f>
        <v>Maplink3</v>
      </c>
    </row>
    <row r="2890" spans="1:48" ht="15" customHeight="1" x14ac:dyDescent="0.25">
      <c r="A2890" s="19">
        <v>33378</v>
      </c>
      <c r="B2890" s="20" t="s">
        <v>24</v>
      </c>
      <c r="C2890" s="20" t="s">
        <v>4846</v>
      </c>
      <c r="D2890" s="20" t="s">
        <v>5901</v>
      </c>
      <c r="E2890" s="20" t="s">
        <v>5902</v>
      </c>
      <c r="F2890" s="20">
        <v>35.568680000000001</v>
      </c>
      <c r="G2890" s="20">
        <v>45.465649999999997</v>
      </c>
      <c r="H2890" s="22">
        <v>33</v>
      </c>
      <c r="I2890" s="22">
        <v>198</v>
      </c>
      <c r="J2890" s="21">
        <v>7</v>
      </c>
      <c r="K2890" s="21"/>
      <c r="L2890" s="21">
        <v>5</v>
      </c>
      <c r="M2890" s="21"/>
      <c r="N2890" s="21"/>
      <c r="O2890" s="21">
        <v>4</v>
      </c>
      <c r="P2890" s="21"/>
      <c r="Q2890" s="21"/>
      <c r="R2890" s="21"/>
      <c r="S2890" s="21"/>
      <c r="T2890" s="21"/>
      <c r="U2890" s="21"/>
      <c r="V2890" s="21"/>
      <c r="W2890" s="21"/>
      <c r="X2890" s="21">
        <v>17</v>
      </c>
      <c r="Y2890" s="21"/>
      <c r="Z2890" s="21"/>
      <c r="AA2890" s="21"/>
      <c r="AB2890" s="21"/>
      <c r="AC2890" s="21"/>
      <c r="AD2890" s="21"/>
      <c r="AE2890" s="21"/>
      <c r="AF2890" s="21"/>
      <c r="AG2890" s="21"/>
      <c r="AH2890" s="21">
        <v>33</v>
      </c>
      <c r="AI2890" s="21"/>
      <c r="AJ2890" s="21"/>
      <c r="AK2890" s="21"/>
      <c r="AL2890" s="21">
        <v>6</v>
      </c>
      <c r="AM2890" s="21">
        <v>9</v>
      </c>
      <c r="AN2890" s="21"/>
      <c r="AO2890" s="21">
        <v>9</v>
      </c>
      <c r="AP2890" s="21">
        <v>6</v>
      </c>
      <c r="AQ2890" s="21"/>
      <c r="AR2890" s="21"/>
      <c r="AS2890" s="21">
        <v>3</v>
      </c>
      <c r="AT2890" s="12" t="str">
        <f>HYPERLINK("http://www.openstreetmap.org/?mlat=35.5687&amp;mlon=45.4656&amp;zoom=12#map=12/35.5687/45.4656","Maplink1")</f>
        <v>Maplink1</v>
      </c>
      <c r="AU2890" s="12" t="str">
        <f>HYPERLINK("https://www.google.iq/maps/search/+35.5687,45.4656/@35.5687,45.4656,14z?hl=en","Maplink2")</f>
        <v>Maplink2</v>
      </c>
      <c r="AV2890" s="12" t="str">
        <f>HYPERLINK("http://www.bing.com/maps/?lvl=14&amp;sty=h&amp;cp=35.5687~45.4656&amp;sp=point.35.5687_45.4656","Maplink3")</f>
        <v>Maplink3</v>
      </c>
    </row>
    <row r="2891" spans="1:48" ht="15" customHeight="1" x14ac:dyDescent="0.25">
      <c r="A2891" s="19">
        <v>31865</v>
      </c>
      <c r="B2891" s="20" t="s">
        <v>24</v>
      </c>
      <c r="C2891" s="20" t="s">
        <v>4846</v>
      </c>
      <c r="D2891" s="20" t="s">
        <v>4988</v>
      </c>
      <c r="E2891" s="20" t="s">
        <v>4989</v>
      </c>
      <c r="F2891" s="20">
        <v>35.453290000000003</v>
      </c>
      <c r="G2891" s="20">
        <v>45.407080000000001</v>
      </c>
      <c r="H2891" s="22">
        <v>6</v>
      </c>
      <c r="I2891" s="22">
        <v>36</v>
      </c>
      <c r="J2891" s="21">
        <v>2</v>
      </c>
      <c r="K2891" s="21">
        <v>1</v>
      </c>
      <c r="L2891" s="21"/>
      <c r="M2891" s="21"/>
      <c r="N2891" s="21"/>
      <c r="O2891" s="21">
        <v>3</v>
      </c>
      <c r="P2891" s="21"/>
      <c r="Q2891" s="21"/>
      <c r="R2891" s="21"/>
      <c r="S2891" s="21"/>
      <c r="T2891" s="21"/>
      <c r="U2891" s="21"/>
      <c r="V2891" s="21"/>
      <c r="W2891" s="21"/>
      <c r="X2891" s="21"/>
      <c r="Y2891" s="21"/>
      <c r="Z2891" s="21"/>
      <c r="AA2891" s="21"/>
      <c r="AB2891" s="21"/>
      <c r="AC2891" s="21"/>
      <c r="AD2891" s="21"/>
      <c r="AE2891" s="21"/>
      <c r="AF2891" s="21"/>
      <c r="AG2891" s="21"/>
      <c r="AH2891" s="21">
        <v>6</v>
      </c>
      <c r="AI2891" s="21"/>
      <c r="AJ2891" s="21"/>
      <c r="AK2891" s="21"/>
      <c r="AL2891" s="21"/>
      <c r="AM2891" s="21">
        <v>6</v>
      </c>
      <c r="AN2891" s="21"/>
      <c r="AO2891" s="21"/>
      <c r="AP2891" s="21"/>
      <c r="AQ2891" s="21"/>
      <c r="AR2891" s="21"/>
      <c r="AS2891" s="21"/>
      <c r="AT2891" s="12" t="str">
        <f>HYPERLINK("http://www.openstreetmap.org/?mlat=35.4533&amp;mlon=45.4071&amp;zoom=12#map=12/35.4533/45.4071","Maplink1")</f>
        <v>Maplink1</v>
      </c>
      <c r="AU2891" s="12" t="str">
        <f>HYPERLINK("https://www.google.iq/maps/search/+35.4533,45.4071/@35.4533,45.4071,14z?hl=en","Maplink2")</f>
        <v>Maplink2</v>
      </c>
      <c r="AV2891" s="12" t="str">
        <f>HYPERLINK("http://www.bing.com/maps/?lvl=14&amp;sty=h&amp;cp=35.4533~45.4071&amp;sp=point.35.4533_45.4071","Maplink3")</f>
        <v>Maplink3</v>
      </c>
    </row>
    <row r="2892" spans="1:48" ht="15" customHeight="1" x14ac:dyDescent="0.25">
      <c r="A2892" s="19">
        <v>32072</v>
      </c>
      <c r="B2892" s="20" t="s">
        <v>24</v>
      </c>
      <c r="C2892" s="20" t="s">
        <v>4846</v>
      </c>
      <c r="D2892" s="20" t="s">
        <v>4990</v>
      </c>
      <c r="E2892" s="20" t="s">
        <v>4991</v>
      </c>
      <c r="F2892" s="20">
        <v>35.558889999999998</v>
      </c>
      <c r="G2892" s="20">
        <v>45.350760000000001</v>
      </c>
      <c r="H2892" s="22">
        <v>108</v>
      </c>
      <c r="I2892" s="22">
        <v>648</v>
      </c>
      <c r="J2892" s="21">
        <v>34</v>
      </c>
      <c r="K2892" s="21"/>
      <c r="L2892" s="21">
        <v>7</v>
      </c>
      <c r="M2892" s="21"/>
      <c r="N2892" s="21"/>
      <c r="O2892" s="21">
        <v>12</v>
      </c>
      <c r="P2892" s="21"/>
      <c r="Q2892" s="21"/>
      <c r="R2892" s="21">
        <v>22</v>
      </c>
      <c r="S2892" s="21"/>
      <c r="T2892" s="21"/>
      <c r="U2892" s="21"/>
      <c r="V2892" s="21">
        <v>3</v>
      </c>
      <c r="W2892" s="21"/>
      <c r="X2892" s="21">
        <v>30</v>
      </c>
      <c r="Y2892" s="21"/>
      <c r="Z2892" s="21"/>
      <c r="AA2892" s="21"/>
      <c r="AB2892" s="21"/>
      <c r="AC2892" s="21"/>
      <c r="AD2892" s="21"/>
      <c r="AE2892" s="21"/>
      <c r="AF2892" s="21"/>
      <c r="AG2892" s="21"/>
      <c r="AH2892" s="21">
        <v>108</v>
      </c>
      <c r="AI2892" s="21"/>
      <c r="AJ2892" s="21"/>
      <c r="AK2892" s="21"/>
      <c r="AL2892" s="21">
        <v>11</v>
      </c>
      <c r="AM2892" s="21">
        <v>22</v>
      </c>
      <c r="AN2892" s="21">
        <v>15</v>
      </c>
      <c r="AO2892" s="21">
        <v>16</v>
      </c>
      <c r="AP2892" s="21"/>
      <c r="AQ2892" s="21">
        <v>2</v>
      </c>
      <c r="AR2892" s="21">
        <v>3</v>
      </c>
      <c r="AS2892" s="21">
        <v>39</v>
      </c>
      <c r="AT2892" s="12" t="str">
        <f>HYPERLINK("http://www.openstreetmap.org/?mlat=35.5589&amp;mlon=45.3508&amp;zoom=12#map=12/35.5589/45.3508","Maplink1")</f>
        <v>Maplink1</v>
      </c>
      <c r="AU2892" s="12" t="str">
        <f>HYPERLINK("https://www.google.iq/maps/search/+35.5589,45.3508/@35.5589,45.3508,14z?hl=en","Maplink2")</f>
        <v>Maplink2</v>
      </c>
      <c r="AV2892" s="12" t="str">
        <f>HYPERLINK("http://www.bing.com/maps/?lvl=14&amp;sty=h&amp;cp=35.5589~45.3508&amp;sp=point.35.5589_45.3508","Maplink3")</f>
        <v>Maplink3</v>
      </c>
    </row>
    <row r="2893" spans="1:48" ht="15" customHeight="1" x14ac:dyDescent="0.25">
      <c r="A2893" s="19">
        <v>24097</v>
      </c>
      <c r="B2893" s="20" t="s">
        <v>24</v>
      </c>
      <c r="C2893" s="20" t="s">
        <v>4846</v>
      </c>
      <c r="D2893" s="20" t="s">
        <v>4992</v>
      </c>
      <c r="E2893" s="20" t="s">
        <v>4993</v>
      </c>
      <c r="F2893" s="20">
        <v>35.5601972069</v>
      </c>
      <c r="G2893" s="20">
        <v>45.478759822500002</v>
      </c>
      <c r="H2893" s="22">
        <v>268</v>
      </c>
      <c r="I2893" s="22">
        <v>1608</v>
      </c>
      <c r="J2893" s="21">
        <v>34</v>
      </c>
      <c r="K2893" s="21">
        <v>6</v>
      </c>
      <c r="L2893" s="21">
        <v>144</v>
      </c>
      <c r="M2893" s="21"/>
      <c r="N2893" s="21"/>
      <c r="O2893" s="21">
        <v>15</v>
      </c>
      <c r="P2893" s="21"/>
      <c r="Q2893" s="21"/>
      <c r="R2893" s="21">
        <v>1</v>
      </c>
      <c r="S2893" s="21"/>
      <c r="T2893" s="21"/>
      <c r="U2893" s="21"/>
      <c r="V2893" s="21">
        <v>37</v>
      </c>
      <c r="W2893" s="21"/>
      <c r="X2893" s="21">
        <v>31</v>
      </c>
      <c r="Y2893" s="21"/>
      <c r="Z2893" s="21"/>
      <c r="AA2893" s="21"/>
      <c r="AB2893" s="21"/>
      <c r="AC2893" s="21"/>
      <c r="AD2893" s="21"/>
      <c r="AE2893" s="21"/>
      <c r="AF2893" s="21"/>
      <c r="AG2893" s="21"/>
      <c r="AH2893" s="21">
        <v>268</v>
      </c>
      <c r="AI2893" s="21"/>
      <c r="AJ2893" s="21"/>
      <c r="AK2893" s="21"/>
      <c r="AL2893" s="21">
        <v>29</v>
      </c>
      <c r="AM2893" s="21">
        <v>27</v>
      </c>
      <c r="AN2893" s="21">
        <v>21</v>
      </c>
      <c r="AO2893" s="21">
        <v>49</v>
      </c>
      <c r="AP2893" s="21">
        <v>37</v>
      </c>
      <c r="AQ2893" s="21">
        <v>34</v>
      </c>
      <c r="AR2893" s="21">
        <v>55</v>
      </c>
      <c r="AS2893" s="21">
        <v>16</v>
      </c>
      <c r="AT2893" s="12" t="str">
        <f>HYPERLINK("http://www.openstreetmap.org/?mlat=35.5602&amp;mlon=45.4788&amp;zoom=12#map=12/35.5602/45.4788","Maplink1")</f>
        <v>Maplink1</v>
      </c>
      <c r="AU2893" s="12" t="str">
        <f>HYPERLINK("https://www.google.iq/maps/search/+35.5602,45.4788/@35.5602,45.4788,14z?hl=en","Maplink2")</f>
        <v>Maplink2</v>
      </c>
      <c r="AV2893" s="12" t="str">
        <f>HYPERLINK("http://www.bing.com/maps/?lvl=14&amp;sty=h&amp;cp=35.5602~45.4788&amp;sp=point.35.5602_45.4788","Maplink3")</f>
        <v>Maplink3</v>
      </c>
    </row>
    <row r="2894" spans="1:48" ht="15" customHeight="1" x14ac:dyDescent="0.25">
      <c r="A2894" s="19">
        <v>31927</v>
      </c>
      <c r="B2894" s="20" t="s">
        <v>24</v>
      </c>
      <c r="C2894" s="20" t="s">
        <v>4846</v>
      </c>
      <c r="D2894" s="20" t="s">
        <v>4994</v>
      </c>
      <c r="E2894" s="20" t="s">
        <v>4995</v>
      </c>
      <c r="F2894" s="20">
        <v>35.564799999999998</v>
      </c>
      <c r="G2894" s="20">
        <v>45.44659</v>
      </c>
      <c r="H2894" s="22">
        <v>16</v>
      </c>
      <c r="I2894" s="22">
        <v>96</v>
      </c>
      <c r="J2894" s="21">
        <v>2</v>
      </c>
      <c r="K2894" s="21"/>
      <c r="L2894" s="21">
        <v>2</v>
      </c>
      <c r="M2894" s="21"/>
      <c r="N2894" s="21"/>
      <c r="O2894" s="21">
        <v>3</v>
      </c>
      <c r="P2894" s="21"/>
      <c r="Q2894" s="21"/>
      <c r="R2894" s="21"/>
      <c r="S2894" s="21"/>
      <c r="T2894" s="21"/>
      <c r="U2894" s="21"/>
      <c r="V2894" s="21">
        <v>9</v>
      </c>
      <c r="W2894" s="21"/>
      <c r="X2894" s="21"/>
      <c r="Y2894" s="21"/>
      <c r="Z2894" s="21"/>
      <c r="AA2894" s="21"/>
      <c r="AB2894" s="21"/>
      <c r="AC2894" s="21"/>
      <c r="AD2894" s="21"/>
      <c r="AE2894" s="21"/>
      <c r="AF2894" s="21"/>
      <c r="AG2894" s="21"/>
      <c r="AH2894" s="21">
        <v>16</v>
      </c>
      <c r="AI2894" s="21"/>
      <c r="AJ2894" s="21"/>
      <c r="AK2894" s="21"/>
      <c r="AL2894" s="21">
        <v>2</v>
      </c>
      <c r="AM2894" s="21">
        <v>7</v>
      </c>
      <c r="AN2894" s="21"/>
      <c r="AO2894" s="21">
        <v>4</v>
      </c>
      <c r="AP2894" s="21"/>
      <c r="AQ2894" s="21"/>
      <c r="AR2894" s="21">
        <v>3</v>
      </c>
      <c r="AS2894" s="21"/>
      <c r="AT2894" s="12" t="str">
        <f>HYPERLINK("http://www.openstreetmap.org/?mlat=35.5648&amp;mlon=45.4466&amp;zoom=12#map=12/35.5648/45.4466","Maplink1")</f>
        <v>Maplink1</v>
      </c>
      <c r="AU2894" s="12" t="str">
        <f>HYPERLINK("https://www.google.iq/maps/search/+35.5648,45.4466/@35.5648,45.4466,14z?hl=en","Maplink2")</f>
        <v>Maplink2</v>
      </c>
      <c r="AV2894" s="12" t="str">
        <f>HYPERLINK("http://www.bing.com/maps/?lvl=14&amp;sty=h&amp;cp=35.5648~45.4466&amp;sp=point.35.5648_45.4466","Maplink3")</f>
        <v>Maplink3</v>
      </c>
    </row>
    <row r="2895" spans="1:48" ht="15" customHeight="1" x14ac:dyDescent="0.25">
      <c r="A2895" s="19">
        <v>21319</v>
      </c>
      <c r="B2895" s="20" t="s">
        <v>24</v>
      </c>
      <c r="C2895" s="20" t="s">
        <v>4846</v>
      </c>
      <c r="D2895" s="20" t="s">
        <v>4996</v>
      </c>
      <c r="E2895" s="20" t="s">
        <v>4997</v>
      </c>
      <c r="F2895" s="20">
        <v>35.574725129999997</v>
      </c>
      <c r="G2895" s="20">
        <v>45.387264010000003</v>
      </c>
      <c r="H2895" s="22">
        <v>78</v>
      </c>
      <c r="I2895" s="22">
        <v>468</v>
      </c>
      <c r="J2895" s="21">
        <v>12</v>
      </c>
      <c r="K2895" s="21"/>
      <c r="L2895" s="21">
        <v>26</v>
      </c>
      <c r="M2895" s="21"/>
      <c r="N2895" s="21"/>
      <c r="O2895" s="21">
        <v>10</v>
      </c>
      <c r="P2895" s="21"/>
      <c r="Q2895" s="21"/>
      <c r="R2895" s="21">
        <v>17</v>
      </c>
      <c r="S2895" s="21"/>
      <c r="T2895" s="21"/>
      <c r="U2895" s="21"/>
      <c r="V2895" s="21">
        <v>8</v>
      </c>
      <c r="W2895" s="21"/>
      <c r="X2895" s="21">
        <v>5</v>
      </c>
      <c r="Y2895" s="21"/>
      <c r="Z2895" s="21"/>
      <c r="AA2895" s="21"/>
      <c r="AB2895" s="21"/>
      <c r="AC2895" s="21"/>
      <c r="AD2895" s="21"/>
      <c r="AE2895" s="21"/>
      <c r="AF2895" s="21"/>
      <c r="AG2895" s="21"/>
      <c r="AH2895" s="21">
        <v>78</v>
      </c>
      <c r="AI2895" s="21"/>
      <c r="AJ2895" s="21"/>
      <c r="AK2895" s="21"/>
      <c r="AL2895" s="21">
        <v>7</v>
      </c>
      <c r="AM2895" s="21">
        <v>3</v>
      </c>
      <c r="AN2895" s="21">
        <v>1</v>
      </c>
      <c r="AO2895" s="21">
        <v>10</v>
      </c>
      <c r="AP2895" s="21">
        <v>12</v>
      </c>
      <c r="AQ2895" s="21">
        <v>10</v>
      </c>
      <c r="AR2895" s="21">
        <v>10</v>
      </c>
      <c r="AS2895" s="21">
        <v>25</v>
      </c>
      <c r="AT2895" s="12" t="str">
        <f>HYPERLINK("http://www.openstreetmap.org/?mlat=35.5747&amp;mlon=45.3873&amp;zoom=12#map=12/35.5747/45.3873","Maplink1")</f>
        <v>Maplink1</v>
      </c>
      <c r="AU2895" s="12" t="str">
        <f>HYPERLINK("https://www.google.iq/maps/search/+35.5747,45.3873/@35.5747,45.3873,14z?hl=en","Maplink2")</f>
        <v>Maplink2</v>
      </c>
      <c r="AV2895" s="12" t="str">
        <f>HYPERLINK("http://www.bing.com/maps/?lvl=14&amp;sty=h&amp;cp=35.5747~45.3873&amp;sp=point.35.5747_45.3873","Maplink3")</f>
        <v>Maplink3</v>
      </c>
    </row>
    <row r="2896" spans="1:48" ht="15" customHeight="1" x14ac:dyDescent="0.25">
      <c r="A2896" s="19">
        <v>25383</v>
      </c>
      <c r="B2896" s="20" t="s">
        <v>24</v>
      </c>
      <c r="C2896" s="20" t="s">
        <v>4846</v>
      </c>
      <c r="D2896" s="20" t="s">
        <v>4998</v>
      </c>
      <c r="E2896" s="20" t="s">
        <v>4999</v>
      </c>
      <c r="F2896" s="20">
        <v>35.521406130000003</v>
      </c>
      <c r="G2896" s="20">
        <v>45.43790431</v>
      </c>
      <c r="H2896" s="22">
        <v>20</v>
      </c>
      <c r="I2896" s="22">
        <v>120</v>
      </c>
      <c r="J2896" s="21">
        <v>13</v>
      </c>
      <c r="K2896" s="21">
        <v>1</v>
      </c>
      <c r="L2896" s="21">
        <v>3</v>
      </c>
      <c r="M2896" s="21"/>
      <c r="N2896" s="21"/>
      <c r="O2896" s="21">
        <v>2</v>
      </c>
      <c r="P2896" s="21"/>
      <c r="Q2896" s="21"/>
      <c r="R2896" s="21"/>
      <c r="S2896" s="21"/>
      <c r="T2896" s="21"/>
      <c r="U2896" s="21"/>
      <c r="V2896" s="21">
        <v>1</v>
      </c>
      <c r="W2896" s="21"/>
      <c r="X2896" s="21"/>
      <c r="Y2896" s="21"/>
      <c r="Z2896" s="21"/>
      <c r="AA2896" s="21"/>
      <c r="AB2896" s="21"/>
      <c r="AC2896" s="21"/>
      <c r="AD2896" s="21"/>
      <c r="AE2896" s="21"/>
      <c r="AF2896" s="21"/>
      <c r="AG2896" s="21"/>
      <c r="AH2896" s="21">
        <v>20</v>
      </c>
      <c r="AI2896" s="21"/>
      <c r="AJ2896" s="21"/>
      <c r="AK2896" s="21"/>
      <c r="AL2896" s="21">
        <v>2</v>
      </c>
      <c r="AM2896" s="21">
        <v>7</v>
      </c>
      <c r="AN2896" s="21"/>
      <c r="AO2896" s="21">
        <v>5</v>
      </c>
      <c r="AP2896" s="21">
        <v>3</v>
      </c>
      <c r="AQ2896" s="21">
        <v>3</v>
      </c>
      <c r="AR2896" s="21"/>
      <c r="AS2896" s="21"/>
      <c r="AT2896" s="12" t="str">
        <f>HYPERLINK("http://www.openstreetmap.org/?mlat=35.5214&amp;mlon=45.4379&amp;zoom=12#map=12/35.5214/45.4379","Maplink1")</f>
        <v>Maplink1</v>
      </c>
      <c r="AU2896" s="12" t="str">
        <f>HYPERLINK("https://www.google.iq/maps/search/+35.5214,45.4379/@35.5214,45.4379,14z?hl=en","Maplink2")</f>
        <v>Maplink2</v>
      </c>
      <c r="AV2896" s="12" t="str">
        <f>HYPERLINK("http://www.bing.com/maps/?lvl=14&amp;sty=h&amp;cp=35.5214~45.4379&amp;sp=point.35.5214_45.4379","Maplink3")</f>
        <v>Maplink3</v>
      </c>
    </row>
    <row r="2897" spans="1:48" ht="15" customHeight="1" x14ac:dyDescent="0.25">
      <c r="A2897" s="19">
        <v>21254</v>
      </c>
      <c r="B2897" s="20" t="s">
        <v>24</v>
      </c>
      <c r="C2897" s="20" t="s">
        <v>4846</v>
      </c>
      <c r="D2897" s="20" t="s">
        <v>5000</v>
      </c>
      <c r="E2897" s="20" t="s">
        <v>5001</v>
      </c>
      <c r="F2897" s="20">
        <v>35.570888439999997</v>
      </c>
      <c r="G2897" s="20">
        <v>45.465243479999998</v>
      </c>
      <c r="H2897" s="22">
        <v>29</v>
      </c>
      <c r="I2897" s="22">
        <v>174</v>
      </c>
      <c r="J2897" s="21">
        <v>7</v>
      </c>
      <c r="K2897" s="21">
        <v>2</v>
      </c>
      <c r="L2897" s="21">
        <v>7</v>
      </c>
      <c r="M2897" s="21"/>
      <c r="N2897" s="21"/>
      <c r="O2897" s="21">
        <v>2</v>
      </c>
      <c r="P2897" s="21"/>
      <c r="Q2897" s="21"/>
      <c r="R2897" s="21"/>
      <c r="S2897" s="21"/>
      <c r="T2897" s="21"/>
      <c r="U2897" s="21"/>
      <c r="V2897" s="21">
        <v>1</v>
      </c>
      <c r="W2897" s="21"/>
      <c r="X2897" s="21">
        <v>10</v>
      </c>
      <c r="Y2897" s="21"/>
      <c r="Z2897" s="21"/>
      <c r="AA2897" s="21"/>
      <c r="AB2897" s="21"/>
      <c r="AC2897" s="21"/>
      <c r="AD2897" s="21"/>
      <c r="AE2897" s="21"/>
      <c r="AF2897" s="21"/>
      <c r="AG2897" s="21"/>
      <c r="AH2897" s="21">
        <v>29</v>
      </c>
      <c r="AI2897" s="21"/>
      <c r="AJ2897" s="21"/>
      <c r="AK2897" s="21"/>
      <c r="AL2897" s="21">
        <v>5</v>
      </c>
      <c r="AM2897" s="21">
        <v>9</v>
      </c>
      <c r="AN2897" s="21"/>
      <c r="AO2897" s="21">
        <v>11</v>
      </c>
      <c r="AP2897" s="21"/>
      <c r="AQ2897" s="21">
        <v>2</v>
      </c>
      <c r="AR2897" s="21">
        <v>2</v>
      </c>
      <c r="AS2897" s="21"/>
      <c r="AT2897" s="12" t="str">
        <f>HYPERLINK("http://www.openstreetmap.org/?mlat=35.5709&amp;mlon=45.4652&amp;zoom=12#map=12/35.5709/45.4652","Maplink1")</f>
        <v>Maplink1</v>
      </c>
      <c r="AU2897" s="12" t="str">
        <f>HYPERLINK("https://www.google.iq/maps/search/+35.5709,45.4652/@35.5709,45.4652,14z?hl=en","Maplink2")</f>
        <v>Maplink2</v>
      </c>
      <c r="AV2897" s="12" t="str">
        <f>HYPERLINK("http://www.bing.com/maps/?lvl=14&amp;sty=h&amp;cp=35.5709~45.4652&amp;sp=point.35.5709_45.4652","Maplink3")</f>
        <v>Maplink3</v>
      </c>
    </row>
    <row r="2898" spans="1:48" ht="15" customHeight="1" x14ac:dyDescent="0.25">
      <c r="A2898" s="19">
        <v>31957</v>
      </c>
      <c r="B2898" s="20" t="s">
        <v>24</v>
      </c>
      <c r="C2898" s="20" t="s">
        <v>4846</v>
      </c>
      <c r="D2898" s="20" t="s">
        <v>5002</v>
      </c>
      <c r="E2898" s="20" t="s">
        <v>5003</v>
      </c>
      <c r="F2898" s="20">
        <v>35.528820000000003</v>
      </c>
      <c r="G2898" s="20">
        <v>45.463340000000002</v>
      </c>
      <c r="H2898" s="22">
        <v>10</v>
      </c>
      <c r="I2898" s="22">
        <v>60</v>
      </c>
      <c r="J2898" s="21">
        <v>2</v>
      </c>
      <c r="K2898" s="21">
        <v>2</v>
      </c>
      <c r="L2898" s="21">
        <v>2</v>
      </c>
      <c r="M2898" s="21"/>
      <c r="N2898" s="21"/>
      <c r="O2898" s="21">
        <v>2</v>
      </c>
      <c r="P2898" s="21"/>
      <c r="Q2898" s="21"/>
      <c r="R2898" s="21"/>
      <c r="S2898" s="21"/>
      <c r="T2898" s="21"/>
      <c r="U2898" s="21"/>
      <c r="V2898" s="21">
        <v>1</v>
      </c>
      <c r="W2898" s="21"/>
      <c r="X2898" s="21">
        <v>1</v>
      </c>
      <c r="Y2898" s="21"/>
      <c r="Z2898" s="21"/>
      <c r="AA2898" s="21"/>
      <c r="AB2898" s="21"/>
      <c r="AC2898" s="21"/>
      <c r="AD2898" s="21"/>
      <c r="AE2898" s="21"/>
      <c r="AF2898" s="21"/>
      <c r="AG2898" s="21"/>
      <c r="AH2898" s="21">
        <v>10</v>
      </c>
      <c r="AI2898" s="21"/>
      <c r="AJ2898" s="21"/>
      <c r="AK2898" s="21"/>
      <c r="AL2898" s="21"/>
      <c r="AM2898" s="21"/>
      <c r="AN2898" s="21"/>
      <c r="AO2898" s="21">
        <v>4</v>
      </c>
      <c r="AP2898" s="21">
        <v>1</v>
      </c>
      <c r="AQ2898" s="21">
        <v>2</v>
      </c>
      <c r="AR2898" s="21">
        <v>3</v>
      </c>
      <c r="AS2898" s="21"/>
      <c r="AT2898" s="12" t="str">
        <f>HYPERLINK("http://www.openstreetmap.org/?mlat=35.5288&amp;mlon=45.4633&amp;zoom=12#map=12/35.5288/45.4633","Maplink1")</f>
        <v>Maplink1</v>
      </c>
      <c r="AU2898" s="12" t="str">
        <f>HYPERLINK("https://www.google.iq/maps/search/+35.5288,45.4633/@35.5288,45.4633,14z?hl=en","Maplink2")</f>
        <v>Maplink2</v>
      </c>
      <c r="AV2898" s="12" t="str">
        <f>HYPERLINK("http://www.bing.com/maps/?lvl=14&amp;sty=h&amp;cp=35.5288~45.4633&amp;sp=point.35.5288_45.4633","Maplink3")</f>
        <v>Maplink3</v>
      </c>
    </row>
    <row r="2899" spans="1:48" ht="15" customHeight="1" x14ac:dyDescent="0.25">
      <c r="A2899" s="19">
        <v>25384</v>
      </c>
      <c r="B2899" s="20" t="s">
        <v>24</v>
      </c>
      <c r="C2899" s="20" t="s">
        <v>4846</v>
      </c>
      <c r="D2899" s="20" t="s">
        <v>5004</v>
      </c>
      <c r="E2899" s="20" t="s">
        <v>5005</v>
      </c>
      <c r="F2899" s="20">
        <v>35.526595800000003</v>
      </c>
      <c r="G2899" s="20">
        <v>45.433716080000004</v>
      </c>
      <c r="H2899" s="22">
        <v>98</v>
      </c>
      <c r="I2899" s="22">
        <v>588</v>
      </c>
      <c r="J2899" s="21">
        <v>38</v>
      </c>
      <c r="K2899" s="21">
        <v>1</v>
      </c>
      <c r="L2899" s="21">
        <v>17</v>
      </c>
      <c r="M2899" s="21"/>
      <c r="N2899" s="21"/>
      <c r="O2899" s="21">
        <v>3</v>
      </c>
      <c r="P2899" s="21"/>
      <c r="Q2899" s="21"/>
      <c r="R2899" s="21">
        <v>10</v>
      </c>
      <c r="S2899" s="21"/>
      <c r="T2899" s="21"/>
      <c r="U2899" s="21"/>
      <c r="V2899" s="21">
        <v>9</v>
      </c>
      <c r="W2899" s="21"/>
      <c r="X2899" s="21">
        <v>20</v>
      </c>
      <c r="Y2899" s="21"/>
      <c r="Z2899" s="21"/>
      <c r="AA2899" s="21"/>
      <c r="AB2899" s="21"/>
      <c r="AC2899" s="21"/>
      <c r="AD2899" s="21"/>
      <c r="AE2899" s="21"/>
      <c r="AF2899" s="21"/>
      <c r="AG2899" s="21"/>
      <c r="AH2899" s="21">
        <v>98</v>
      </c>
      <c r="AI2899" s="21"/>
      <c r="AJ2899" s="21"/>
      <c r="AK2899" s="21"/>
      <c r="AL2899" s="21">
        <v>5</v>
      </c>
      <c r="AM2899" s="21">
        <v>19</v>
      </c>
      <c r="AN2899" s="21">
        <v>8</v>
      </c>
      <c r="AO2899" s="21">
        <v>7</v>
      </c>
      <c r="AP2899" s="21">
        <v>18</v>
      </c>
      <c r="AQ2899" s="21">
        <v>12</v>
      </c>
      <c r="AR2899" s="21">
        <v>5</v>
      </c>
      <c r="AS2899" s="21">
        <v>24</v>
      </c>
      <c r="AT2899" s="12" t="str">
        <f>HYPERLINK("http://www.openstreetmap.org/?mlat=35.5266&amp;mlon=45.4337&amp;zoom=12#map=12/35.5266/45.4337","Maplink1")</f>
        <v>Maplink1</v>
      </c>
      <c r="AU2899" s="12" t="str">
        <f>HYPERLINK("https://www.google.iq/maps/search/+35.5266,45.4337/@35.5266,45.4337,14z?hl=en","Maplink2")</f>
        <v>Maplink2</v>
      </c>
      <c r="AV2899" s="12" t="str">
        <f>HYPERLINK("http://www.bing.com/maps/?lvl=14&amp;sty=h&amp;cp=35.5266~45.4337&amp;sp=point.35.5266_45.4337","Maplink3")</f>
        <v>Maplink3</v>
      </c>
    </row>
    <row r="2900" spans="1:48" ht="15" customHeight="1" x14ac:dyDescent="0.25">
      <c r="A2900" s="19">
        <v>21061</v>
      </c>
      <c r="B2900" s="20" t="s">
        <v>24</v>
      </c>
      <c r="C2900" s="20" t="s">
        <v>4846</v>
      </c>
      <c r="D2900" s="20" t="s">
        <v>5006</v>
      </c>
      <c r="E2900" s="20" t="s">
        <v>5007</v>
      </c>
      <c r="F2900" s="20">
        <v>35.580464399999997</v>
      </c>
      <c r="G2900" s="20">
        <v>45.457907110000001</v>
      </c>
      <c r="H2900" s="22">
        <v>80</v>
      </c>
      <c r="I2900" s="22">
        <v>480</v>
      </c>
      <c r="J2900" s="21">
        <v>11</v>
      </c>
      <c r="K2900" s="21"/>
      <c r="L2900" s="21">
        <v>36</v>
      </c>
      <c r="M2900" s="21"/>
      <c r="N2900" s="21"/>
      <c r="O2900" s="21">
        <v>4</v>
      </c>
      <c r="P2900" s="21"/>
      <c r="Q2900" s="21"/>
      <c r="R2900" s="21"/>
      <c r="S2900" s="21"/>
      <c r="T2900" s="21"/>
      <c r="U2900" s="21"/>
      <c r="V2900" s="21">
        <v>19</v>
      </c>
      <c r="W2900" s="21"/>
      <c r="X2900" s="21">
        <v>10</v>
      </c>
      <c r="Y2900" s="21"/>
      <c r="Z2900" s="21"/>
      <c r="AA2900" s="21"/>
      <c r="AB2900" s="21"/>
      <c r="AC2900" s="21"/>
      <c r="AD2900" s="21"/>
      <c r="AE2900" s="21"/>
      <c r="AF2900" s="21"/>
      <c r="AG2900" s="21"/>
      <c r="AH2900" s="21">
        <v>80</v>
      </c>
      <c r="AI2900" s="21"/>
      <c r="AJ2900" s="21"/>
      <c r="AK2900" s="21"/>
      <c r="AL2900" s="21">
        <v>6</v>
      </c>
      <c r="AM2900" s="21">
        <v>6</v>
      </c>
      <c r="AN2900" s="21">
        <v>4</v>
      </c>
      <c r="AO2900" s="21">
        <v>7</v>
      </c>
      <c r="AP2900" s="21">
        <v>13</v>
      </c>
      <c r="AQ2900" s="21">
        <v>12</v>
      </c>
      <c r="AR2900" s="21">
        <v>15</v>
      </c>
      <c r="AS2900" s="21">
        <v>17</v>
      </c>
      <c r="AT2900" s="12" t="str">
        <f>HYPERLINK("http://www.openstreetmap.org/?mlat=35.5805&amp;mlon=45.4579&amp;zoom=12#map=12/35.5805/45.4579","Maplink1")</f>
        <v>Maplink1</v>
      </c>
      <c r="AU2900" s="12" t="str">
        <f>HYPERLINK("https://www.google.iq/maps/search/+35.5805,45.4579/@35.5805,45.4579,14z?hl=en","Maplink2")</f>
        <v>Maplink2</v>
      </c>
      <c r="AV2900" s="12" t="str">
        <f>HYPERLINK("http://www.bing.com/maps/?lvl=14&amp;sty=h&amp;cp=35.5805~45.4579&amp;sp=point.35.5805_45.4579","Maplink3")</f>
        <v>Maplink3</v>
      </c>
    </row>
    <row r="2901" spans="1:48" ht="15" customHeight="1" x14ac:dyDescent="0.25">
      <c r="A2901" s="19">
        <v>31987</v>
      </c>
      <c r="B2901" s="20" t="s">
        <v>24</v>
      </c>
      <c r="C2901" s="20" t="s">
        <v>4846</v>
      </c>
      <c r="D2901" s="20" t="s">
        <v>5008</v>
      </c>
      <c r="E2901" s="20" t="s">
        <v>5009</v>
      </c>
      <c r="F2901" s="20">
        <v>35.572980000000001</v>
      </c>
      <c r="G2901" s="20">
        <v>45.400759999999998</v>
      </c>
      <c r="H2901" s="22">
        <v>36</v>
      </c>
      <c r="I2901" s="22">
        <v>216</v>
      </c>
      <c r="J2901" s="21">
        <v>12</v>
      </c>
      <c r="K2901" s="21"/>
      <c r="L2901" s="21">
        <v>16</v>
      </c>
      <c r="M2901" s="21"/>
      <c r="N2901" s="21"/>
      <c r="O2901" s="21"/>
      <c r="P2901" s="21"/>
      <c r="Q2901" s="21"/>
      <c r="R2901" s="21">
        <v>3</v>
      </c>
      <c r="S2901" s="21"/>
      <c r="T2901" s="21"/>
      <c r="U2901" s="21"/>
      <c r="V2901" s="21">
        <v>1</v>
      </c>
      <c r="W2901" s="21"/>
      <c r="X2901" s="21">
        <v>4</v>
      </c>
      <c r="Y2901" s="21"/>
      <c r="Z2901" s="21"/>
      <c r="AA2901" s="21"/>
      <c r="AB2901" s="21"/>
      <c r="AC2901" s="21"/>
      <c r="AD2901" s="21"/>
      <c r="AE2901" s="21"/>
      <c r="AF2901" s="21"/>
      <c r="AG2901" s="21"/>
      <c r="AH2901" s="21">
        <v>36</v>
      </c>
      <c r="AI2901" s="21"/>
      <c r="AJ2901" s="21"/>
      <c r="AK2901" s="21"/>
      <c r="AL2901" s="21"/>
      <c r="AM2901" s="21">
        <v>7</v>
      </c>
      <c r="AN2901" s="21"/>
      <c r="AO2901" s="21">
        <v>9</v>
      </c>
      <c r="AP2901" s="21">
        <v>6</v>
      </c>
      <c r="AQ2901" s="21">
        <v>7</v>
      </c>
      <c r="AR2901" s="21">
        <v>1</v>
      </c>
      <c r="AS2901" s="21">
        <v>6</v>
      </c>
      <c r="AT2901" s="12" t="str">
        <f>HYPERLINK("http://www.openstreetmap.org/?mlat=35.573&amp;mlon=45.4008&amp;zoom=12#map=12/35.573/45.4008","Maplink1")</f>
        <v>Maplink1</v>
      </c>
      <c r="AU2901" s="12" t="str">
        <f>HYPERLINK("https://www.google.iq/maps/search/+35.573,45.4008/@35.573,45.4008,14z?hl=en","Maplink2")</f>
        <v>Maplink2</v>
      </c>
      <c r="AV2901" s="12" t="str">
        <f>HYPERLINK("http://www.bing.com/maps/?lvl=14&amp;sty=h&amp;cp=35.573~45.4008&amp;sp=point.35.573_45.4008","Maplink3")</f>
        <v>Maplink3</v>
      </c>
    </row>
    <row r="2902" spans="1:48" ht="15" customHeight="1" x14ac:dyDescent="0.25">
      <c r="A2902" s="19">
        <v>31982</v>
      </c>
      <c r="B2902" s="20" t="s">
        <v>24</v>
      </c>
      <c r="C2902" s="20" t="s">
        <v>4846</v>
      </c>
      <c r="D2902" s="20" t="s">
        <v>5010</v>
      </c>
      <c r="E2902" s="20" t="s">
        <v>5011</v>
      </c>
      <c r="F2902" s="20">
        <v>35.566780000000001</v>
      </c>
      <c r="G2902" s="20">
        <v>45.404020000000003</v>
      </c>
      <c r="H2902" s="22">
        <v>36</v>
      </c>
      <c r="I2902" s="22">
        <v>216</v>
      </c>
      <c r="J2902" s="21">
        <v>14</v>
      </c>
      <c r="K2902" s="21">
        <v>1</v>
      </c>
      <c r="L2902" s="21">
        <v>16</v>
      </c>
      <c r="M2902" s="21"/>
      <c r="N2902" s="21"/>
      <c r="O2902" s="21">
        <v>2</v>
      </c>
      <c r="P2902" s="21"/>
      <c r="Q2902" s="21"/>
      <c r="R2902" s="21"/>
      <c r="S2902" s="21"/>
      <c r="T2902" s="21"/>
      <c r="U2902" s="21"/>
      <c r="V2902" s="21">
        <v>2</v>
      </c>
      <c r="W2902" s="21"/>
      <c r="X2902" s="21">
        <v>1</v>
      </c>
      <c r="Y2902" s="21"/>
      <c r="Z2902" s="21"/>
      <c r="AA2902" s="21"/>
      <c r="AB2902" s="21"/>
      <c r="AC2902" s="21"/>
      <c r="AD2902" s="21"/>
      <c r="AE2902" s="21"/>
      <c r="AF2902" s="21"/>
      <c r="AG2902" s="21"/>
      <c r="AH2902" s="21">
        <v>36</v>
      </c>
      <c r="AI2902" s="21"/>
      <c r="AJ2902" s="21"/>
      <c r="AK2902" s="21"/>
      <c r="AL2902" s="21">
        <v>2</v>
      </c>
      <c r="AM2902" s="21">
        <v>10</v>
      </c>
      <c r="AN2902" s="21">
        <v>3</v>
      </c>
      <c r="AO2902" s="21">
        <v>7</v>
      </c>
      <c r="AP2902" s="21">
        <v>6</v>
      </c>
      <c r="AQ2902" s="21">
        <v>6</v>
      </c>
      <c r="AR2902" s="21"/>
      <c r="AS2902" s="21">
        <v>2</v>
      </c>
      <c r="AT2902" s="12" t="str">
        <f>HYPERLINK("http://www.openstreetmap.org/?mlat=35.5668&amp;mlon=45.404&amp;zoom=12#map=12/35.5668/45.404","Maplink1")</f>
        <v>Maplink1</v>
      </c>
      <c r="AU2902" s="12" t="str">
        <f>HYPERLINK("https://www.google.iq/maps/search/+35.5668,45.404/@35.5668,45.404,14z?hl=en","Maplink2")</f>
        <v>Maplink2</v>
      </c>
      <c r="AV2902" s="12" t="str">
        <f>HYPERLINK("http://www.bing.com/maps/?lvl=14&amp;sty=h&amp;cp=35.5668~45.404&amp;sp=point.35.5668_45.404","Maplink3")</f>
        <v>Maplink3</v>
      </c>
    </row>
    <row r="2903" spans="1:48" ht="15" customHeight="1" x14ac:dyDescent="0.25">
      <c r="A2903" s="19">
        <v>33377</v>
      </c>
      <c r="B2903" s="20" t="s">
        <v>24</v>
      </c>
      <c r="C2903" s="20" t="s">
        <v>4846</v>
      </c>
      <c r="D2903" s="20" t="s">
        <v>5903</v>
      </c>
      <c r="E2903" s="20" t="s">
        <v>5904</v>
      </c>
      <c r="F2903" s="20">
        <v>35.569920000000003</v>
      </c>
      <c r="G2903" s="20">
        <v>45.461709999999997</v>
      </c>
      <c r="H2903" s="22">
        <v>118</v>
      </c>
      <c r="I2903" s="22">
        <v>708</v>
      </c>
      <c r="J2903" s="21">
        <v>34</v>
      </c>
      <c r="K2903" s="21">
        <v>8</v>
      </c>
      <c r="L2903" s="21">
        <v>25</v>
      </c>
      <c r="M2903" s="21"/>
      <c r="N2903" s="21"/>
      <c r="O2903" s="21">
        <v>20</v>
      </c>
      <c r="P2903" s="21"/>
      <c r="Q2903" s="21"/>
      <c r="R2903" s="21"/>
      <c r="S2903" s="21"/>
      <c r="T2903" s="21"/>
      <c r="U2903" s="21"/>
      <c r="V2903" s="21">
        <v>8</v>
      </c>
      <c r="W2903" s="21"/>
      <c r="X2903" s="21">
        <v>23</v>
      </c>
      <c r="Y2903" s="21"/>
      <c r="Z2903" s="21"/>
      <c r="AA2903" s="21"/>
      <c r="AB2903" s="21"/>
      <c r="AC2903" s="21"/>
      <c r="AD2903" s="21"/>
      <c r="AE2903" s="21"/>
      <c r="AF2903" s="21"/>
      <c r="AG2903" s="21"/>
      <c r="AH2903" s="21">
        <v>118</v>
      </c>
      <c r="AI2903" s="21"/>
      <c r="AJ2903" s="21"/>
      <c r="AK2903" s="21"/>
      <c r="AL2903" s="21">
        <v>11</v>
      </c>
      <c r="AM2903" s="21">
        <v>39</v>
      </c>
      <c r="AN2903" s="21">
        <v>11</v>
      </c>
      <c r="AO2903" s="21">
        <v>21</v>
      </c>
      <c r="AP2903" s="21">
        <v>23</v>
      </c>
      <c r="AQ2903" s="21">
        <v>6</v>
      </c>
      <c r="AR2903" s="21">
        <v>5</v>
      </c>
      <c r="AS2903" s="21">
        <v>2</v>
      </c>
      <c r="AT2903" s="12" t="str">
        <f>HYPERLINK("http://www.openstreetmap.org/?mlat=35.5699&amp;mlon=45.4617&amp;zoom=12#map=12/35.5699/45.4617","Maplink1")</f>
        <v>Maplink1</v>
      </c>
      <c r="AU2903" s="12" t="str">
        <f>HYPERLINK("https://www.google.iq/maps/search/+35.5699,45.4617/@35.5699,45.4617,14z?hl=en","Maplink2")</f>
        <v>Maplink2</v>
      </c>
      <c r="AV2903" s="12" t="str">
        <f>HYPERLINK("http://www.bing.com/maps/?lvl=14&amp;sty=h&amp;cp=35.5699~45.4617&amp;sp=point.35.5699_45.4617","Maplink3")</f>
        <v>Maplink3</v>
      </c>
    </row>
    <row r="2904" spans="1:48" ht="15" customHeight="1" x14ac:dyDescent="0.25">
      <c r="A2904" s="19">
        <v>23718</v>
      </c>
      <c r="B2904" s="20" t="s">
        <v>24</v>
      </c>
      <c r="C2904" s="20" t="s">
        <v>4846</v>
      </c>
      <c r="D2904" s="20" t="s">
        <v>5012</v>
      </c>
      <c r="E2904" s="20" t="s">
        <v>5013</v>
      </c>
      <c r="F2904" s="20">
        <v>35.60643116</v>
      </c>
      <c r="G2904" s="20">
        <v>45.41239521</v>
      </c>
      <c r="H2904" s="22">
        <v>62</v>
      </c>
      <c r="I2904" s="22">
        <v>372</v>
      </c>
      <c r="J2904" s="21">
        <v>20</v>
      </c>
      <c r="K2904" s="21"/>
      <c r="L2904" s="21">
        <v>14</v>
      </c>
      <c r="M2904" s="21"/>
      <c r="N2904" s="21"/>
      <c r="O2904" s="21">
        <v>2</v>
      </c>
      <c r="P2904" s="21"/>
      <c r="Q2904" s="21"/>
      <c r="R2904" s="21">
        <v>8</v>
      </c>
      <c r="S2904" s="21"/>
      <c r="T2904" s="21"/>
      <c r="U2904" s="21"/>
      <c r="V2904" s="21">
        <v>3</v>
      </c>
      <c r="W2904" s="21"/>
      <c r="X2904" s="21">
        <v>15</v>
      </c>
      <c r="Y2904" s="21"/>
      <c r="Z2904" s="21"/>
      <c r="AA2904" s="21"/>
      <c r="AB2904" s="21"/>
      <c r="AC2904" s="21"/>
      <c r="AD2904" s="21"/>
      <c r="AE2904" s="21"/>
      <c r="AF2904" s="21"/>
      <c r="AG2904" s="21"/>
      <c r="AH2904" s="21">
        <v>62</v>
      </c>
      <c r="AI2904" s="21"/>
      <c r="AJ2904" s="21"/>
      <c r="AK2904" s="21"/>
      <c r="AL2904" s="21">
        <v>8</v>
      </c>
      <c r="AM2904" s="21">
        <v>13</v>
      </c>
      <c r="AN2904" s="21"/>
      <c r="AO2904" s="21">
        <v>6</v>
      </c>
      <c r="AP2904" s="21"/>
      <c r="AQ2904" s="21">
        <v>16</v>
      </c>
      <c r="AR2904" s="21"/>
      <c r="AS2904" s="21">
        <v>19</v>
      </c>
      <c r="AT2904" s="12" t="str">
        <f>HYPERLINK("http://www.openstreetmap.org/?mlat=35.6064&amp;mlon=45.4124&amp;zoom=12#map=12/35.6064/45.4124","Maplink1")</f>
        <v>Maplink1</v>
      </c>
      <c r="AU2904" s="12" t="str">
        <f>HYPERLINK("https://www.google.iq/maps/search/+35.6064,45.4124/@35.6064,45.4124,14z?hl=en","Maplink2")</f>
        <v>Maplink2</v>
      </c>
      <c r="AV2904" s="12" t="str">
        <f>HYPERLINK("http://www.bing.com/maps/?lvl=14&amp;sty=h&amp;cp=35.6064~45.4124&amp;sp=point.35.6064_45.4124","Maplink3")</f>
        <v>Maplink3</v>
      </c>
    </row>
    <row r="2905" spans="1:48" ht="15" customHeight="1" x14ac:dyDescent="0.25">
      <c r="A2905" s="19">
        <v>23870</v>
      </c>
      <c r="B2905" s="20" t="s">
        <v>24</v>
      </c>
      <c r="C2905" s="20" t="s">
        <v>4846</v>
      </c>
      <c r="D2905" s="20" t="s">
        <v>5014</v>
      </c>
      <c r="E2905" s="20" t="s">
        <v>5015</v>
      </c>
      <c r="F2905" s="20">
        <v>35.577304269999999</v>
      </c>
      <c r="G2905" s="20">
        <v>45.448929110000002</v>
      </c>
      <c r="H2905" s="22">
        <v>20</v>
      </c>
      <c r="I2905" s="22">
        <v>120</v>
      </c>
      <c r="J2905" s="21">
        <v>11</v>
      </c>
      <c r="K2905" s="21"/>
      <c r="L2905" s="21">
        <v>5</v>
      </c>
      <c r="M2905" s="21"/>
      <c r="N2905" s="21"/>
      <c r="O2905" s="21">
        <v>1</v>
      </c>
      <c r="P2905" s="21"/>
      <c r="Q2905" s="21"/>
      <c r="R2905" s="21"/>
      <c r="S2905" s="21"/>
      <c r="T2905" s="21"/>
      <c r="U2905" s="21"/>
      <c r="V2905" s="21">
        <v>1</v>
      </c>
      <c r="W2905" s="21"/>
      <c r="X2905" s="21">
        <v>2</v>
      </c>
      <c r="Y2905" s="21"/>
      <c r="Z2905" s="21"/>
      <c r="AA2905" s="21"/>
      <c r="AB2905" s="21"/>
      <c r="AC2905" s="21"/>
      <c r="AD2905" s="21"/>
      <c r="AE2905" s="21"/>
      <c r="AF2905" s="21"/>
      <c r="AG2905" s="21"/>
      <c r="AH2905" s="21">
        <v>20</v>
      </c>
      <c r="AI2905" s="21"/>
      <c r="AJ2905" s="21"/>
      <c r="AK2905" s="21"/>
      <c r="AL2905" s="21">
        <v>3</v>
      </c>
      <c r="AM2905" s="21">
        <v>1</v>
      </c>
      <c r="AN2905" s="21"/>
      <c r="AO2905" s="21">
        <v>3</v>
      </c>
      <c r="AP2905" s="21">
        <v>3</v>
      </c>
      <c r="AQ2905" s="21">
        <v>5</v>
      </c>
      <c r="AR2905" s="21">
        <v>3</v>
      </c>
      <c r="AS2905" s="21">
        <v>2</v>
      </c>
      <c r="AT2905" s="12" t="str">
        <f>HYPERLINK("http://www.openstreetmap.org/?mlat=35.5773&amp;mlon=45.4489&amp;zoom=12#map=12/35.5773/45.4489","Maplink1")</f>
        <v>Maplink1</v>
      </c>
      <c r="AU2905" s="12" t="str">
        <f>HYPERLINK("https://www.google.iq/maps/search/+35.5773,45.4489/@35.5773,45.4489,14z?hl=en","Maplink2")</f>
        <v>Maplink2</v>
      </c>
      <c r="AV2905" s="12" t="str">
        <f>HYPERLINK("http://www.bing.com/maps/?lvl=14&amp;sty=h&amp;cp=35.5773~45.4489&amp;sp=point.35.5773_45.4489","Maplink3")</f>
        <v>Maplink3</v>
      </c>
    </row>
    <row r="2906" spans="1:48" ht="15" customHeight="1" x14ac:dyDescent="0.25">
      <c r="A2906" s="19">
        <v>31991</v>
      </c>
      <c r="B2906" s="20" t="s">
        <v>24</v>
      </c>
      <c r="C2906" s="20" t="s">
        <v>4846</v>
      </c>
      <c r="D2906" s="20" t="s">
        <v>5016</v>
      </c>
      <c r="E2906" s="20" t="s">
        <v>5017</v>
      </c>
      <c r="F2906" s="20">
        <v>35.58961</v>
      </c>
      <c r="G2906" s="20">
        <v>45.414110000000001</v>
      </c>
      <c r="H2906" s="22">
        <v>35</v>
      </c>
      <c r="I2906" s="22">
        <v>210</v>
      </c>
      <c r="J2906" s="21">
        <v>21</v>
      </c>
      <c r="K2906" s="21">
        <v>2</v>
      </c>
      <c r="L2906" s="21">
        <v>3</v>
      </c>
      <c r="M2906" s="21"/>
      <c r="N2906" s="21"/>
      <c r="O2906" s="21"/>
      <c r="P2906" s="21"/>
      <c r="Q2906" s="21"/>
      <c r="R2906" s="21"/>
      <c r="S2906" s="21"/>
      <c r="T2906" s="21"/>
      <c r="U2906" s="21"/>
      <c r="V2906" s="21">
        <v>2</v>
      </c>
      <c r="W2906" s="21"/>
      <c r="X2906" s="21">
        <v>7</v>
      </c>
      <c r="Y2906" s="21"/>
      <c r="Z2906" s="21"/>
      <c r="AA2906" s="21"/>
      <c r="AB2906" s="21"/>
      <c r="AC2906" s="21"/>
      <c r="AD2906" s="21"/>
      <c r="AE2906" s="21"/>
      <c r="AF2906" s="21"/>
      <c r="AG2906" s="21"/>
      <c r="AH2906" s="21">
        <v>35</v>
      </c>
      <c r="AI2906" s="21"/>
      <c r="AJ2906" s="21"/>
      <c r="AK2906" s="21"/>
      <c r="AL2906" s="21">
        <v>2</v>
      </c>
      <c r="AM2906" s="21">
        <v>8</v>
      </c>
      <c r="AN2906" s="21">
        <v>1</v>
      </c>
      <c r="AO2906" s="21">
        <v>8</v>
      </c>
      <c r="AP2906" s="21">
        <v>7</v>
      </c>
      <c r="AQ2906" s="21">
        <v>9</v>
      </c>
      <c r="AR2906" s="21"/>
      <c r="AS2906" s="21"/>
      <c r="AT2906" s="12" t="str">
        <f>HYPERLINK("http://www.openstreetmap.org/?mlat=35.5896&amp;mlon=45.4141&amp;zoom=12#map=12/35.5896/45.4141","Maplink1")</f>
        <v>Maplink1</v>
      </c>
      <c r="AU2906" s="12" t="str">
        <f>HYPERLINK("https://www.google.iq/maps/search/+35.5896,45.4141/@35.5896,45.4141,14z?hl=en","Maplink2")</f>
        <v>Maplink2</v>
      </c>
      <c r="AV2906" s="12" t="str">
        <f>HYPERLINK("http://www.bing.com/maps/?lvl=14&amp;sty=h&amp;cp=35.5896~45.4141&amp;sp=point.35.5896_45.4141","Maplink3")</f>
        <v>Maplink3</v>
      </c>
    </row>
    <row r="2907" spans="1:48" ht="15" customHeight="1" x14ac:dyDescent="0.25">
      <c r="A2907" s="19">
        <v>31954</v>
      </c>
      <c r="B2907" s="20" t="s">
        <v>24</v>
      </c>
      <c r="C2907" s="20" t="s">
        <v>4846</v>
      </c>
      <c r="D2907" s="20" t="s">
        <v>5018</v>
      </c>
      <c r="E2907" s="20" t="s">
        <v>5019</v>
      </c>
      <c r="F2907" s="20">
        <v>35.54374</v>
      </c>
      <c r="G2907" s="20">
        <v>45.460810000000002</v>
      </c>
      <c r="H2907" s="22">
        <v>27</v>
      </c>
      <c r="I2907" s="22">
        <v>162</v>
      </c>
      <c r="J2907" s="21">
        <v>3</v>
      </c>
      <c r="K2907" s="21">
        <v>1</v>
      </c>
      <c r="L2907" s="21">
        <v>13</v>
      </c>
      <c r="M2907" s="21"/>
      <c r="N2907" s="21"/>
      <c r="O2907" s="21">
        <v>7</v>
      </c>
      <c r="P2907" s="21"/>
      <c r="Q2907" s="21"/>
      <c r="R2907" s="21"/>
      <c r="S2907" s="21"/>
      <c r="T2907" s="21"/>
      <c r="U2907" s="21"/>
      <c r="V2907" s="21"/>
      <c r="W2907" s="21"/>
      <c r="X2907" s="21">
        <v>3</v>
      </c>
      <c r="Y2907" s="21"/>
      <c r="Z2907" s="21"/>
      <c r="AA2907" s="21"/>
      <c r="AB2907" s="21"/>
      <c r="AC2907" s="21"/>
      <c r="AD2907" s="21"/>
      <c r="AE2907" s="21"/>
      <c r="AF2907" s="21"/>
      <c r="AG2907" s="21"/>
      <c r="AH2907" s="21">
        <v>27</v>
      </c>
      <c r="AI2907" s="21"/>
      <c r="AJ2907" s="21"/>
      <c r="AK2907" s="21"/>
      <c r="AL2907" s="21"/>
      <c r="AM2907" s="21">
        <v>1</v>
      </c>
      <c r="AN2907" s="21">
        <v>3</v>
      </c>
      <c r="AO2907" s="21">
        <v>11</v>
      </c>
      <c r="AP2907" s="21">
        <v>2</v>
      </c>
      <c r="AQ2907" s="21">
        <v>4</v>
      </c>
      <c r="AR2907" s="21">
        <v>5</v>
      </c>
      <c r="AS2907" s="21">
        <v>1</v>
      </c>
      <c r="AT2907" s="12" t="str">
        <f>HYPERLINK("http://www.openstreetmap.org/?mlat=35.5437&amp;mlon=45.4608&amp;zoom=12#map=12/35.5437/45.4608","Maplink1")</f>
        <v>Maplink1</v>
      </c>
      <c r="AU2907" s="12" t="str">
        <f>HYPERLINK("https://www.google.iq/maps/search/+35.5437,45.4608/@35.5437,45.4608,14z?hl=en","Maplink2")</f>
        <v>Maplink2</v>
      </c>
      <c r="AV2907" s="12" t="str">
        <f>HYPERLINK("http://www.bing.com/maps/?lvl=14&amp;sty=h&amp;cp=35.5437~45.4608&amp;sp=point.35.5437_45.4608","Maplink3")</f>
        <v>Maplink3</v>
      </c>
    </row>
    <row r="2908" spans="1:48" ht="15" customHeight="1" x14ac:dyDescent="0.25">
      <c r="A2908" s="19">
        <v>4486</v>
      </c>
      <c r="B2908" s="20" t="s">
        <v>24</v>
      </c>
      <c r="C2908" s="20" t="s">
        <v>4846</v>
      </c>
      <c r="D2908" s="20" t="s">
        <v>5020</v>
      </c>
      <c r="E2908" s="20" t="s">
        <v>5021</v>
      </c>
      <c r="F2908" s="20">
        <v>35.499928879999999</v>
      </c>
      <c r="G2908" s="20">
        <v>45.4384516</v>
      </c>
      <c r="H2908" s="22">
        <v>50</v>
      </c>
      <c r="I2908" s="22">
        <v>300</v>
      </c>
      <c r="J2908" s="21">
        <v>11</v>
      </c>
      <c r="K2908" s="21"/>
      <c r="L2908" s="21">
        <v>11</v>
      </c>
      <c r="M2908" s="21"/>
      <c r="N2908" s="21"/>
      <c r="O2908" s="21">
        <v>14</v>
      </c>
      <c r="P2908" s="21"/>
      <c r="Q2908" s="21"/>
      <c r="R2908" s="21"/>
      <c r="S2908" s="21"/>
      <c r="T2908" s="21"/>
      <c r="U2908" s="21"/>
      <c r="V2908" s="21">
        <v>14</v>
      </c>
      <c r="W2908" s="21"/>
      <c r="X2908" s="21"/>
      <c r="Y2908" s="21"/>
      <c r="Z2908" s="21"/>
      <c r="AA2908" s="21"/>
      <c r="AB2908" s="21"/>
      <c r="AC2908" s="21"/>
      <c r="AD2908" s="21"/>
      <c r="AE2908" s="21"/>
      <c r="AF2908" s="21"/>
      <c r="AG2908" s="21"/>
      <c r="AH2908" s="21">
        <v>50</v>
      </c>
      <c r="AI2908" s="21"/>
      <c r="AJ2908" s="21"/>
      <c r="AK2908" s="21"/>
      <c r="AL2908" s="21"/>
      <c r="AM2908" s="21">
        <v>19</v>
      </c>
      <c r="AN2908" s="21">
        <v>3</v>
      </c>
      <c r="AO2908" s="21">
        <v>6</v>
      </c>
      <c r="AP2908" s="21">
        <v>2</v>
      </c>
      <c r="AQ2908" s="21">
        <v>16</v>
      </c>
      <c r="AR2908" s="21">
        <v>1</v>
      </c>
      <c r="AS2908" s="21">
        <v>3</v>
      </c>
      <c r="AT2908" s="12" t="str">
        <f>HYPERLINK("http://www.openstreetmap.org/?mlat=35.4999&amp;mlon=45.4385&amp;zoom=12#map=12/35.4999/45.4385","Maplink1")</f>
        <v>Maplink1</v>
      </c>
      <c r="AU2908" s="12" t="str">
        <f>HYPERLINK("https://www.google.iq/maps/search/+35.4999,45.4385/@35.4999,45.4385,14z?hl=en","Maplink2")</f>
        <v>Maplink2</v>
      </c>
      <c r="AV2908" s="12" t="str">
        <f>HYPERLINK("http://www.bing.com/maps/?lvl=14&amp;sty=h&amp;cp=35.4999~45.4385&amp;sp=point.35.4999_45.4385","Maplink3")</f>
        <v>Maplink3</v>
      </c>
    </row>
    <row r="2909" spans="1:48" ht="15" customHeight="1" x14ac:dyDescent="0.25">
      <c r="A2909" s="19">
        <v>21205</v>
      </c>
      <c r="B2909" s="20" t="s">
        <v>24</v>
      </c>
      <c r="C2909" s="20" t="s">
        <v>4846</v>
      </c>
      <c r="D2909" s="20" t="s">
        <v>5022</v>
      </c>
      <c r="E2909" s="20" t="s">
        <v>5023</v>
      </c>
      <c r="F2909" s="20">
        <v>35.549022749999999</v>
      </c>
      <c r="G2909" s="20">
        <v>45.473418109999997</v>
      </c>
      <c r="H2909" s="22">
        <v>91</v>
      </c>
      <c r="I2909" s="22">
        <v>546</v>
      </c>
      <c r="J2909" s="21">
        <v>4</v>
      </c>
      <c r="K2909" s="21">
        <v>41</v>
      </c>
      <c r="L2909" s="21">
        <v>25</v>
      </c>
      <c r="M2909" s="21"/>
      <c r="N2909" s="21"/>
      <c r="O2909" s="21">
        <v>5</v>
      </c>
      <c r="P2909" s="21"/>
      <c r="Q2909" s="21"/>
      <c r="R2909" s="21"/>
      <c r="S2909" s="21"/>
      <c r="T2909" s="21"/>
      <c r="U2909" s="21"/>
      <c r="V2909" s="21">
        <v>7</v>
      </c>
      <c r="W2909" s="21"/>
      <c r="X2909" s="21">
        <v>9</v>
      </c>
      <c r="Y2909" s="21"/>
      <c r="Z2909" s="21"/>
      <c r="AA2909" s="21"/>
      <c r="AB2909" s="21"/>
      <c r="AC2909" s="21"/>
      <c r="AD2909" s="21"/>
      <c r="AE2909" s="21"/>
      <c r="AF2909" s="21"/>
      <c r="AG2909" s="21"/>
      <c r="AH2909" s="21">
        <v>91</v>
      </c>
      <c r="AI2909" s="21"/>
      <c r="AJ2909" s="21"/>
      <c r="AK2909" s="21"/>
      <c r="AL2909" s="21">
        <v>16</v>
      </c>
      <c r="AM2909" s="21">
        <v>22</v>
      </c>
      <c r="AN2909" s="21">
        <v>11</v>
      </c>
      <c r="AO2909" s="21">
        <v>30</v>
      </c>
      <c r="AP2909" s="21"/>
      <c r="AQ2909" s="21">
        <v>7</v>
      </c>
      <c r="AR2909" s="21"/>
      <c r="AS2909" s="21">
        <v>5</v>
      </c>
      <c r="AT2909" s="12" t="str">
        <f>HYPERLINK("http://www.openstreetmap.org/?mlat=35.549&amp;mlon=45.4734&amp;zoom=12#map=12/35.549/45.4734","Maplink1")</f>
        <v>Maplink1</v>
      </c>
      <c r="AU2909" s="12" t="str">
        <f>HYPERLINK("https://www.google.iq/maps/search/+35.549,45.4734/@35.549,45.4734,14z?hl=en","Maplink2")</f>
        <v>Maplink2</v>
      </c>
      <c r="AV2909" s="12" t="str">
        <f>HYPERLINK("http://www.bing.com/maps/?lvl=14&amp;sty=h&amp;cp=35.549~45.4734&amp;sp=point.35.549_45.4734","Maplink3")</f>
        <v>Maplink3</v>
      </c>
    </row>
    <row r="2910" spans="1:48" ht="15" customHeight="1" x14ac:dyDescent="0.25">
      <c r="A2910" s="19">
        <v>25302</v>
      </c>
      <c r="B2910" s="20" t="s">
        <v>24</v>
      </c>
      <c r="C2910" s="20" t="s">
        <v>4846</v>
      </c>
      <c r="D2910" s="20" t="s">
        <v>5024</v>
      </c>
      <c r="E2910" s="20" t="s">
        <v>5025</v>
      </c>
      <c r="F2910" s="20">
        <v>35.558846850000002</v>
      </c>
      <c r="G2910" s="20">
        <v>45.452708530000002</v>
      </c>
      <c r="H2910" s="22">
        <v>24</v>
      </c>
      <c r="I2910" s="22">
        <v>144</v>
      </c>
      <c r="J2910" s="21">
        <v>9</v>
      </c>
      <c r="K2910" s="21"/>
      <c r="L2910" s="21">
        <v>2</v>
      </c>
      <c r="M2910" s="21"/>
      <c r="N2910" s="21"/>
      <c r="O2910" s="21">
        <v>1</v>
      </c>
      <c r="P2910" s="21"/>
      <c r="Q2910" s="21"/>
      <c r="R2910" s="21"/>
      <c r="S2910" s="21"/>
      <c r="T2910" s="21"/>
      <c r="U2910" s="21"/>
      <c r="V2910" s="21">
        <v>4</v>
      </c>
      <c r="W2910" s="21"/>
      <c r="X2910" s="21">
        <v>8</v>
      </c>
      <c r="Y2910" s="21"/>
      <c r="Z2910" s="21"/>
      <c r="AA2910" s="21"/>
      <c r="AB2910" s="21"/>
      <c r="AC2910" s="21"/>
      <c r="AD2910" s="21"/>
      <c r="AE2910" s="21"/>
      <c r="AF2910" s="21"/>
      <c r="AG2910" s="21"/>
      <c r="AH2910" s="21">
        <v>24</v>
      </c>
      <c r="AI2910" s="21"/>
      <c r="AJ2910" s="21"/>
      <c r="AK2910" s="21"/>
      <c r="AL2910" s="21">
        <v>3</v>
      </c>
      <c r="AM2910" s="21">
        <v>7</v>
      </c>
      <c r="AN2910" s="21"/>
      <c r="AO2910" s="21">
        <v>8</v>
      </c>
      <c r="AP2910" s="21"/>
      <c r="AQ2910" s="21">
        <v>3</v>
      </c>
      <c r="AR2910" s="21">
        <v>3</v>
      </c>
      <c r="AS2910" s="21"/>
      <c r="AT2910" s="12" t="str">
        <f>HYPERLINK("http://www.openstreetmap.org/?mlat=35.5588&amp;mlon=45.4527&amp;zoom=12#map=12/35.5588/45.4527","Maplink1")</f>
        <v>Maplink1</v>
      </c>
      <c r="AU2910" s="12" t="str">
        <f>HYPERLINK("https://www.google.iq/maps/search/+35.5588,45.4527/@35.5588,45.4527,14z?hl=en","Maplink2")</f>
        <v>Maplink2</v>
      </c>
      <c r="AV2910" s="12" t="str">
        <f>HYPERLINK("http://www.bing.com/maps/?lvl=14&amp;sty=h&amp;cp=35.5588~45.4527&amp;sp=point.35.5588_45.4527","Maplink3")</f>
        <v>Maplink3</v>
      </c>
    </row>
    <row r="2911" spans="1:48" ht="15" customHeight="1" x14ac:dyDescent="0.25">
      <c r="A2911" s="19">
        <v>31926</v>
      </c>
      <c r="B2911" s="20" t="s">
        <v>24</v>
      </c>
      <c r="C2911" s="20" t="s">
        <v>4846</v>
      </c>
      <c r="D2911" s="20" t="s">
        <v>5026</v>
      </c>
      <c r="E2911" s="20" t="s">
        <v>5027</v>
      </c>
      <c r="F2911" s="20">
        <v>35.536070000000002</v>
      </c>
      <c r="G2911" s="20">
        <v>45.421169999999996</v>
      </c>
      <c r="H2911" s="22">
        <v>18</v>
      </c>
      <c r="I2911" s="22">
        <v>108</v>
      </c>
      <c r="J2911" s="21">
        <v>11</v>
      </c>
      <c r="K2911" s="21">
        <v>1</v>
      </c>
      <c r="L2911" s="21">
        <v>4</v>
      </c>
      <c r="M2911" s="21"/>
      <c r="N2911" s="21"/>
      <c r="O2911" s="21">
        <v>1</v>
      </c>
      <c r="P2911" s="21"/>
      <c r="Q2911" s="21"/>
      <c r="R2911" s="21"/>
      <c r="S2911" s="21"/>
      <c r="T2911" s="21"/>
      <c r="U2911" s="21"/>
      <c r="V2911" s="21"/>
      <c r="W2911" s="21"/>
      <c r="X2911" s="21">
        <v>1</v>
      </c>
      <c r="Y2911" s="21"/>
      <c r="Z2911" s="21"/>
      <c r="AA2911" s="21"/>
      <c r="AB2911" s="21"/>
      <c r="AC2911" s="21"/>
      <c r="AD2911" s="21"/>
      <c r="AE2911" s="21"/>
      <c r="AF2911" s="21"/>
      <c r="AG2911" s="21"/>
      <c r="AH2911" s="21">
        <v>18</v>
      </c>
      <c r="AI2911" s="21"/>
      <c r="AJ2911" s="21"/>
      <c r="AK2911" s="21"/>
      <c r="AL2911" s="21"/>
      <c r="AM2911" s="21">
        <v>1</v>
      </c>
      <c r="AN2911" s="21"/>
      <c r="AO2911" s="21">
        <v>1</v>
      </c>
      <c r="AP2911" s="21">
        <v>10</v>
      </c>
      <c r="AQ2911" s="21">
        <v>3</v>
      </c>
      <c r="AR2911" s="21">
        <v>2</v>
      </c>
      <c r="AS2911" s="21">
        <v>1</v>
      </c>
      <c r="AT2911" s="12" t="str">
        <f>HYPERLINK("http://www.openstreetmap.org/?mlat=35.5361&amp;mlon=45.4212&amp;zoom=12#map=12/35.5361/45.4212","Maplink1")</f>
        <v>Maplink1</v>
      </c>
      <c r="AU2911" s="12" t="str">
        <f>HYPERLINK("https://www.google.iq/maps/search/+35.5361,45.4212/@35.5361,45.4212,14z?hl=en","Maplink2")</f>
        <v>Maplink2</v>
      </c>
      <c r="AV2911" s="12" t="str">
        <f>HYPERLINK("http://www.bing.com/maps/?lvl=14&amp;sty=h&amp;cp=35.5361~45.4212&amp;sp=point.35.5361_45.4212","Maplink3")</f>
        <v>Maplink3</v>
      </c>
    </row>
    <row r="2912" spans="1:48" ht="15" customHeight="1" x14ac:dyDescent="0.25">
      <c r="A2912" s="19">
        <v>5766</v>
      </c>
      <c r="B2912" s="20" t="s">
        <v>24</v>
      </c>
      <c r="C2912" s="20" t="s">
        <v>4846</v>
      </c>
      <c r="D2912" s="20" t="s">
        <v>5028</v>
      </c>
      <c r="E2912" s="20" t="s">
        <v>5029</v>
      </c>
      <c r="F2912" s="20">
        <v>35.60028389</v>
      </c>
      <c r="G2912" s="20">
        <v>45.424513349999998</v>
      </c>
      <c r="H2912" s="22">
        <v>7</v>
      </c>
      <c r="I2912" s="22">
        <v>42</v>
      </c>
      <c r="J2912" s="21">
        <v>1</v>
      </c>
      <c r="K2912" s="21"/>
      <c r="L2912" s="21">
        <v>1</v>
      </c>
      <c r="M2912" s="21"/>
      <c r="N2912" s="21"/>
      <c r="O2912" s="21">
        <v>1</v>
      </c>
      <c r="P2912" s="21"/>
      <c r="Q2912" s="21"/>
      <c r="R2912" s="21"/>
      <c r="S2912" s="21"/>
      <c r="T2912" s="21"/>
      <c r="U2912" s="21"/>
      <c r="V2912" s="21">
        <v>1</v>
      </c>
      <c r="W2912" s="21"/>
      <c r="X2912" s="21">
        <v>3</v>
      </c>
      <c r="Y2912" s="21"/>
      <c r="Z2912" s="21"/>
      <c r="AA2912" s="21"/>
      <c r="AB2912" s="21"/>
      <c r="AC2912" s="21"/>
      <c r="AD2912" s="21"/>
      <c r="AE2912" s="21"/>
      <c r="AF2912" s="21"/>
      <c r="AG2912" s="21"/>
      <c r="AH2912" s="21">
        <v>7</v>
      </c>
      <c r="AI2912" s="21"/>
      <c r="AJ2912" s="21"/>
      <c r="AK2912" s="21"/>
      <c r="AL2912" s="21"/>
      <c r="AM2912" s="21">
        <v>1</v>
      </c>
      <c r="AN2912" s="21"/>
      <c r="AO2912" s="21">
        <v>1</v>
      </c>
      <c r="AP2912" s="21">
        <v>3</v>
      </c>
      <c r="AQ2912" s="21">
        <v>2</v>
      </c>
      <c r="AR2912" s="21"/>
      <c r="AS2912" s="21"/>
      <c r="AT2912" s="12" t="str">
        <f>HYPERLINK("http://www.openstreetmap.org/?mlat=35.6003&amp;mlon=45.4245&amp;zoom=12#map=12/35.6003/45.4245","Maplink1")</f>
        <v>Maplink1</v>
      </c>
      <c r="AU2912" s="12" t="str">
        <f>HYPERLINK("https://www.google.iq/maps/search/+35.6003,45.4245/@35.6003,45.4245,14z?hl=en","Maplink2")</f>
        <v>Maplink2</v>
      </c>
      <c r="AV2912" s="12" t="str">
        <f>HYPERLINK("http://www.bing.com/maps/?lvl=14&amp;sty=h&amp;cp=35.6003~45.4245&amp;sp=point.35.6003_45.4245","Maplink3")</f>
        <v>Maplink3</v>
      </c>
    </row>
    <row r="2913" spans="1:48" ht="15" customHeight="1" x14ac:dyDescent="0.25">
      <c r="A2913" s="19">
        <v>24254</v>
      </c>
      <c r="B2913" s="20" t="s">
        <v>24</v>
      </c>
      <c r="C2913" s="20" t="s">
        <v>4846</v>
      </c>
      <c r="D2913" s="20" t="s">
        <v>5030</v>
      </c>
      <c r="E2913" s="20" t="s">
        <v>5031</v>
      </c>
      <c r="F2913" s="20">
        <v>35.595581029999998</v>
      </c>
      <c r="G2913" s="20">
        <v>45.256184840000003</v>
      </c>
      <c r="H2913" s="22">
        <v>128</v>
      </c>
      <c r="I2913" s="22">
        <v>768</v>
      </c>
      <c r="J2913" s="21">
        <v>15</v>
      </c>
      <c r="K2913" s="21">
        <v>2</v>
      </c>
      <c r="L2913" s="21">
        <v>6</v>
      </c>
      <c r="M2913" s="21"/>
      <c r="N2913" s="21"/>
      <c r="O2913" s="21">
        <v>5</v>
      </c>
      <c r="P2913" s="21"/>
      <c r="Q2913" s="21"/>
      <c r="R2913" s="21">
        <v>49</v>
      </c>
      <c r="S2913" s="21"/>
      <c r="T2913" s="21"/>
      <c r="U2913" s="21"/>
      <c r="V2913" s="21">
        <v>32</v>
      </c>
      <c r="W2913" s="21"/>
      <c r="X2913" s="21">
        <v>19</v>
      </c>
      <c r="Y2913" s="21"/>
      <c r="Z2913" s="21"/>
      <c r="AA2913" s="21"/>
      <c r="AB2913" s="21"/>
      <c r="AC2913" s="21"/>
      <c r="AD2913" s="21"/>
      <c r="AE2913" s="21">
        <v>9</v>
      </c>
      <c r="AF2913" s="21"/>
      <c r="AG2913" s="21"/>
      <c r="AH2913" s="21">
        <v>119</v>
      </c>
      <c r="AI2913" s="21"/>
      <c r="AJ2913" s="21"/>
      <c r="AK2913" s="21"/>
      <c r="AL2913" s="21">
        <v>6</v>
      </c>
      <c r="AM2913" s="21">
        <v>14</v>
      </c>
      <c r="AN2913" s="21">
        <v>39</v>
      </c>
      <c r="AO2913" s="21">
        <v>4</v>
      </c>
      <c r="AP2913" s="21">
        <v>5</v>
      </c>
      <c r="AQ2913" s="21"/>
      <c r="AR2913" s="21"/>
      <c r="AS2913" s="21">
        <v>60</v>
      </c>
      <c r="AT2913" s="12" t="str">
        <f>HYPERLINK("http://www.openstreetmap.org/?mlat=35.5956&amp;mlon=45.2562&amp;zoom=12#map=12/35.5956/45.2562","Maplink1")</f>
        <v>Maplink1</v>
      </c>
      <c r="AU2913" s="12" t="str">
        <f>HYPERLINK("https://www.google.iq/maps/search/+35.5956,45.2562/@35.5956,45.2562,14z?hl=en","Maplink2")</f>
        <v>Maplink2</v>
      </c>
      <c r="AV2913" s="12" t="str">
        <f>HYPERLINK("http://www.bing.com/maps/?lvl=14&amp;sty=h&amp;cp=35.5956~45.2562&amp;sp=point.35.5956_45.2562","Maplink3")</f>
        <v>Maplink3</v>
      </c>
    </row>
    <row r="2914" spans="1:48" ht="15" customHeight="1" x14ac:dyDescent="0.25">
      <c r="A2914" s="19">
        <v>5771</v>
      </c>
      <c r="B2914" s="20" t="s">
        <v>24</v>
      </c>
      <c r="C2914" s="20" t="s">
        <v>4846</v>
      </c>
      <c r="D2914" s="20" t="s">
        <v>5032</v>
      </c>
      <c r="E2914" s="20" t="s">
        <v>5033</v>
      </c>
      <c r="F2914" s="20">
        <v>35.537132450000001</v>
      </c>
      <c r="G2914" s="20">
        <v>45.388010979999997</v>
      </c>
      <c r="H2914" s="22">
        <v>59</v>
      </c>
      <c r="I2914" s="22">
        <v>354</v>
      </c>
      <c r="J2914" s="21">
        <v>10</v>
      </c>
      <c r="K2914" s="21"/>
      <c r="L2914" s="21">
        <v>14</v>
      </c>
      <c r="M2914" s="21"/>
      <c r="N2914" s="21"/>
      <c r="O2914" s="21">
        <v>10</v>
      </c>
      <c r="P2914" s="21"/>
      <c r="Q2914" s="21"/>
      <c r="R2914" s="21"/>
      <c r="S2914" s="21"/>
      <c r="T2914" s="21"/>
      <c r="U2914" s="21"/>
      <c r="V2914" s="21">
        <v>9</v>
      </c>
      <c r="W2914" s="21"/>
      <c r="X2914" s="21">
        <v>16</v>
      </c>
      <c r="Y2914" s="21"/>
      <c r="Z2914" s="21"/>
      <c r="AA2914" s="21"/>
      <c r="AB2914" s="21"/>
      <c r="AC2914" s="21"/>
      <c r="AD2914" s="21"/>
      <c r="AE2914" s="21"/>
      <c r="AF2914" s="21"/>
      <c r="AG2914" s="21"/>
      <c r="AH2914" s="21">
        <v>59</v>
      </c>
      <c r="AI2914" s="21"/>
      <c r="AJ2914" s="21"/>
      <c r="AK2914" s="21"/>
      <c r="AL2914" s="21"/>
      <c r="AM2914" s="21">
        <v>3</v>
      </c>
      <c r="AN2914" s="21"/>
      <c r="AO2914" s="21">
        <v>2</v>
      </c>
      <c r="AP2914" s="21"/>
      <c r="AQ2914" s="21">
        <v>17</v>
      </c>
      <c r="AR2914" s="21">
        <v>24</v>
      </c>
      <c r="AS2914" s="21">
        <v>13</v>
      </c>
      <c r="AT2914" s="12" t="str">
        <f>HYPERLINK("http://www.openstreetmap.org/?mlat=35.5371&amp;mlon=45.388&amp;zoom=12#map=12/35.5371/45.388","Maplink1")</f>
        <v>Maplink1</v>
      </c>
      <c r="AU2914" s="12" t="str">
        <f>HYPERLINK("https://www.google.iq/maps/search/+35.5371,45.388/@35.5371,45.388,14z?hl=en","Maplink2")</f>
        <v>Maplink2</v>
      </c>
      <c r="AV2914" s="12" t="str">
        <f>HYPERLINK("http://www.bing.com/maps/?lvl=14&amp;sty=h&amp;cp=35.5371~45.388&amp;sp=point.35.5371_45.388","Maplink3")</f>
        <v>Maplink3</v>
      </c>
    </row>
    <row r="2915" spans="1:48" ht="15" customHeight="1" x14ac:dyDescent="0.25">
      <c r="A2915" s="19">
        <v>31956</v>
      </c>
      <c r="B2915" s="20" t="s">
        <v>24</v>
      </c>
      <c r="C2915" s="20" t="s">
        <v>4846</v>
      </c>
      <c r="D2915" s="20" t="s">
        <v>5034</v>
      </c>
      <c r="E2915" s="20" t="s">
        <v>5035</v>
      </c>
      <c r="F2915" s="20">
        <v>35.551760000000002</v>
      </c>
      <c r="G2915" s="20">
        <v>45.480319999999999</v>
      </c>
      <c r="H2915" s="22">
        <v>18</v>
      </c>
      <c r="I2915" s="22">
        <v>108</v>
      </c>
      <c r="J2915" s="21">
        <v>5</v>
      </c>
      <c r="K2915" s="21"/>
      <c r="L2915" s="21">
        <v>8</v>
      </c>
      <c r="M2915" s="21"/>
      <c r="N2915" s="21"/>
      <c r="O2915" s="21">
        <v>2</v>
      </c>
      <c r="P2915" s="21"/>
      <c r="Q2915" s="21"/>
      <c r="R2915" s="21"/>
      <c r="S2915" s="21"/>
      <c r="T2915" s="21"/>
      <c r="U2915" s="21"/>
      <c r="V2915" s="21"/>
      <c r="W2915" s="21"/>
      <c r="X2915" s="21">
        <v>3</v>
      </c>
      <c r="Y2915" s="21"/>
      <c r="Z2915" s="21"/>
      <c r="AA2915" s="21"/>
      <c r="AB2915" s="21"/>
      <c r="AC2915" s="21"/>
      <c r="AD2915" s="21"/>
      <c r="AE2915" s="21"/>
      <c r="AF2915" s="21"/>
      <c r="AG2915" s="21"/>
      <c r="AH2915" s="21">
        <v>18</v>
      </c>
      <c r="AI2915" s="21"/>
      <c r="AJ2915" s="21"/>
      <c r="AK2915" s="21"/>
      <c r="AL2915" s="21">
        <v>1</v>
      </c>
      <c r="AM2915" s="21">
        <v>3</v>
      </c>
      <c r="AN2915" s="21">
        <v>3</v>
      </c>
      <c r="AO2915" s="21">
        <v>3</v>
      </c>
      <c r="AP2915" s="21"/>
      <c r="AQ2915" s="21">
        <v>6</v>
      </c>
      <c r="AR2915" s="21">
        <v>2</v>
      </c>
      <c r="AS2915" s="21"/>
      <c r="AT2915" s="12" t="str">
        <f>HYPERLINK("http://www.openstreetmap.org/?mlat=35.5518&amp;mlon=45.4803&amp;zoom=12#map=12/35.5518/45.4803","Maplink1")</f>
        <v>Maplink1</v>
      </c>
      <c r="AU2915" s="12" t="str">
        <f>HYPERLINK("https://www.google.iq/maps/search/+35.5518,45.4803/@35.5518,45.4803,14z?hl=en","Maplink2")</f>
        <v>Maplink2</v>
      </c>
      <c r="AV2915" s="12" t="str">
        <f>HYPERLINK("http://www.bing.com/maps/?lvl=14&amp;sty=h&amp;cp=35.5518~45.4803&amp;sp=point.35.5518_45.4803","Maplink3")</f>
        <v>Maplink3</v>
      </c>
    </row>
    <row r="2916" spans="1:48" ht="15" customHeight="1" x14ac:dyDescent="0.25">
      <c r="A2916" s="19">
        <v>4821</v>
      </c>
      <c r="B2916" s="20" t="s">
        <v>24</v>
      </c>
      <c r="C2916" s="20" t="s">
        <v>4846</v>
      </c>
      <c r="D2916" s="20" t="s">
        <v>5036</v>
      </c>
      <c r="E2916" s="20" t="s">
        <v>5037</v>
      </c>
      <c r="F2916" s="20">
        <v>35.640749999999997</v>
      </c>
      <c r="G2916" s="20">
        <v>45.40936</v>
      </c>
      <c r="H2916" s="22">
        <v>8</v>
      </c>
      <c r="I2916" s="22">
        <v>48</v>
      </c>
      <c r="J2916" s="21">
        <v>1</v>
      </c>
      <c r="K2916" s="21"/>
      <c r="L2916" s="21">
        <v>1</v>
      </c>
      <c r="M2916" s="21"/>
      <c r="N2916" s="21"/>
      <c r="O2916" s="21">
        <v>3</v>
      </c>
      <c r="P2916" s="21"/>
      <c r="Q2916" s="21"/>
      <c r="R2916" s="21"/>
      <c r="S2916" s="21"/>
      <c r="T2916" s="21"/>
      <c r="U2916" s="21"/>
      <c r="V2916" s="21"/>
      <c r="W2916" s="21"/>
      <c r="X2916" s="21">
        <v>3</v>
      </c>
      <c r="Y2916" s="21"/>
      <c r="Z2916" s="21"/>
      <c r="AA2916" s="21"/>
      <c r="AB2916" s="21"/>
      <c r="AC2916" s="21"/>
      <c r="AD2916" s="21"/>
      <c r="AE2916" s="21"/>
      <c r="AF2916" s="21"/>
      <c r="AG2916" s="21"/>
      <c r="AH2916" s="21">
        <v>8</v>
      </c>
      <c r="AI2916" s="21"/>
      <c r="AJ2916" s="21"/>
      <c r="AK2916" s="21"/>
      <c r="AL2916" s="21"/>
      <c r="AM2916" s="21">
        <v>4</v>
      </c>
      <c r="AN2916" s="21"/>
      <c r="AO2916" s="21">
        <v>1</v>
      </c>
      <c r="AP2916" s="21">
        <v>2</v>
      </c>
      <c r="AQ2916" s="21">
        <v>1</v>
      </c>
      <c r="AR2916" s="21"/>
      <c r="AS2916" s="21"/>
      <c r="AT2916" s="12" t="str">
        <f>HYPERLINK("http://www.openstreetmap.org/?mlat=35.6407&amp;mlon=45.4094&amp;zoom=12#map=12/35.6407/45.4094","Maplink1")</f>
        <v>Maplink1</v>
      </c>
      <c r="AU2916" s="12" t="str">
        <f>HYPERLINK("https://www.google.iq/maps/search/+35.6407,45.4094/@35.6407,45.4094,14z?hl=en","Maplink2")</f>
        <v>Maplink2</v>
      </c>
      <c r="AV2916" s="12" t="str">
        <f>HYPERLINK("http://www.bing.com/maps/?lvl=14&amp;sty=h&amp;cp=35.6407~45.4094&amp;sp=point.35.6407_45.4094","Maplink3")</f>
        <v>Maplink3</v>
      </c>
    </row>
    <row r="2917" spans="1:48" ht="15" customHeight="1" x14ac:dyDescent="0.25">
      <c r="A2917" s="19">
        <v>5882</v>
      </c>
      <c r="B2917" s="20" t="s">
        <v>24</v>
      </c>
      <c r="C2917" s="20" t="s">
        <v>4846</v>
      </c>
      <c r="D2917" s="20" t="s">
        <v>5038</v>
      </c>
      <c r="E2917" s="20" t="s">
        <v>5039</v>
      </c>
      <c r="F2917" s="20">
        <v>35.525642830000002</v>
      </c>
      <c r="G2917" s="20">
        <v>45.38402731</v>
      </c>
      <c r="H2917" s="22">
        <v>55</v>
      </c>
      <c r="I2917" s="22">
        <v>330</v>
      </c>
      <c r="J2917" s="21">
        <v>10</v>
      </c>
      <c r="K2917" s="21">
        <v>4</v>
      </c>
      <c r="L2917" s="21">
        <v>17</v>
      </c>
      <c r="M2917" s="21"/>
      <c r="N2917" s="21"/>
      <c r="O2917" s="21">
        <v>10</v>
      </c>
      <c r="P2917" s="21"/>
      <c r="Q2917" s="21"/>
      <c r="R2917" s="21"/>
      <c r="S2917" s="21"/>
      <c r="T2917" s="21"/>
      <c r="U2917" s="21"/>
      <c r="V2917" s="21">
        <v>4</v>
      </c>
      <c r="W2917" s="21"/>
      <c r="X2917" s="21">
        <v>10</v>
      </c>
      <c r="Y2917" s="21"/>
      <c r="Z2917" s="21"/>
      <c r="AA2917" s="21"/>
      <c r="AB2917" s="21"/>
      <c r="AC2917" s="21"/>
      <c r="AD2917" s="21"/>
      <c r="AE2917" s="21"/>
      <c r="AF2917" s="21"/>
      <c r="AG2917" s="21"/>
      <c r="AH2917" s="21">
        <v>55</v>
      </c>
      <c r="AI2917" s="21"/>
      <c r="AJ2917" s="21"/>
      <c r="AK2917" s="21"/>
      <c r="AL2917" s="21">
        <v>2</v>
      </c>
      <c r="AM2917" s="21"/>
      <c r="AN2917" s="21"/>
      <c r="AO2917" s="21">
        <v>10</v>
      </c>
      <c r="AP2917" s="21">
        <v>8</v>
      </c>
      <c r="AQ2917" s="21">
        <v>13</v>
      </c>
      <c r="AR2917" s="21">
        <v>13</v>
      </c>
      <c r="AS2917" s="21">
        <v>9</v>
      </c>
      <c r="AT2917" s="12" t="str">
        <f>HYPERLINK("http://www.openstreetmap.org/?mlat=35.5256&amp;mlon=45.384&amp;zoom=12#map=12/35.5256/45.384","Maplink1")</f>
        <v>Maplink1</v>
      </c>
      <c r="AU2917" s="12" t="str">
        <f>HYPERLINK("https://www.google.iq/maps/search/+35.5256,45.384/@35.5256,45.384,14z?hl=en","Maplink2")</f>
        <v>Maplink2</v>
      </c>
      <c r="AV2917" s="12" t="str">
        <f>HYPERLINK("http://www.bing.com/maps/?lvl=14&amp;sty=h&amp;cp=35.5256~45.384&amp;sp=point.35.5256_45.384","Maplink3")</f>
        <v>Maplink3</v>
      </c>
    </row>
    <row r="2918" spans="1:48" ht="15" customHeight="1" x14ac:dyDescent="0.25">
      <c r="A2918" s="19">
        <v>4479</v>
      </c>
      <c r="B2918" s="20" t="s">
        <v>24</v>
      </c>
      <c r="C2918" s="20" t="s">
        <v>4846</v>
      </c>
      <c r="D2918" s="20" t="s">
        <v>5040</v>
      </c>
      <c r="E2918" s="20" t="s">
        <v>5041</v>
      </c>
      <c r="F2918" s="20">
        <v>35.670850000000002</v>
      </c>
      <c r="G2918" s="20">
        <v>45.403080000000003</v>
      </c>
      <c r="H2918" s="22">
        <v>9</v>
      </c>
      <c r="I2918" s="22">
        <v>54</v>
      </c>
      <c r="J2918" s="21">
        <v>1</v>
      </c>
      <c r="K2918" s="21"/>
      <c r="L2918" s="21"/>
      <c r="M2918" s="21"/>
      <c r="N2918" s="21"/>
      <c r="O2918" s="21">
        <v>2</v>
      </c>
      <c r="P2918" s="21"/>
      <c r="Q2918" s="21"/>
      <c r="R2918" s="21"/>
      <c r="S2918" s="21"/>
      <c r="T2918" s="21"/>
      <c r="U2918" s="21"/>
      <c r="V2918" s="21">
        <v>5</v>
      </c>
      <c r="W2918" s="21"/>
      <c r="X2918" s="21">
        <v>1</v>
      </c>
      <c r="Y2918" s="21"/>
      <c r="Z2918" s="21"/>
      <c r="AA2918" s="21"/>
      <c r="AB2918" s="21"/>
      <c r="AC2918" s="21"/>
      <c r="AD2918" s="21"/>
      <c r="AE2918" s="21"/>
      <c r="AF2918" s="21"/>
      <c r="AG2918" s="21"/>
      <c r="AH2918" s="21">
        <v>9</v>
      </c>
      <c r="AI2918" s="21"/>
      <c r="AJ2918" s="21"/>
      <c r="AK2918" s="21"/>
      <c r="AL2918" s="21"/>
      <c r="AM2918" s="21">
        <v>3</v>
      </c>
      <c r="AN2918" s="21">
        <v>5</v>
      </c>
      <c r="AO2918" s="21"/>
      <c r="AP2918" s="21">
        <v>1</v>
      </c>
      <c r="AQ2918" s="21"/>
      <c r="AR2918" s="21"/>
      <c r="AS2918" s="21"/>
      <c r="AT2918" s="12" t="str">
        <f>HYPERLINK("http://www.openstreetmap.org/?mlat=35.6709&amp;mlon=45.4031&amp;zoom=12#map=12/35.6709/45.4031","Maplink1")</f>
        <v>Maplink1</v>
      </c>
      <c r="AU2918" s="12" t="str">
        <f>HYPERLINK("https://www.google.iq/maps/search/+35.6709,45.4031/@35.6709,45.4031,14z?hl=en","Maplink2")</f>
        <v>Maplink2</v>
      </c>
      <c r="AV2918" s="12" t="str">
        <f>HYPERLINK("http://www.bing.com/maps/?lvl=14&amp;sty=h&amp;cp=35.6709~45.4031&amp;sp=point.35.6709_45.4031","Maplink3")</f>
        <v>Maplink3</v>
      </c>
    </row>
    <row r="2919" spans="1:48" ht="15" customHeight="1" x14ac:dyDescent="0.25">
      <c r="A2919" s="19">
        <v>25303</v>
      </c>
      <c r="B2919" s="20" t="s">
        <v>24</v>
      </c>
      <c r="C2919" s="20" t="s">
        <v>4846</v>
      </c>
      <c r="D2919" s="20" t="s">
        <v>5042</v>
      </c>
      <c r="E2919" s="20" t="s">
        <v>5043</v>
      </c>
      <c r="F2919" s="20">
        <v>35.558074550000001</v>
      </c>
      <c r="G2919" s="20">
        <v>45.437618909999998</v>
      </c>
      <c r="H2919" s="22">
        <v>67</v>
      </c>
      <c r="I2919" s="22">
        <v>402</v>
      </c>
      <c r="J2919" s="21">
        <v>24</v>
      </c>
      <c r="K2919" s="21"/>
      <c r="L2919" s="21">
        <v>18</v>
      </c>
      <c r="M2919" s="21"/>
      <c r="N2919" s="21"/>
      <c r="O2919" s="21">
        <v>2</v>
      </c>
      <c r="P2919" s="21"/>
      <c r="Q2919" s="21"/>
      <c r="R2919" s="21"/>
      <c r="S2919" s="21"/>
      <c r="T2919" s="21"/>
      <c r="U2919" s="21"/>
      <c r="V2919" s="21">
        <v>12</v>
      </c>
      <c r="W2919" s="21"/>
      <c r="X2919" s="21">
        <v>11</v>
      </c>
      <c r="Y2919" s="21"/>
      <c r="Z2919" s="21"/>
      <c r="AA2919" s="21"/>
      <c r="AB2919" s="21"/>
      <c r="AC2919" s="21"/>
      <c r="AD2919" s="21">
        <v>19</v>
      </c>
      <c r="AE2919" s="21"/>
      <c r="AF2919" s="21"/>
      <c r="AG2919" s="21"/>
      <c r="AH2919" s="21">
        <v>48</v>
      </c>
      <c r="AI2919" s="21"/>
      <c r="AJ2919" s="21"/>
      <c r="AK2919" s="21"/>
      <c r="AL2919" s="21">
        <v>1</v>
      </c>
      <c r="AM2919" s="21">
        <v>13</v>
      </c>
      <c r="AN2919" s="21">
        <v>2</v>
      </c>
      <c r="AO2919" s="21">
        <v>13</v>
      </c>
      <c r="AP2919" s="21">
        <v>11</v>
      </c>
      <c r="AQ2919" s="21">
        <v>11</v>
      </c>
      <c r="AR2919" s="21">
        <v>4</v>
      </c>
      <c r="AS2919" s="21">
        <v>12</v>
      </c>
      <c r="AT2919" s="12" t="str">
        <f>HYPERLINK("http://www.openstreetmap.org/?mlat=35.5581&amp;mlon=45.4376&amp;zoom=12#map=12/35.5581/45.4376","Maplink1")</f>
        <v>Maplink1</v>
      </c>
      <c r="AU2919" s="12" t="str">
        <f>HYPERLINK("https://www.google.iq/maps/search/+35.5581,45.4376/@35.5581,45.4376,14z?hl=en","Maplink2")</f>
        <v>Maplink2</v>
      </c>
      <c r="AV2919" s="12" t="str">
        <f>HYPERLINK("http://www.bing.com/maps/?lvl=14&amp;sty=h&amp;cp=35.5581~45.4376&amp;sp=point.35.5581_45.4376","Maplink3")</f>
        <v>Maplink3</v>
      </c>
    </row>
    <row r="2920" spans="1:48" ht="15" customHeight="1" x14ac:dyDescent="0.25">
      <c r="A2920" s="19">
        <v>4599</v>
      </c>
      <c r="B2920" s="20" t="s">
        <v>24</v>
      </c>
      <c r="C2920" s="20" t="s">
        <v>4846</v>
      </c>
      <c r="D2920" s="20" t="s">
        <v>5044</v>
      </c>
      <c r="E2920" s="20" t="s">
        <v>5045</v>
      </c>
      <c r="F2920" s="20">
        <v>35.655129119999998</v>
      </c>
      <c r="G2920" s="20">
        <v>45.000268859999998</v>
      </c>
      <c r="H2920" s="22">
        <v>61</v>
      </c>
      <c r="I2920" s="22">
        <v>366</v>
      </c>
      <c r="J2920" s="21">
        <v>2</v>
      </c>
      <c r="K2920" s="21">
        <v>8</v>
      </c>
      <c r="L2920" s="21">
        <v>28</v>
      </c>
      <c r="M2920" s="21"/>
      <c r="N2920" s="21"/>
      <c r="O2920" s="21">
        <v>8</v>
      </c>
      <c r="P2920" s="21"/>
      <c r="Q2920" s="21"/>
      <c r="R2920" s="21"/>
      <c r="S2920" s="21"/>
      <c r="T2920" s="21"/>
      <c r="U2920" s="21"/>
      <c r="V2920" s="21">
        <v>7</v>
      </c>
      <c r="W2920" s="21"/>
      <c r="X2920" s="21">
        <v>8</v>
      </c>
      <c r="Y2920" s="21"/>
      <c r="Z2920" s="21"/>
      <c r="AA2920" s="21"/>
      <c r="AB2920" s="21"/>
      <c r="AC2920" s="21"/>
      <c r="AD2920" s="21"/>
      <c r="AE2920" s="21"/>
      <c r="AF2920" s="21"/>
      <c r="AG2920" s="21"/>
      <c r="AH2920" s="21">
        <v>61</v>
      </c>
      <c r="AI2920" s="21"/>
      <c r="AJ2920" s="21"/>
      <c r="AK2920" s="21"/>
      <c r="AL2920" s="21">
        <v>2</v>
      </c>
      <c r="AM2920" s="21">
        <v>33</v>
      </c>
      <c r="AN2920" s="21">
        <v>13</v>
      </c>
      <c r="AO2920" s="21">
        <v>4</v>
      </c>
      <c r="AP2920" s="21"/>
      <c r="AQ2920" s="21"/>
      <c r="AR2920" s="21">
        <v>9</v>
      </c>
      <c r="AS2920" s="21"/>
      <c r="AT2920" s="12" t="str">
        <f>HYPERLINK("http://www.openstreetmap.org/?mlat=35.6551&amp;mlon=45.0003&amp;zoom=12#map=12/35.6551/45.0003","Maplink1")</f>
        <v>Maplink1</v>
      </c>
      <c r="AU2920" s="12" t="str">
        <f>HYPERLINK("https://www.google.iq/maps/search/+35.6551,45.0003/@35.6551,45.0003,14z?hl=en","Maplink2")</f>
        <v>Maplink2</v>
      </c>
      <c r="AV2920" s="12" t="str">
        <f>HYPERLINK("http://www.bing.com/maps/?lvl=14&amp;sty=h&amp;cp=35.6551~45.0003&amp;sp=point.35.6551_45.0003","Maplink3")</f>
        <v>Maplink3</v>
      </c>
    </row>
    <row r="2921" spans="1:48" ht="15" customHeight="1" x14ac:dyDescent="0.25">
      <c r="A2921" s="19">
        <v>32055</v>
      </c>
      <c r="B2921" s="20" t="s">
        <v>24</v>
      </c>
      <c r="C2921" s="20" t="s">
        <v>4846</v>
      </c>
      <c r="D2921" s="20" t="s">
        <v>5046</v>
      </c>
      <c r="E2921" s="20" t="s">
        <v>5047</v>
      </c>
      <c r="F2921" s="20">
        <v>35.58578</v>
      </c>
      <c r="G2921" s="20">
        <v>45.393369999999997</v>
      </c>
      <c r="H2921" s="22">
        <v>193</v>
      </c>
      <c r="I2921" s="22">
        <v>1158</v>
      </c>
      <c r="J2921" s="21">
        <v>65</v>
      </c>
      <c r="K2921" s="21">
        <v>2</v>
      </c>
      <c r="L2921" s="21">
        <v>55</v>
      </c>
      <c r="M2921" s="21"/>
      <c r="N2921" s="21"/>
      <c r="O2921" s="21">
        <v>18</v>
      </c>
      <c r="P2921" s="21"/>
      <c r="Q2921" s="21"/>
      <c r="R2921" s="21">
        <v>16</v>
      </c>
      <c r="S2921" s="21"/>
      <c r="T2921" s="21"/>
      <c r="U2921" s="21"/>
      <c r="V2921" s="21">
        <v>9</v>
      </c>
      <c r="W2921" s="21"/>
      <c r="X2921" s="21">
        <v>28</v>
      </c>
      <c r="Y2921" s="21"/>
      <c r="Z2921" s="21"/>
      <c r="AA2921" s="21"/>
      <c r="AB2921" s="21"/>
      <c r="AC2921" s="21"/>
      <c r="AD2921" s="21"/>
      <c r="AE2921" s="21"/>
      <c r="AF2921" s="21"/>
      <c r="AG2921" s="21"/>
      <c r="AH2921" s="21">
        <v>193</v>
      </c>
      <c r="AI2921" s="21"/>
      <c r="AJ2921" s="21"/>
      <c r="AK2921" s="21"/>
      <c r="AL2921" s="21">
        <v>13</v>
      </c>
      <c r="AM2921" s="21">
        <v>24</v>
      </c>
      <c r="AN2921" s="21">
        <v>10</v>
      </c>
      <c r="AO2921" s="21">
        <v>36</v>
      </c>
      <c r="AP2921" s="21">
        <v>24</v>
      </c>
      <c r="AQ2921" s="21">
        <v>10</v>
      </c>
      <c r="AR2921" s="21">
        <v>24</v>
      </c>
      <c r="AS2921" s="21">
        <v>52</v>
      </c>
      <c r="AT2921" s="12" t="str">
        <f>HYPERLINK("http://www.openstreetmap.org/?mlat=35.5858&amp;mlon=45.3934&amp;zoom=12#map=12/35.5858/45.3934","Maplink1")</f>
        <v>Maplink1</v>
      </c>
      <c r="AU2921" s="12" t="str">
        <f>HYPERLINK("https://www.google.iq/maps/search/+35.5858,45.3934/@35.5858,45.3934,14z?hl=en","Maplink2")</f>
        <v>Maplink2</v>
      </c>
      <c r="AV2921" s="12" t="str">
        <f>HYPERLINK("http://www.bing.com/maps/?lvl=14&amp;sty=h&amp;cp=35.5858~45.3934&amp;sp=point.35.5858_45.3934","Maplink3")</f>
        <v>Maplink3</v>
      </c>
    </row>
    <row r="2922" spans="1:48" ht="15" customHeight="1" x14ac:dyDescent="0.25">
      <c r="A2922" s="19">
        <v>31972</v>
      </c>
      <c r="B2922" s="20" t="s">
        <v>24</v>
      </c>
      <c r="C2922" s="20" t="s">
        <v>4846</v>
      </c>
      <c r="D2922" s="20" t="s">
        <v>5048</v>
      </c>
      <c r="E2922" s="20" t="s">
        <v>5049</v>
      </c>
      <c r="F2922" s="20">
        <v>35.534880000000001</v>
      </c>
      <c r="G2922" s="20">
        <v>45.455680000000001</v>
      </c>
      <c r="H2922" s="22">
        <v>47</v>
      </c>
      <c r="I2922" s="22">
        <v>282</v>
      </c>
      <c r="J2922" s="21">
        <v>12</v>
      </c>
      <c r="K2922" s="21">
        <v>3</v>
      </c>
      <c r="L2922" s="21">
        <v>2</v>
      </c>
      <c r="M2922" s="21"/>
      <c r="N2922" s="21"/>
      <c r="O2922" s="21">
        <v>7</v>
      </c>
      <c r="P2922" s="21"/>
      <c r="Q2922" s="21"/>
      <c r="R2922" s="21"/>
      <c r="S2922" s="21"/>
      <c r="T2922" s="21"/>
      <c r="U2922" s="21"/>
      <c r="V2922" s="21">
        <v>4</v>
      </c>
      <c r="W2922" s="21"/>
      <c r="X2922" s="21">
        <v>19</v>
      </c>
      <c r="Y2922" s="21"/>
      <c r="Z2922" s="21"/>
      <c r="AA2922" s="21"/>
      <c r="AB2922" s="21"/>
      <c r="AC2922" s="21"/>
      <c r="AD2922" s="21"/>
      <c r="AE2922" s="21"/>
      <c r="AF2922" s="21"/>
      <c r="AG2922" s="21"/>
      <c r="AH2922" s="21">
        <v>47</v>
      </c>
      <c r="AI2922" s="21"/>
      <c r="AJ2922" s="21"/>
      <c r="AK2922" s="21"/>
      <c r="AL2922" s="21">
        <v>7</v>
      </c>
      <c r="AM2922" s="21">
        <v>12</v>
      </c>
      <c r="AN2922" s="21">
        <v>1</v>
      </c>
      <c r="AO2922" s="21">
        <v>15</v>
      </c>
      <c r="AP2922" s="21">
        <v>12</v>
      </c>
      <c r="AQ2922" s="21"/>
      <c r="AR2922" s="21"/>
      <c r="AS2922" s="21"/>
      <c r="AT2922" s="12" t="str">
        <f>HYPERLINK("http://www.openstreetmap.org/?mlat=35.5349&amp;mlon=45.4557&amp;zoom=12#map=12/35.5349/45.4557","Maplink1")</f>
        <v>Maplink1</v>
      </c>
      <c r="AU2922" s="12" t="str">
        <f>HYPERLINK("https://www.google.iq/maps/search/+35.5349,45.4557/@35.5349,45.4557,14z?hl=en","Maplink2")</f>
        <v>Maplink2</v>
      </c>
      <c r="AV2922" s="12" t="str">
        <f>HYPERLINK("http://www.bing.com/maps/?lvl=14&amp;sty=h&amp;cp=35.5349~45.4557&amp;sp=point.35.5349_45.4557","Maplink3")</f>
        <v>Maplink3</v>
      </c>
    </row>
    <row r="2923" spans="1:48" ht="15" customHeight="1" x14ac:dyDescent="0.25">
      <c r="A2923" s="19">
        <v>21059</v>
      </c>
      <c r="B2923" s="20" t="s">
        <v>24</v>
      </c>
      <c r="C2923" s="20" t="s">
        <v>4846</v>
      </c>
      <c r="D2923" s="20" t="s">
        <v>5050</v>
      </c>
      <c r="E2923" s="20" t="s">
        <v>5051</v>
      </c>
      <c r="F2923" s="20">
        <v>35.578402420000003</v>
      </c>
      <c r="G2923" s="20">
        <v>45.42489913</v>
      </c>
      <c r="H2923" s="22">
        <v>56</v>
      </c>
      <c r="I2923" s="22">
        <v>336</v>
      </c>
      <c r="J2923" s="21">
        <v>29</v>
      </c>
      <c r="K2923" s="21">
        <v>1</v>
      </c>
      <c r="L2923" s="21">
        <v>17</v>
      </c>
      <c r="M2923" s="21"/>
      <c r="N2923" s="21"/>
      <c r="O2923" s="21"/>
      <c r="P2923" s="21"/>
      <c r="Q2923" s="21"/>
      <c r="R2923" s="21"/>
      <c r="S2923" s="21"/>
      <c r="T2923" s="21"/>
      <c r="U2923" s="21"/>
      <c r="V2923" s="21">
        <v>1</v>
      </c>
      <c r="W2923" s="21"/>
      <c r="X2923" s="21">
        <v>8</v>
      </c>
      <c r="Y2923" s="21"/>
      <c r="Z2923" s="21"/>
      <c r="AA2923" s="21"/>
      <c r="AB2923" s="21"/>
      <c r="AC2923" s="21"/>
      <c r="AD2923" s="21"/>
      <c r="AE2923" s="21"/>
      <c r="AF2923" s="21"/>
      <c r="AG2923" s="21"/>
      <c r="AH2923" s="21">
        <v>56</v>
      </c>
      <c r="AI2923" s="21"/>
      <c r="AJ2923" s="21"/>
      <c r="AK2923" s="21"/>
      <c r="AL2923" s="21">
        <v>1</v>
      </c>
      <c r="AM2923" s="21">
        <v>4</v>
      </c>
      <c r="AN2923" s="21"/>
      <c r="AO2923" s="21">
        <v>7</v>
      </c>
      <c r="AP2923" s="21">
        <v>7</v>
      </c>
      <c r="AQ2923" s="21">
        <v>18</v>
      </c>
      <c r="AR2923" s="21">
        <v>9</v>
      </c>
      <c r="AS2923" s="21">
        <v>10</v>
      </c>
      <c r="AT2923" s="12" t="str">
        <f>HYPERLINK("http://www.openstreetmap.org/?mlat=35.5784&amp;mlon=45.4249&amp;zoom=12#map=12/35.5784/45.4249","Maplink1")</f>
        <v>Maplink1</v>
      </c>
      <c r="AU2923" s="12" t="str">
        <f>HYPERLINK("https://www.google.iq/maps/search/+35.5784,45.4249/@35.5784,45.4249,14z?hl=en","Maplink2")</f>
        <v>Maplink2</v>
      </c>
      <c r="AV2923" s="12" t="str">
        <f>HYPERLINK("http://www.bing.com/maps/?lvl=14&amp;sty=h&amp;cp=35.5784~45.4249&amp;sp=point.35.5784_45.4249","Maplink3")</f>
        <v>Maplink3</v>
      </c>
    </row>
    <row r="2924" spans="1:48" ht="15" customHeight="1" x14ac:dyDescent="0.25">
      <c r="A2924" s="19">
        <v>33356</v>
      </c>
      <c r="B2924" s="20" t="s">
        <v>24</v>
      </c>
      <c r="C2924" s="20" t="s">
        <v>4846</v>
      </c>
      <c r="D2924" s="20" t="s">
        <v>5834</v>
      </c>
      <c r="E2924" s="20" t="s">
        <v>5835</v>
      </c>
      <c r="F2924" s="20">
        <v>35.577530000000003</v>
      </c>
      <c r="G2924" s="20">
        <v>45.426920000000003</v>
      </c>
      <c r="H2924" s="22">
        <v>6</v>
      </c>
      <c r="I2924" s="22">
        <v>36</v>
      </c>
      <c r="J2924" s="21"/>
      <c r="K2924" s="21"/>
      <c r="L2924" s="21">
        <v>5</v>
      </c>
      <c r="M2924" s="21"/>
      <c r="N2924" s="21"/>
      <c r="O2924" s="21">
        <v>1</v>
      </c>
      <c r="P2924" s="21"/>
      <c r="Q2924" s="21"/>
      <c r="R2924" s="21"/>
      <c r="S2924" s="21"/>
      <c r="T2924" s="21"/>
      <c r="U2924" s="21"/>
      <c r="V2924" s="21"/>
      <c r="W2924" s="21"/>
      <c r="X2924" s="21"/>
      <c r="Y2924" s="21"/>
      <c r="Z2924" s="21"/>
      <c r="AA2924" s="21"/>
      <c r="AB2924" s="21"/>
      <c r="AC2924" s="21"/>
      <c r="AD2924" s="21"/>
      <c r="AE2924" s="21"/>
      <c r="AF2924" s="21"/>
      <c r="AG2924" s="21"/>
      <c r="AH2924" s="21">
        <v>6</v>
      </c>
      <c r="AI2924" s="21"/>
      <c r="AJ2924" s="21"/>
      <c r="AK2924" s="21"/>
      <c r="AL2924" s="21">
        <v>2</v>
      </c>
      <c r="AM2924" s="21"/>
      <c r="AN2924" s="21"/>
      <c r="AO2924" s="21"/>
      <c r="AP2924" s="21"/>
      <c r="AQ2924" s="21">
        <v>1</v>
      </c>
      <c r="AR2924" s="21">
        <v>3</v>
      </c>
      <c r="AS2924" s="21"/>
      <c r="AT2924" s="12" t="str">
        <f>HYPERLINK("http://www.openstreetmap.org/?mlat=35.5775&amp;mlon=45.4269&amp;zoom=12#map=12/35.5775/45.4269","Maplink1")</f>
        <v>Maplink1</v>
      </c>
      <c r="AU2924" s="12" t="str">
        <f>HYPERLINK("https://www.google.iq/maps/search/+35.5775,45.4269/@35.5775,45.4269,14z?hl=en","Maplink2")</f>
        <v>Maplink2</v>
      </c>
      <c r="AV2924" s="12" t="str">
        <f>HYPERLINK("http://www.bing.com/maps/?lvl=14&amp;sty=h&amp;cp=35.5775~45.4269&amp;sp=point.35.5775_45.4269","Maplink3")</f>
        <v>Maplink3</v>
      </c>
    </row>
    <row r="2925" spans="1:48" ht="15" customHeight="1" x14ac:dyDescent="0.25">
      <c r="A2925" s="19">
        <v>4471</v>
      </c>
      <c r="B2925" s="20" t="s">
        <v>24</v>
      </c>
      <c r="C2925" s="20" t="s">
        <v>4846</v>
      </c>
      <c r="D2925" s="20" t="s">
        <v>5052</v>
      </c>
      <c r="E2925" s="20" t="s">
        <v>5053</v>
      </c>
      <c r="F2925" s="20">
        <v>35.559440000000002</v>
      </c>
      <c r="G2925" s="20">
        <v>45.295569999999998</v>
      </c>
      <c r="H2925" s="22">
        <v>28</v>
      </c>
      <c r="I2925" s="22">
        <v>168</v>
      </c>
      <c r="J2925" s="21"/>
      <c r="K2925" s="21"/>
      <c r="L2925" s="21"/>
      <c r="M2925" s="21"/>
      <c r="N2925" s="21"/>
      <c r="O2925" s="21"/>
      <c r="P2925" s="21"/>
      <c r="Q2925" s="21"/>
      <c r="R2925" s="21"/>
      <c r="S2925" s="21"/>
      <c r="T2925" s="21"/>
      <c r="U2925" s="21"/>
      <c r="V2925" s="21">
        <v>28</v>
      </c>
      <c r="W2925" s="21"/>
      <c r="X2925" s="21"/>
      <c r="Y2925" s="21"/>
      <c r="Z2925" s="21"/>
      <c r="AA2925" s="21"/>
      <c r="AB2925" s="21"/>
      <c r="AC2925" s="21"/>
      <c r="AD2925" s="21"/>
      <c r="AE2925" s="21"/>
      <c r="AF2925" s="21"/>
      <c r="AG2925" s="21"/>
      <c r="AH2925" s="21">
        <v>28</v>
      </c>
      <c r="AI2925" s="21"/>
      <c r="AJ2925" s="21"/>
      <c r="AK2925" s="21"/>
      <c r="AL2925" s="21"/>
      <c r="AM2925" s="21"/>
      <c r="AN2925" s="21">
        <v>28</v>
      </c>
      <c r="AO2925" s="21"/>
      <c r="AP2925" s="21"/>
      <c r="AQ2925" s="21"/>
      <c r="AR2925" s="21"/>
      <c r="AS2925" s="21"/>
      <c r="AT2925" s="12" t="str">
        <f>HYPERLINK("http://www.openstreetmap.org/?mlat=35.5594&amp;mlon=45.2956&amp;zoom=12#map=12/35.5594/45.2956","Maplink1")</f>
        <v>Maplink1</v>
      </c>
      <c r="AU2925" s="12" t="str">
        <f>HYPERLINK("https://www.google.iq/maps/search/+35.5594,45.2956/@35.5594,45.2956,14z?hl=en","Maplink2")</f>
        <v>Maplink2</v>
      </c>
      <c r="AV2925" s="12" t="str">
        <f>HYPERLINK("http://www.bing.com/maps/?lvl=14&amp;sty=h&amp;cp=35.5594~45.2956&amp;sp=point.35.5594_45.2956","Maplink3")</f>
        <v>Maplink3</v>
      </c>
    </row>
    <row r="2926" spans="1:48" ht="15" customHeight="1" x14ac:dyDescent="0.25">
      <c r="A2926" s="19">
        <v>32008</v>
      </c>
      <c r="B2926" s="20" t="s">
        <v>24</v>
      </c>
      <c r="C2926" s="20" t="s">
        <v>4846</v>
      </c>
      <c r="D2926" s="20" t="s">
        <v>5054</v>
      </c>
      <c r="E2926" s="20" t="s">
        <v>5055</v>
      </c>
      <c r="F2926" s="20">
        <v>35.585810000000002</v>
      </c>
      <c r="G2926" s="20">
        <v>45.404640000000001</v>
      </c>
      <c r="H2926" s="22">
        <v>55</v>
      </c>
      <c r="I2926" s="22">
        <v>330</v>
      </c>
      <c r="J2926" s="21">
        <v>16</v>
      </c>
      <c r="K2926" s="21">
        <v>2</v>
      </c>
      <c r="L2926" s="21">
        <v>5</v>
      </c>
      <c r="M2926" s="21"/>
      <c r="N2926" s="21"/>
      <c r="O2926" s="21">
        <v>1</v>
      </c>
      <c r="P2926" s="21"/>
      <c r="Q2926" s="21"/>
      <c r="R2926" s="21">
        <v>12</v>
      </c>
      <c r="S2926" s="21"/>
      <c r="T2926" s="21"/>
      <c r="U2926" s="21"/>
      <c r="V2926" s="21">
        <v>3</v>
      </c>
      <c r="W2926" s="21"/>
      <c r="X2926" s="21">
        <v>16</v>
      </c>
      <c r="Y2926" s="21"/>
      <c r="Z2926" s="21"/>
      <c r="AA2926" s="21"/>
      <c r="AB2926" s="21"/>
      <c r="AC2926" s="21"/>
      <c r="AD2926" s="21"/>
      <c r="AE2926" s="21"/>
      <c r="AF2926" s="21"/>
      <c r="AG2926" s="21"/>
      <c r="AH2926" s="21">
        <v>55</v>
      </c>
      <c r="AI2926" s="21"/>
      <c r="AJ2926" s="21"/>
      <c r="AK2926" s="21"/>
      <c r="AL2926" s="21">
        <v>6</v>
      </c>
      <c r="AM2926" s="21">
        <v>10</v>
      </c>
      <c r="AN2926" s="21"/>
      <c r="AO2926" s="21">
        <v>3</v>
      </c>
      <c r="AP2926" s="21">
        <v>6</v>
      </c>
      <c r="AQ2926" s="21">
        <v>3</v>
      </c>
      <c r="AR2926" s="21"/>
      <c r="AS2926" s="21">
        <v>27</v>
      </c>
      <c r="AT2926" s="12" t="str">
        <f>HYPERLINK("http://www.openstreetmap.org/?mlat=35.5858&amp;mlon=45.4046&amp;zoom=12#map=12/35.5858/45.4046","Maplink1")</f>
        <v>Maplink1</v>
      </c>
      <c r="AU2926" s="12" t="str">
        <f>HYPERLINK("https://www.google.iq/maps/search/+35.5858,45.4046/@35.5858,45.4046,14z?hl=en","Maplink2")</f>
        <v>Maplink2</v>
      </c>
      <c r="AV2926" s="12" t="str">
        <f>HYPERLINK("http://www.bing.com/maps/?lvl=14&amp;sty=h&amp;cp=35.5858~45.4046&amp;sp=point.35.5858_45.4046","Maplink3")</f>
        <v>Maplink3</v>
      </c>
    </row>
    <row r="2927" spans="1:48" ht="15" customHeight="1" x14ac:dyDescent="0.25">
      <c r="A2927" s="19">
        <v>21243</v>
      </c>
      <c r="B2927" s="20" t="s">
        <v>24</v>
      </c>
      <c r="C2927" s="20" t="s">
        <v>4846</v>
      </c>
      <c r="D2927" s="20" t="s">
        <v>6034</v>
      </c>
      <c r="E2927" s="20" t="s">
        <v>6035</v>
      </c>
      <c r="F2927" s="20">
        <v>35.543126170000001</v>
      </c>
      <c r="G2927" s="20">
        <v>45.44422531</v>
      </c>
      <c r="H2927" s="22">
        <v>261</v>
      </c>
      <c r="I2927" s="22">
        <v>1566</v>
      </c>
      <c r="J2927" s="21">
        <v>116</v>
      </c>
      <c r="K2927" s="21">
        <v>21</v>
      </c>
      <c r="L2927" s="21">
        <v>35</v>
      </c>
      <c r="M2927" s="21"/>
      <c r="N2927" s="21"/>
      <c r="O2927" s="21">
        <v>23</v>
      </c>
      <c r="P2927" s="21"/>
      <c r="Q2927" s="21"/>
      <c r="R2927" s="21">
        <v>5</v>
      </c>
      <c r="S2927" s="21"/>
      <c r="T2927" s="21"/>
      <c r="U2927" s="21"/>
      <c r="V2927" s="21">
        <v>17</v>
      </c>
      <c r="W2927" s="21"/>
      <c r="X2927" s="21">
        <v>44</v>
      </c>
      <c r="Y2927" s="21"/>
      <c r="Z2927" s="21"/>
      <c r="AA2927" s="21"/>
      <c r="AB2927" s="21"/>
      <c r="AC2927" s="21"/>
      <c r="AD2927" s="21"/>
      <c r="AE2927" s="21"/>
      <c r="AF2927" s="21"/>
      <c r="AG2927" s="21"/>
      <c r="AH2927" s="21">
        <v>261</v>
      </c>
      <c r="AI2927" s="21"/>
      <c r="AJ2927" s="21"/>
      <c r="AK2927" s="21"/>
      <c r="AL2927" s="21">
        <v>19</v>
      </c>
      <c r="AM2927" s="21">
        <v>37</v>
      </c>
      <c r="AN2927" s="21">
        <v>42</v>
      </c>
      <c r="AO2927" s="21">
        <v>63</v>
      </c>
      <c r="AP2927" s="21">
        <v>44</v>
      </c>
      <c r="AQ2927" s="21">
        <v>31</v>
      </c>
      <c r="AR2927" s="21">
        <v>6</v>
      </c>
      <c r="AS2927" s="21">
        <v>19</v>
      </c>
      <c r="AT2927" s="12" t="str">
        <f>HYPERLINK("http://www.openstreetmap.org/?mlat=35.5431&amp;mlon=45.4442&amp;zoom=12#map=12/35.5431/45.4442","Maplink1")</f>
        <v>Maplink1</v>
      </c>
      <c r="AU2927" s="12" t="str">
        <f>HYPERLINK("https://www.google.iq/maps/search/+35.5431,45.4442/@35.5431,45.4442,14z?hl=en","Maplink2")</f>
        <v>Maplink2</v>
      </c>
      <c r="AV2927" s="12" t="str">
        <f>HYPERLINK("http://www.bing.com/maps/?lvl=14&amp;sty=h&amp;cp=35.5431~45.4442&amp;sp=point.35.5431_45.4442","Maplink3")</f>
        <v>Maplink3</v>
      </c>
    </row>
    <row r="2928" spans="1:48" ht="15" customHeight="1" x14ac:dyDescent="0.25">
      <c r="A2928" s="19">
        <v>25570</v>
      </c>
      <c r="B2928" s="20" t="s">
        <v>24</v>
      </c>
      <c r="C2928" s="20" t="s">
        <v>4846</v>
      </c>
      <c r="D2928" s="20" t="s">
        <v>5056</v>
      </c>
      <c r="E2928" s="20" t="s">
        <v>5057</v>
      </c>
      <c r="F2928" s="20">
        <v>35.583673130000001</v>
      </c>
      <c r="G2928" s="20">
        <v>45.318319289999998</v>
      </c>
      <c r="H2928" s="22">
        <v>91</v>
      </c>
      <c r="I2928" s="22">
        <v>546</v>
      </c>
      <c r="J2928" s="21">
        <v>6</v>
      </c>
      <c r="K2928" s="21"/>
      <c r="L2928" s="21">
        <v>3</v>
      </c>
      <c r="M2928" s="21"/>
      <c r="N2928" s="21"/>
      <c r="O2928" s="21">
        <v>11</v>
      </c>
      <c r="P2928" s="21"/>
      <c r="Q2928" s="21"/>
      <c r="R2928" s="21">
        <v>22</v>
      </c>
      <c r="S2928" s="21"/>
      <c r="T2928" s="21"/>
      <c r="U2928" s="21"/>
      <c r="V2928" s="21">
        <v>23</v>
      </c>
      <c r="W2928" s="21"/>
      <c r="X2928" s="21">
        <v>26</v>
      </c>
      <c r="Y2928" s="21"/>
      <c r="Z2928" s="21"/>
      <c r="AA2928" s="21"/>
      <c r="AB2928" s="21"/>
      <c r="AC2928" s="21"/>
      <c r="AD2928" s="21"/>
      <c r="AE2928" s="21"/>
      <c r="AF2928" s="21"/>
      <c r="AG2928" s="21"/>
      <c r="AH2928" s="21">
        <v>91</v>
      </c>
      <c r="AI2928" s="21"/>
      <c r="AJ2928" s="21"/>
      <c r="AK2928" s="21"/>
      <c r="AL2928" s="21">
        <v>2</v>
      </c>
      <c r="AM2928" s="21">
        <v>17</v>
      </c>
      <c r="AN2928" s="21">
        <v>27</v>
      </c>
      <c r="AO2928" s="21">
        <v>3</v>
      </c>
      <c r="AP2928" s="21">
        <v>4</v>
      </c>
      <c r="AQ2928" s="21"/>
      <c r="AR2928" s="21"/>
      <c r="AS2928" s="21">
        <v>38</v>
      </c>
      <c r="AT2928" s="12" t="str">
        <f>HYPERLINK("http://www.openstreetmap.org/?mlat=35.5837&amp;mlon=45.3183&amp;zoom=12#map=12/35.5837/45.3183","Maplink1")</f>
        <v>Maplink1</v>
      </c>
      <c r="AU2928" s="12" t="str">
        <f>HYPERLINK("https://www.google.iq/maps/search/+35.5837,45.3183/@35.5837,45.3183,14z?hl=en","Maplink2")</f>
        <v>Maplink2</v>
      </c>
      <c r="AV2928" s="12" t="str">
        <f>HYPERLINK("http://www.bing.com/maps/?lvl=14&amp;sty=h&amp;cp=35.5837~45.3183&amp;sp=point.35.5837_45.3183","Maplink3")</f>
        <v>Maplink3</v>
      </c>
    </row>
    <row r="2929" spans="1:48" ht="15" customHeight="1" x14ac:dyDescent="0.25">
      <c r="A2929" s="19">
        <v>5785</v>
      </c>
      <c r="B2929" s="20" t="s">
        <v>24</v>
      </c>
      <c r="C2929" s="20" t="s">
        <v>4846</v>
      </c>
      <c r="D2929" s="20" t="s">
        <v>5058</v>
      </c>
      <c r="E2929" s="20" t="s">
        <v>5059</v>
      </c>
      <c r="F2929" s="20">
        <v>35.542749999999998</v>
      </c>
      <c r="G2929" s="20">
        <v>45.380490000000002</v>
      </c>
      <c r="H2929" s="22">
        <v>80</v>
      </c>
      <c r="I2929" s="22">
        <v>480</v>
      </c>
      <c r="J2929" s="21">
        <v>23</v>
      </c>
      <c r="K2929" s="21">
        <v>7</v>
      </c>
      <c r="L2929" s="21">
        <v>6</v>
      </c>
      <c r="M2929" s="21"/>
      <c r="N2929" s="21"/>
      <c r="O2929" s="21">
        <v>6</v>
      </c>
      <c r="P2929" s="21"/>
      <c r="Q2929" s="21"/>
      <c r="R2929" s="21">
        <v>4</v>
      </c>
      <c r="S2929" s="21"/>
      <c r="T2929" s="21"/>
      <c r="U2929" s="21"/>
      <c r="V2929" s="21">
        <v>13</v>
      </c>
      <c r="W2929" s="21"/>
      <c r="X2929" s="21">
        <v>21</v>
      </c>
      <c r="Y2929" s="21"/>
      <c r="Z2929" s="21"/>
      <c r="AA2929" s="21"/>
      <c r="AB2929" s="21"/>
      <c r="AC2929" s="21"/>
      <c r="AD2929" s="21"/>
      <c r="AE2929" s="21"/>
      <c r="AF2929" s="21"/>
      <c r="AG2929" s="21"/>
      <c r="AH2929" s="21">
        <v>80</v>
      </c>
      <c r="AI2929" s="21"/>
      <c r="AJ2929" s="21"/>
      <c r="AK2929" s="21"/>
      <c r="AL2929" s="21">
        <v>1</v>
      </c>
      <c r="AM2929" s="21">
        <v>2</v>
      </c>
      <c r="AN2929" s="21">
        <v>1</v>
      </c>
      <c r="AO2929" s="21">
        <v>2</v>
      </c>
      <c r="AP2929" s="21">
        <v>15</v>
      </c>
      <c r="AQ2929" s="21">
        <v>13</v>
      </c>
      <c r="AR2929" s="21">
        <v>18</v>
      </c>
      <c r="AS2929" s="21">
        <v>28</v>
      </c>
      <c r="AT2929" s="12" t="str">
        <f>HYPERLINK("http://www.openstreetmap.org/?mlat=35.5427&amp;mlon=45.3805&amp;zoom=12#map=12/35.5427/45.3805","Maplink1")</f>
        <v>Maplink1</v>
      </c>
      <c r="AU2929" s="12" t="str">
        <f>HYPERLINK("https://www.google.iq/maps/search/+35.5427,45.3805/@35.5427,45.3805,14z?hl=en","Maplink2")</f>
        <v>Maplink2</v>
      </c>
      <c r="AV2929" s="12" t="str">
        <f>HYPERLINK("http://www.bing.com/maps/?lvl=14&amp;sty=h&amp;cp=35.5427~45.3805&amp;sp=point.35.5427_45.3805","Maplink3")</f>
        <v>Maplink3</v>
      </c>
    </row>
    <row r="2930" spans="1:48" ht="15" customHeight="1" x14ac:dyDescent="0.25">
      <c r="A2930" s="19">
        <v>5112</v>
      </c>
      <c r="B2930" s="20" t="s">
        <v>24</v>
      </c>
      <c r="C2930" s="20" t="s">
        <v>4846</v>
      </c>
      <c r="D2930" s="20" t="s">
        <v>5060</v>
      </c>
      <c r="E2930" s="20" t="s">
        <v>5061</v>
      </c>
      <c r="F2930" s="20">
        <v>35.622190000000003</v>
      </c>
      <c r="G2930" s="20">
        <v>45.411230000000003</v>
      </c>
      <c r="H2930" s="22">
        <v>14</v>
      </c>
      <c r="I2930" s="22">
        <v>84</v>
      </c>
      <c r="J2930" s="21"/>
      <c r="K2930" s="21">
        <v>5</v>
      </c>
      <c r="L2930" s="21">
        <v>1</v>
      </c>
      <c r="M2930" s="21"/>
      <c r="N2930" s="21"/>
      <c r="O2930" s="21">
        <v>4</v>
      </c>
      <c r="P2930" s="21"/>
      <c r="Q2930" s="21"/>
      <c r="R2930" s="21"/>
      <c r="S2930" s="21"/>
      <c r="T2930" s="21"/>
      <c r="U2930" s="21"/>
      <c r="V2930" s="21">
        <v>2</v>
      </c>
      <c r="W2930" s="21"/>
      <c r="X2930" s="21">
        <v>2</v>
      </c>
      <c r="Y2930" s="21"/>
      <c r="Z2930" s="21"/>
      <c r="AA2930" s="21"/>
      <c r="AB2930" s="21"/>
      <c r="AC2930" s="21"/>
      <c r="AD2930" s="21"/>
      <c r="AE2930" s="21"/>
      <c r="AF2930" s="21"/>
      <c r="AG2930" s="21"/>
      <c r="AH2930" s="21">
        <v>14</v>
      </c>
      <c r="AI2930" s="21"/>
      <c r="AJ2930" s="21"/>
      <c r="AK2930" s="21"/>
      <c r="AL2930" s="21">
        <v>2</v>
      </c>
      <c r="AM2930" s="21">
        <v>6</v>
      </c>
      <c r="AN2930" s="21">
        <v>3</v>
      </c>
      <c r="AO2930" s="21">
        <v>1</v>
      </c>
      <c r="AP2930" s="21"/>
      <c r="AQ2930" s="21">
        <v>2</v>
      </c>
      <c r="AR2930" s="21"/>
      <c r="AS2930" s="21"/>
      <c r="AT2930" s="12" t="str">
        <f>HYPERLINK("http://www.openstreetmap.org/?mlat=35.6222&amp;mlon=45.4112&amp;zoom=12#map=12/35.6222/45.4112","Maplink1")</f>
        <v>Maplink1</v>
      </c>
      <c r="AU2930" s="12" t="str">
        <f>HYPERLINK("https://www.google.iq/maps/search/+35.6222,45.4112/@35.6222,45.4112,14z?hl=en","Maplink2")</f>
        <v>Maplink2</v>
      </c>
      <c r="AV2930" s="12" t="str">
        <f>HYPERLINK("http://www.bing.com/maps/?lvl=14&amp;sty=h&amp;cp=35.6222~45.4112&amp;sp=point.35.6222_45.4112","Maplink3")</f>
        <v>Maplink3</v>
      </c>
    </row>
    <row r="2931" spans="1:48" ht="15" customHeight="1" x14ac:dyDescent="0.25">
      <c r="A2931" s="19">
        <v>31988</v>
      </c>
      <c r="B2931" s="20" t="s">
        <v>24</v>
      </c>
      <c r="C2931" s="20" t="s">
        <v>4846</v>
      </c>
      <c r="D2931" s="20" t="s">
        <v>5062</v>
      </c>
      <c r="E2931" s="20" t="s">
        <v>5063</v>
      </c>
      <c r="F2931" s="20">
        <v>35.58361</v>
      </c>
      <c r="G2931" s="20">
        <v>45.441420000000001</v>
      </c>
      <c r="H2931" s="22">
        <v>45</v>
      </c>
      <c r="I2931" s="22">
        <v>270</v>
      </c>
      <c r="J2931" s="21">
        <v>8</v>
      </c>
      <c r="K2931" s="21"/>
      <c r="L2931" s="21">
        <v>28</v>
      </c>
      <c r="M2931" s="21"/>
      <c r="N2931" s="21"/>
      <c r="O2931" s="21">
        <v>1</v>
      </c>
      <c r="P2931" s="21"/>
      <c r="Q2931" s="21"/>
      <c r="R2931" s="21"/>
      <c r="S2931" s="21"/>
      <c r="T2931" s="21"/>
      <c r="U2931" s="21"/>
      <c r="V2931" s="21">
        <v>2</v>
      </c>
      <c r="W2931" s="21"/>
      <c r="X2931" s="21">
        <v>6</v>
      </c>
      <c r="Y2931" s="21"/>
      <c r="Z2931" s="21"/>
      <c r="AA2931" s="21"/>
      <c r="AB2931" s="21"/>
      <c r="AC2931" s="21"/>
      <c r="AD2931" s="21"/>
      <c r="AE2931" s="21"/>
      <c r="AF2931" s="21"/>
      <c r="AG2931" s="21"/>
      <c r="AH2931" s="21">
        <v>45</v>
      </c>
      <c r="AI2931" s="21"/>
      <c r="AJ2931" s="21"/>
      <c r="AK2931" s="21"/>
      <c r="AL2931" s="21">
        <v>5</v>
      </c>
      <c r="AM2931" s="21">
        <v>11</v>
      </c>
      <c r="AN2931" s="21"/>
      <c r="AO2931" s="21">
        <v>16</v>
      </c>
      <c r="AP2931" s="21">
        <v>11</v>
      </c>
      <c r="AQ2931" s="21"/>
      <c r="AR2931" s="21">
        <v>2</v>
      </c>
      <c r="AS2931" s="21"/>
      <c r="AT2931" s="12" t="str">
        <f>HYPERLINK("http://www.openstreetmap.org/?mlat=35.5836&amp;mlon=45.4414&amp;zoom=12#map=12/35.5836/45.4414","Maplink1")</f>
        <v>Maplink1</v>
      </c>
      <c r="AU2931" s="12" t="str">
        <f>HYPERLINK("https://www.google.iq/maps/search/+35.5836,45.4414/@35.5836,45.4414,14z?hl=en","Maplink2")</f>
        <v>Maplink2</v>
      </c>
      <c r="AV2931" s="12" t="str">
        <f>HYPERLINK("http://www.bing.com/maps/?lvl=14&amp;sty=h&amp;cp=35.5836~45.4414&amp;sp=point.35.5836_45.4414","Maplink3")</f>
        <v>Maplink3</v>
      </c>
    </row>
    <row r="2932" spans="1:48" ht="15" customHeight="1" x14ac:dyDescent="0.25">
      <c r="A2932" s="19">
        <v>4467</v>
      </c>
      <c r="B2932" s="20" t="s">
        <v>24</v>
      </c>
      <c r="C2932" s="20" t="s">
        <v>4846</v>
      </c>
      <c r="D2932" s="20" t="s">
        <v>5064</v>
      </c>
      <c r="E2932" s="20" t="s">
        <v>5065</v>
      </c>
      <c r="F2932" s="20">
        <v>35.241500000000002</v>
      </c>
      <c r="G2932" s="20">
        <v>45.464320000000001</v>
      </c>
      <c r="H2932" s="22">
        <v>11</v>
      </c>
      <c r="I2932" s="22">
        <v>66</v>
      </c>
      <c r="J2932" s="21"/>
      <c r="K2932" s="21"/>
      <c r="L2932" s="21"/>
      <c r="M2932" s="21"/>
      <c r="N2932" s="21"/>
      <c r="O2932" s="21">
        <v>3</v>
      </c>
      <c r="P2932" s="21"/>
      <c r="Q2932" s="21"/>
      <c r="R2932" s="21">
        <v>1</v>
      </c>
      <c r="S2932" s="21"/>
      <c r="T2932" s="21"/>
      <c r="U2932" s="21"/>
      <c r="V2932" s="21">
        <v>6</v>
      </c>
      <c r="W2932" s="21"/>
      <c r="X2932" s="21">
        <v>1</v>
      </c>
      <c r="Y2932" s="21"/>
      <c r="Z2932" s="21"/>
      <c r="AA2932" s="21"/>
      <c r="AB2932" s="21"/>
      <c r="AC2932" s="21"/>
      <c r="AD2932" s="21"/>
      <c r="AE2932" s="21"/>
      <c r="AF2932" s="21"/>
      <c r="AG2932" s="21"/>
      <c r="AH2932" s="21">
        <v>11</v>
      </c>
      <c r="AI2932" s="21"/>
      <c r="AJ2932" s="21"/>
      <c r="AK2932" s="21"/>
      <c r="AL2932" s="21"/>
      <c r="AM2932" s="21">
        <v>2</v>
      </c>
      <c r="AN2932" s="21">
        <v>6</v>
      </c>
      <c r="AO2932" s="21">
        <v>1</v>
      </c>
      <c r="AP2932" s="21">
        <v>1</v>
      </c>
      <c r="AQ2932" s="21"/>
      <c r="AR2932" s="21"/>
      <c r="AS2932" s="21">
        <v>1</v>
      </c>
      <c r="AT2932" s="12" t="str">
        <f>HYPERLINK("http://www.openstreetmap.org/?mlat=35.2415&amp;mlon=45.4643&amp;zoom=12#map=12/35.2415/45.4643","Maplink1")</f>
        <v>Maplink1</v>
      </c>
      <c r="AU2932" s="12" t="str">
        <f>HYPERLINK("https://www.google.iq/maps/search/+35.2415,45.4643/@35.2415,45.4643,14z?hl=en","Maplink2")</f>
        <v>Maplink2</v>
      </c>
      <c r="AV2932" s="12" t="str">
        <f>HYPERLINK("http://www.bing.com/maps/?lvl=14&amp;sty=h&amp;cp=35.2415~45.4643&amp;sp=point.35.2415_45.4643","Maplink3")</f>
        <v>Maplink3</v>
      </c>
    </row>
    <row r="2933" spans="1:48" ht="15" customHeight="1" x14ac:dyDescent="0.25">
      <c r="A2933" s="19">
        <v>24899</v>
      </c>
      <c r="B2933" s="20" t="s">
        <v>24</v>
      </c>
      <c r="C2933" s="20" t="s">
        <v>4846</v>
      </c>
      <c r="D2933" s="20" t="s">
        <v>5066</v>
      </c>
      <c r="E2933" s="20" t="s">
        <v>5067</v>
      </c>
      <c r="F2933" s="20">
        <v>35.550217199999999</v>
      </c>
      <c r="G2933" s="20">
        <v>45.366147300000002</v>
      </c>
      <c r="H2933" s="22">
        <v>98</v>
      </c>
      <c r="I2933" s="22">
        <v>588</v>
      </c>
      <c r="J2933" s="21">
        <v>8</v>
      </c>
      <c r="K2933" s="21">
        <v>2</v>
      </c>
      <c r="L2933" s="21">
        <v>24</v>
      </c>
      <c r="M2933" s="21"/>
      <c r="N2933" s="21"/>
      <c r="O2933" s="21">
        <v>22</v>
      </c>
      <c r="P2933" s="21"/>
      <c r="Q2933" s="21"/>
      <c r="R2933" s="21">
        <v>20</v>
      </c>
      <c r="S2933" s="21"/>
      <c r="T2933" s="21"/>
      <c r="U2933" s="21"/>
      <c r="V2933" s="21"/>
      <c r="W2933" s="21"/>
      <c r="X2933" s="21">
        <v>22</v>
      </c>
      <c r="Y2933" s="21"/>
      <c r="Z2933" s="21"/>
      <c r="AA2933" s="21"/>
      <c r="AB2933" s="21"/>
      <c r="AC2933" s="21"/>
      <c r="AD2933" s="21"/>
      <c r="AE2933" s="21"/>
      <c r="AF2933" s="21"/>
      <c r="AG2933" s="21"/>
      <c r="AH2933" s="21">
        <v>98</v>
      </c>
      <c r="AI2933" s="21"/>
      <c r="AJ2933" s="21"/>
      <c r="AK2933" s="21"/>
      <c r="AL2933" s="21">
        <v>15</v>
      </c>
      <c r="AM2933" s="21">
        <v>23</v>
      </c>
      <c r="AN2933" s="21">
        <v>15</v>
      </c>
      <c r="AO2933" s="21">
        <v>13</v>
      </c>
      <c r="AP2933" s="21">
        <v>2</v>
      </c>
      <c r="AQ2933" s="21"/>
      <c r="AR2933" s="21"/>
      <c r="AS2933" s="21">
        <v>30</v>
      </c>
      <c r="AT2933" s="12" t="str">
        <f>HYPERLINK("http://www.openstreetmap.org/?mlat=35.5502&amp;mlon=45.3661&amp;zoom=12#map=12/35.5502/45.3661","Maplink1")</f>
        <v>Maplink1</v>
      </c>
      <c r="AU2933" s="12" t="str">
        <f>HYPERLINK("https://www.google.iq/maps/search/+35.5502,45.3661/@35.5502,45.3661,14z?hl=en","Maplink2")</f>
        <v>Maplink2</v>
      </c>
      <c r="AV2933" s="12" t="str">
        <f>HYPERLINK("http://www.bing.com/maps/?lvl=14&amp;sty=h&amp;cp=35.5502~45.3661&amp;sp=point.35.5502_45.3661","Maplink3")</f>
        <v>Maplink3</v>
      </c>
    </row>
    <row r="2934" spans="1:48" ht="15" customHeight="1" x14ac:dyDescent="0.25">
      <c r="A2934" s="19">
        <v>24260</v>
      </c>
      <c r="B2934" s="20" t="s">
        <v>24</v>
      </c>
      <c r="C2934" s="20" t="s">
        <v>4846</v>
      </c>
      <c r="D2934" s="20" t="s">
        <v>5068</v>
      </c>
      <c r="E2934" s="20" t="s">
        <v>5069</v>
      </c>
      <c r="F2934" s="20">
        <v>35.53751003</v>
      </c>
      <c r="G2934" s="20">
        <v>45.41074674</v>
      </c>
      <c r="H2934" s="22">
        <v>247</v>
      </c>
      <c r="I2934" s="22">
        <v>1482</v>
      </c>
      <c r="J2934" s="21">
        <v>57</v>
      </c>
      <c r="K2934" s="21"/>
      <c r="L2934" s="21">
        <v>125</v>
      </c>
      <c r="M2934" s="21"/>
      <c r="N2934" s="21"/>
      <c r="O2934" s="21">
        <v>14</v>
      </c>
      <c r="P2934" s="21"/>
      <c r="Q2934" s="21"/>
      <c r="R2934" s="21">
        <v>12</v>
      </c>
      <c r="S2934" s="21"/>
      <c r="T2934" s="21"/>
      <c r="U2934" s="21"/>
      <c r="V2934" s="21">
        <v>9</v>
      </c>
      <c r="W2934" s="21"/>
      <c r="X2934" s="21">
        <v>30</v>
      </c>
      <c r="Y2934" s="21"/>
      <c r="Z2934" s="21"/>
      <c r="AA2934" s="21"/>
      <c r="AB2934" s="21"/>
      <c r="AC2934" s="21"/>
      <c r="AD2934" s="21"/>
      <c r="AE2934" s="21"/>
      <c r="AF2934" s="21"/>
      <c r="AG2934" s="21"/>
      <c r="AH2934" s="21">
        <v>247</v>
      </c>
      <c r="AI2934" s="21"/>
      <c r="AJ2934" s="21"/>
      <c r="AK2934" s="21"/>
      <c r="AL2934" s="21"/>
      <c r="AM2934" s="21">
        <v>1</v>
      </c>
      <c r="AN2934" s="21"/>
      <c r="AO2934" s="21">
        <v>26</v>
      </c>
      <c r="AP2934" s="21">
        <v>46</v>
      </c>
      <c r="AQ2934" s="21">
        <v>59</v>
      </c>
      <c r="AR2934" s="21">
        <v>56</v>
      </c>
      <c r="AS2934" s="21">
        <v>59</v>
      </c>
      <c r="AT2934" s="12" t="str">
        <f>HYPERLINK("http://www.openstreetmap.org/?mlat=35.5375&amp;mlon=45.4107&amp;zoom=12#map=12/35.5375/45.4107","Maplink1")</f>
        <v>Maplink1</v>
      </c>
      <c r="AU2934" s="12" t="str">
        <f>HYPERLINK("https://www.google.iq/maps/search/+35.5375,45.4107/@35.5375,45.4107,14z?hl=en","Maplink2")</f>
        <v>Maplink2</v>
      </c>
      <c r="AV2934" s="12" t="str">
        <f>HYPERLINK("http://www.bing.com/maps/?lvl=14&amp;sty=h&amp;cp=35.5375~45.4107&amp;sp=point.35.5375_45.4107","Maplink3")</f>
        <v>Maplink3</v>
      </c>
    </row>
    <row r="2935" spans="1:48" ht="15" customHeight="1" x14ac:dyDescent="0.25">
      <c r="A2935" s="19">
        <v>32076</v>
      </c>
      <c r="B2935" s="20" t="s">
        <v>24</v>
      </c>
      <c r="C2935" s="20" t="s">
        <v>4846</v>
      </c>
      <c r="D2935" s="20" t="s">
        <v>5070</v>
      </c>
      <c r="E2935" s="20" t="s">
        <v>5071</v>
      </c>
      <c r="F2935" s="20">
        <v>35.55001</v>
      </c>
      <c r="G2935" s="20">
        <v>45.348590000000002</v>
      </c>
      <c r="H2935" s="22">
        <v>221</v>
      </c>
      <c r="I2935" s="22">
        <v>1326</v>
      </c>
      <c r="J2935" s="21">
        <v>34</v>
      </c>
      <c r="K2935" s="21">
        <v>1</v>
      </c>
      <c r="L2935" s="21">
        <v>35</v>
      </c>
      <c r="M2935" s="21"/>
      <c r="N2935" s="21"/>
      <c r="O2935" s="21">
        <v>16</v>
      </c>
      <c r="P2935" s="21"/>
      <c r="Q2935" s="21"/>
      <c r="R2935" s="21">
        <v>94</v>
      </c>
      <c r="S2935" s="21"/>
      <c r="T2935" s="21"/>
      <c r="U2935" s="21"/>
      <c r="V2935" s="21">
        <v>9</v>
      </c>
      <c r="W2935" s="21"/>
      <c r="X2935" s="21">
        <v>32</v>
      </c>
      <c r="Y2935" s="21"/>
      <c r="Z2935" s="21"/>
      <c r="AA2935" s="21"/>
      <c r="AB2935" s="21"/>
      <c r="AC2935" s="21"/>
      <c r="AD2935" s="21"/>
      <c r="AE2935" s="21"/>
      <c r="AF2935" s="21"/>
      <c r="AG2935" s="21"/>
      <c r="AH2935" s="21">
        <v>221</v>
      </c>
      <c r="AI2935" s="21"/>
      <c r="AJ2935" s="21"/>
      <c r="AK2935" s="21"/>
      <c r="AL2935" s="21">
        <v>20</v>
      </c>
      <c r="AM2935" s="21">
        <v>29</v>
      </c>
      <c r="AN2935" s="21">
        <v>14</v>
      </c>
      <c r="AO2935" s="21">
        <v>27</v>
      </c>
      <c r="AP2935" s="21">
        <v>7</v>
      </c>
      <c r="AQ2935" s="21">
        <v>6</v>
      </c>
      <c r="AR2935" s="21">
        <v>4</v>
      </c>
      <c r="AS2935" s="21">
        <v>114</v>
      </c>
      <c r="AT2935" s="12" t="str">
        <f>HYPERLINK("http://www.openstreetmap.org/?mlat=35.55&amp;mlon=45.3486&amp;zoom=12#map=12/35.55/45.3486","Maplink1")</f>
        <v>Maplink1</v>
      </c>
      <c r="AU2935" s="12" t="str">
        <f>HYPERLINK("https://www.google.iq/maps/search/+35.55,45.3486/@35.55,45.3486,14z?hl=en","Maplink2")</f>
        <v>Maplink2</v>
      </c>
      <c r="AV2935" s="12" t="str">
        <f>HYPERLINK("http://www.bing.com/maps/?lvl=14&amp;sty=h&amp;cp=35.55~45.3486&amp;sp=point.35.55_45.3486","Maplink3")</f>
        <v>Maplink3</v>
      </c>
    </row>
    <row r="2936" spans="1:48" ht="15" customHeight="1" x14ac:dyDescent="0.25">
      <c r="A2936" s="19">
        <v>23719</v>
      </c>
      <c r="B2936" s="20" t="s">
        <v>24</v>
      </c>
      <c r="C2936" s="20" t="s">
        <v>4846</v>
      </c>
      <c r="D2936" s="20" t="s">
        <v>5072</v>
      </c>
      <c r="E2936" s="20" t="s">
        <v>5073</v>
      </c>
      <c r="F2936" s="20">
        <v>35.594880250000003</v>
      </c>
      <c r="G2936" s="20">
        <v>45.44289878</v>
      </c>
      <c r="H2936" s="22">
        <v>84</v>
      </c>
      <c r="I2936" s="22">
        <v>504</v>
      </c>
      <c r="J2936" s="21">
        <v>15</v>
      </c>
      <c r="K2936" s="21">
        <v>1</v>
      </c>
      <c r="L2936" s="21">
        <v>16</v>
      </c>
      <c r="M2936" s="21"/>
      <c r="N2936" s="21"/>
      <c r="O2936" s="21">
        <v>5</v>
      </c>
      <c r="P2936" s="21"/>
      <c r="Q2936" s="21"/>
      <c r="R2936" s="21">
        <v>15</v>
      </c>
      <c r="S2936" s="21"/>
      <c r="T2936" s="21"/>
      <c r="U2936" s="21"/>
      <c r="V2936" s="21">
        <v>9</v>
      </c>
      <c r="W2936" s="21"/>
      <c r="X2936" s="21">
        <v>23</v>
      </c>
      <c r="Y2936" s="21"/>
      <c r="Z2936" s="21"/>
      <c r="AA2936" s="21"/>
      <c r="AB2936" s="21"/>
      <c r="AC2936" s="21"/>
      <c r="AD2936" s="21"/>
      <c r="AE2936" s="21"/>
      <c r="AF2936" s="21"/>
      <c r="AG2936" s="21"/>
      <c r="AH2936" s="21">
        <v>84</v>
      </c>
      <c r="AI2936" s="21"/>
      <c r="AJ2936" s="21"/>
      <c r="AK2936" s="21"/>
      <c r="AL2936" s="21">
        <v>2</v>
      </c>
      <c r="AM2936" s="21">
        <v>14</v>
      </c>
      <c r="AN2936" s="21">
        <v>2</v>
      </c>
      <c r="AO2936" s="21">
        <v>14</v>
      </c>
      <c r="AP2936" s="21">
        <v>12</v>
      </c>
      <c r="AQ2936" s="21">
        <v>7</v>
      </c>
      <c r="AR2936" s="21">
        <v>2</v>
      </c>
      <c r="AS2936" s="21">
        <v>31</v>
      </c>
      <c r="AT2936" s="12" t="str">
        <f>HYPERLINK("http://www.openstreetmap.org/?mlat=35.5949&amp;mlon=45.4429&amp;zoom=12#map=12/35.5949/45.4429","Maplink1")</f>
        <v>Maplink1</v>
      </c>
      <c r="AU2936" s="12" t="str">
        <f>HYPERLINK("https://www.google.iq/maps/search/+35.5949,45.4429/@35.5949,45.4429,14z?hl=en","Maplink2")</f>
        <v>Maplink2</v>
      </c>
      <c r="AV2936" s="12" t="str">
        <f>HYPERLINK("http://www.bing.com/maps/?lvl=14&amp;sty=h&amp;cp=35.5949~45.4429&amp;sp=point.35.5949_45.4429","Maplink3")</f>
        <v>Maplink3</v>
      </c>
    </row>
    <row r="2937" spans="1:48" ht="15" customHeight="1" x14ac:dyDescent="0.25">
      <c r="A2937" s="19">
        <v>24817</v>
      </c>
      <c r="B2937" s="20" t="s">
        <v>24</v>
      </c>
      <c r="C2937" s="20" t="s">
        <v>4846</v>
      </c>
      <c r="D2937" s="20" t="s">
        <v>5074</v>
      </c>
      <c r="E2937" s="20" t="s">
        <v>5075</v>
      </c>
      <c r="F2937" s="20">
        <v>35.532705640000003</v>
      </c>
      <c r="G2937" s="20">
        <v>45.416836660000001</v>
      </c>
      <c r="H2937" s="22">
        <v>26</v>
      </c>
      <c r="I2937" s="22">
        <v>156</v>
      </c>
      <c r="J2937" s="21">
        <v>8</v>
      </c>
      <c r="K2937" s="21">
        <v>1</v>
      </c>
      <c r="L2937" s="21">
        <v>12</v>
      </c>
      <c r="M2937" s="21"/>
      <c r="N2937" s="21"/>
      <c r="O2937" s="21">
        <v>2</v>
      </c>
      <c r="P2937" s="21"/>
      <c r="Q2937" s="21"/>
      <c r="R2937" s="21"/>
      <c r="S2937" s="21"/>
      <c r="T2937" s="21"/>
      <c r="U2937" s="21"/>
      <c r="V2937" s="21">
        <v>3</v>
      </c>
      <c r="W2937" s="21"/>
      <c r="X2937" s="21"/>
      <c r="Y2937" s="21"/>
      <c r="Z2937" s="21"/>
      <c r="AA2937" s="21"/>
      <c r="AB2937" s="21"/>
      <c r="AC2937" s="21"/>
      <c r="AD2937" s="21"/>
      <c r="AE2937" s="21"/>
      <c r="AF2937" s="21"/>
      <c r="AG2937" s="21"/>
      <c r="AH2937" s="21">
        <v>26</v>
      </c>
      <c r="AI2937" s="21"/>
      <c r="AJ2937" s="21"/>
      <c r="AK2937" s="21"/>
      <c r="AL2937" s="21"/>
      <c r="AM2937" s="21"/>
      <c r="AN2937" s="21"/>
      <c r="AO2937" s="21">
        <v>2</v>
      </c>
      <c r="AP2937" s="21">
        <v>6</v>
      </c>
      <c r="AQ2937" s="21">
        <v>6</v>
      </c>
      <c r="AR2937" s="21">
        <v>6</v>
      </c>
      <c r="AS2937" s="21">
        <v>6</v>
      </c>
      <c r="AT2937" s="12" t="str">
        <f>HYPERLINK("http://www.openstreetmap.org/?mlat=35.5327&amp;mlon=45.4168&amp;zoom=12#map=12/35.5327/45.4168","Maplink1")</f>
        <v>Maplink1</v>
      </c>
      <c r="AU2937" s="12" t="str">
        <f>HYPERLINK("https://www.google.iq/maps/search/+35.5327,45.4168/@35.5327,45.4168,14z?hl=en","Maplink2")</f>
        <v>Maplink2</v>
      </c>
      <c r="AV2937" s="12" t="str">
        <f>HYPERLINK("http://www.bing.com/maps/?lvl=14&amp;sty=h&amp;cp=35.5327~45.4168&amp;sp=point.35.5327_45.4168","Maplink3")</f>
        <v>Maplink3</v>
      </c>
    </row>
    <row r="2938" spans="1:48" ht="15" customHeight="1" x14ac:dyDescent="0.25">
      <c r="A2938" s="19">
        <v>32075</v>
      </c>
      <c r="B2938" s="20" t="s">
        <v>24</v>
      </c>
      <c r="C2938" s="20" t="s">
        <v>4846</v>
      </c>
      <c r="D2938" s="20" t="s">
        <v>5076</v>
      </c>
      <c r="E2938" s="20" t="s">
        <v>5077</v>
      </c>
      <c r="F2938" s="20">
        <v>35.554459999999999</v>
      </c>
      <c r="G2938" s="20">
        <v>45.345210000000002</v>
      </c>
      <c r="H2938" s="22">
        <v>189</v>
      </c>
      <c r="I2938" s="22">
        <v>1134</v>
      </c>
      <c r="J2938" s="21">
        <v>32</v>
      </c>
      <c r="K2938" s="21">
        <v>2</v>
      </c>
      <c r="L2938" s="21">
        <v>47</v>
      </c>
      <c r="M2938" s="21"/>
      <c r="N2938" s="21"/>
      <c r="O2938" s="21">
        <v>12</v>
      </c>
      <c r="P2938" s="21"/>
      <c r="Q2938" s="21"/>
      <c r="R2938" s="21">
        <v>60</v>
      </c>
      <c r="S2938" s="21"/>
      <c r="T2938" s="21"/>
      <c r="U2938" s="21"/>
      <c r="V2938" s="21">
        <v>9</v>
      </c>
      <c r="W2938" s="21"/>
      <c r="X2938" s="21">
        <v>27</v>
      </c>
      <c r="Y2938" s="21"/>
      <c r="Z2938" s="21"/>
      <c r="AA2938" s="21"/>
      <c r="AB2938" s="21"/>
      <c r="AC2938" s="21"/>
      <c r="AD2938" s="21"/>
      <c r="AE2938" s="21"/>
      <c r="AF2938" s="21"/>
      <c r="AG2938" s="21"/>
      <c r="AH2938" s="21">
        <v>189</v>
      </c>
      <c r="AI2938" s="21"/>
      <c r="AJ2938" s="21"/>
      <c r="AK2938" s="21"/>
      <c r="AL2938" s="21">
        <v>13</v>
      </c>
      <c r="AM2938" s="21">
        <v>35</v>
      </c>
      <c r="AN2938" s="21">
        <v>26</v>
      </c>
      <c r="AO2938" s="21">
        <v>17</v>
      </c>
      <c r="AP2938" s="21">
        <v>12</v>
      </c>
      <c r="AQ2938" s="21">
        <v>7</v>
      </c>
      <c r="AR2938" s="21">
        <v>2</v>
      </c>
      <c r="AS2938" s="21">
        <v>77</v>
      </c>
      <c r="AT2938" s="12" t="str">
        <f>HYPERLINK("http://www.openstreetmap.org/?mlat=35.5545&amp;mlon=45.3452&amp;zoom=12#map=12/35.5545/45.3452","Maplink1")</f>
        <v>Maplink1</v>
      </c>
      <c r="AU2938" s="12" t="str">
        <f>HYPERLINK("https://www.google.iq/maps/search/+35.5545,45.3452/@35.5545,45.3452,14z?hl=en","Maplink2")</f>
        <v>Maplink2</v>
      </c>
      <c r="AV2938" s="12" t="str">
        <f>HYPERLINK("http://www.bing.com/maps/?lvl=14&amp;sty=h&amp;cp=35.5545~45.3452&amp;sp=point.35.5545_45.3452","Maplink3")</f>
        <v>Maplink3</v>
      </c>
    </row>
    <row r="2939" spans="1:48" ht="15" customHeight="1" x14ac:dyDescent="0.25">
      <c r="A2939" s="19">
        <v>23720</v>
      </c>
      <c r="B2939" s="20" t="s">
        <v>24</v>
      </c>
      <c r="C2939" s="20" t="s">
        <v>4846</v>
      </c>
      <c r="D2939" s="20" t="s">
        <v>5078</v>
      </c>
      <c r="E2939" s="20" t="s">
        <v>5079</v>
      </c>
      <c r="F2939" s="20">
        <v>35.574610720000003</v>
      </c>
      <c r="G2939" s="20">
        <v>45.446319770000002</v>
      </c>
      <c r="H2939" s="22">
        <v>65</v>
      </c>
      <c r="I2939" s="22">
        <v>390</v>
      </c>
      <c r="J2939" s="21">
        <v>33</v>
      </c>
      <c r="K2939" s="21">
        <v>2</v>
      </c>
      <c r="L2939" s="21">
        <v>10</v>
      </c>
      <c r="M2939" s="21"/>
      <c r="N2939" s="21"/>
      <c r="O2939" s="21">
        <v>3</v>
      </c>
      <c r="P2939" s="21"/>
      <c r="Q2939" s="21"/>
      <c r="R2939" s="21"/>
      <c r="S2939" s="21"/>
      <c r="T2939" s="21"/>
      <c r="U2939" s="21"/>
      <c r="V2939" s="21">
        <v>4</v>
      </c>
      <c r="W2939" s="21"/>
      <c r="X2939" s="21">
        <v>13</v>
      </c>
      <c r="Y2939" s="21"/>
      <c r="Z2939" s="21"/>
      <c r="AA2939" s="21"/>
      <c r="AB2939" s="21"/>
      <c r="AC2939" s="21"/>
      <c r="AD2939" s="21"/>
      <c r="AE2939" s="21"/>
      <c r="AF2939" s="21"/>
      <c r="AG2939" s="21"/>
      <c r="AH2939" s="21">
        <v>65</v>
      </c>
      <c r="AI2939" s="21"/>
      <c r="AJ2939" s="21"/>
      <c r="AK2939" s="21"/>
      <c r="AL2939" s="21">
        <v>4</v>
      </c>
      <c r="AM2939" s="21">
        <v>6</v>
      </c>
      <c r="AN2939" s="21">
        <v>6</v>
      </c>
      <c r="AO2939" s="21">
        <v>7</v>
      </c>
      <c r="AP2939" s="21">
        <v>16</v>
      </c>
      <c r="AQ2939" s="21">
        <v>7</v>
      </c>
      <c r="AR2939" s="21">
        <v>9</v>
      </c>
      <c r="AS2939" s="21">
        <v>10</v>
      </c>
      <c r="AT2939" s="12" t="str">
        <f>HYPERLINK("http://www.openstreetmap.org/?mlat=35.5746&amp;mlon=45.4463&amp;zoom=12#map=12/35.5746/45.4463","Maplink1")</f>
        <v>Maplink1</v>
      </c>
      <c r="AU2939" s="12" t="str">
        <f>HYPERLINK("https://www.google.iq/maps/search/+35.5746,45.4463/@35.5746,45.4463,14z?hl=en","Maplink2")</f>
        <v>Maplink2</v>
      </c>
      <c r="AV2939" s="12" t="str">
        <f>HYPERLINK("http://www.bing.com/maps/?lvl=14&amp;sty=h&amp;cp=35.5746~45.4463&amp;sp=point.35.5746_45.4463","Maplink3")</f>
        <v>Maplink3</v>
      </c>
    </row>
    <row r="2940" spans="1:48" ht="15" customHeight="1" x14ac:dyDescent="0.25">
      <c r="A2940" s="19">
        <v>4456</v>
      </c>
      <c r="B2940" s="20" t="s">
        <v>24</v>
      </c>
      <c r="C2940" s="20" t="s">
        <v>4846</v>
      </c>
      <c r="D2940" s="20" t="s">
        <v>5080</v>
      </c>
      <c r="E2940" s="20" t="s">
        <v>5081</v>
      </c>
      <c r="F2940" s="20">
        <v>35.63257041</v>
      </c>
      <c r="G2940" s="20">
        <v>45.42061683</v>
      </c>
      <c r="H2940" s="22">
        <v>3</v>
      </c>
      <c r="I2940" s="22">
        <v>18</v>
      </c>
      <c r="J2940" s="21">
        <v>2</v>
      </c>
      <c r="K2940" s="21"/>
      <c r="L2940" s="21"/>
      <c r="M2940" s="21"/>
      <c r="N2940" s="21"/>
      <c r="O2940" s="21">
        <v>1</v>
      </c>
      <c r="P2940" s="21"/>
      <c r="Q2940" s="21"/>
      <c r="R2940" s="21"/>
      <c r="S2940" s="21"/>
      <c r="T2940" s="21"/>
      <c r="U2940" s="21"/>
      <c r="V2940" s="21"/>
      <c r="W2940" s="21"/>
      <c r="X2940" s="21"/>
      <c r="Y2940" s="21"/>
      <c r="Z2940" s="21"/>
      <c r="AA2940" s="21"/>
      <c r="AB2940" s="21"/>
      <c r="AC2940" s="21"/>
      <c r="AD2940" s="21"/>
      <c r="AE2940" s="21"/>
      <c r="AF2940" s="21"/>
      <c r="AG2940" s="21"/>
      <c r="AH2940" s="21">
        <v>3</v>
      </c>
      <c r="AI2940" s="21"/>
      <c r="AJ2940" s="21"/>
      <c r="AK2940" s="21"/>
      <c r="AL2940" s="21"/>
      <c r="AM2940" s="21"/>
      <c r="AN2940" s="21"/>
      <c r="AO2940" s="21">
        <v>2</v>
      </c>
      <c r="AP2940" s="21">
        <v>1</v>
      </c>
      <c r="AQ2940" s="21"/>
      <c r="AR2940" s="21"/>
      <c r="AS2940" s="21"/>
      <c r="AT2940" s="12" t="str">
        <f>HYPERLINK("http://www.openstreetmap.org/?mlat=35.6326&amp;mlon=45.4206&amp;zoom=12#map=12/35.6326/45.4206","Maplink1")</f>
        <v>Maplink1</v>
      </c>
      <c r="AU2940" s="12" t="str">
        <f>HYPERLINK("https://www.google.iq/maps/search/+35.6326,45.4206/@35.6326,45.4206,14z?hl=en","Maplink2")</f>
        <v>Maplink2</v>
      </c>
      <c r="AV2940" s="12" t="str">
        <f>HYPERLINK("http://www.bing.com/maps/?lvl=14&amp;sty=h&amp;cp=35.6326~45.4206&amp;sp=point.35.6326_45.4206","Maplink3")</f>
        <v>Maplink3</v>
      </c>
    </row>
    <row r="2941" spans="1:48" ht="15" customHeight="1" x14ac:dyDescent="0.25">
      <c r="A2941" s="19">
        <v>32069</v>
      </c>
      <c r="B2941" s="20" t="s">
        <v>24</v>
      </c>
      <c r="C2941" s="20" t="s">
        <v>4846</v>
      </c>
      <c r="D2941" s="20" t="s">
        <v>5082</v>
      </c>
      <c r="E2941" s="20" t="s">
        <v>5083</v>
      </c>
      <c r="F2941" s="20">
        <v>35.551780000000001</v>
      </c>
      <c r="G2941" s="20">
        <v>45.356870000000001</v>
      </c>
      <c r="H2941" s="22">
        <v>200</v>
      </c>
      <c r="I2941" s="22">
        <v>1200</v>
      </c>
      <c r="J2941" s="21">
        <v>35</v>
      </c>
      <c r="K2941" s="21">
        <v>1</v>
      </c>
      <c r="L2941" s="21">
        <v>68</v>
      </c>
      <c r="M2941" s="21"/>
      <c r="N2941" s="21"/>
      <c r="O2941" s="21">
        <v>32</v>
      </c>
      <c r="P2941" s="21"/>
      <c r="Q2941" s="21"/>
      <c r="R2941" s="21">
        <v>27</v>
      </c>
      <c r="S2941" s="21"/>
      <c r="T2941" s="21"/>
      <c r="U2941" s="21"/>
      <c r="V2941" s="21">
        <v>10</v>
      </c>
      <c r="W2941" s="21"/>
      <c r="X2941" s="21">
        <v>27</v>
      </c>
      <c r="Y2941" s="21"/>
      <c r="Z2941" s="21"/>
      <c r="AA2941" s="21"/>
      <c r="AB2941" s="21"/>
      <c r="AC2941" s="21"/>
      <c r="AD2941" s="21"/>
      <c r="AE2941" s="21"/>
      <c r="AF2941" s="21"/>
      <c r="AG2941" s="21"/>
      <c r="AH2941" s="21">
        <v>200</v>
      </c>
      <c r="AI2941" s="21"/>
      <c r="AJ2941" s="21"/>
      <c r="AK2941" s="21"/>
      <c r="AL2941" s="21">
        <v>27</v>
      </c>
      <c r="AM2941" s="21">
        <v>42</v>
      </c>
      <c r="AN2941" s="21">
        <v>28</v>
      </c>
      <c r="AO2941" s="21">
        <v>40</v>
      </c>
      <c r="AP2941" s="21">
        <v>2</v>
      </c>
      <c r="AQ2941" s="21">
        <v>15</v>
      </c>
      <c r="AR2941" s="21">
        <v>5</v>
      </c>
      <c r="AS2941" s="21">
        <v>41</v>
      </c>
      <c r="AT2941" s="12" t="str">
        <f>HYPERLINK("http://www.openstreetmap.org/?mlat=35.5518&amp;mlon=45.3569&amp;zoom=12#map=12/35.5518/45.3569","Maplink1")</f>
        <v>Maplink1</v>
      </c>
      <c r="AU2941" s="12" t="str">
        <f>HYPERLINK("https://www.google.iq/maps/search/+35.5518,45.3569/@35.5518,45.3569,14z?hl=en","Maplink2")</f>
        <v>Maplink2</v>
      </c>
      <c r="AV2941" s="12" t="str">
        <f>HYPERLINK("http://www.bing.com/maps/?lvl=14&amp;sty=h&amp;cp=35.5518~45.3569&amp;sp=point.35.5518_45.3569","Maplink3")</f>
        <v>Maplink3</v>
      </c>
    </row>
    <row r="2942" spans="1:48" ht="15" customHeight="1" x14ac:dyDescent="0.25">
      <c r="A2942" s="19">
        <v>24257</v>
      </c>
      <c r="B2942" s="20" t="s">
        <v>24</v>
      </c>
      <c r="C2942" s="20" t="s">
        <v>4846</v>
      </c>
      <c r="D2942" s="20" t="s">
        <v>5084</v>
      </c>
      <c r="E2942" s="20" t="s">
        <v>5085</v>
      </c>
      <c r="F2942" s="20">
        <v>35.558702240000002</v>
      </c>
      <c r="G2942" s="20">
        <v>45.449406189999998</v>
      </c>
      <c r="H2942" s="22">
        <v>22</v>
      </c>
      <c r="I2942" s="22">
        <v>132</v>
      </c>
      <c r="J2942" s="21">
        <v>8</v>
      </c>
      <c r="K2942" s="21">
        <v>3</v>
      </c>
      <c r="L2942" s="21">
        <v>4</v>
      </c>
      <c r="M2942" s="21"/>
      <c r="N2942" s="21"/>
      <c r="O2942" s="21">
        <v>1</v>
      </c>
      <c r="P2942" s="21"/>
      <c r="Q2942" s="21"/>
      <c r="R2942" s="21"/>
      <c r="S2942" s="21"/>
      <c r="T2942" s="21"/>
      <c r="U2942" s="21"/>
      <c r="V2942" s="21">
        <v>5</v>
      </c>
      <c r="W2942" s="21"/>
      <c r="X2942" s="21">
        <v>1</v>
      </c>
      <c r="Y2942" s="21"/>
      <c r="Z2942" s="21"/>
      <c r="AA2942" s="21"/>
      <c r="AB2942" s="21"/>
      <c r="AC2942" s="21"/>
      <c r="AD2942" s="21"/>
      <c r="AE2942" s="21"/>
      <c r="AF2942" s="21"/>
      <c r="AG2942" s="21"/>
      <c r="AH2942" s="21">
        <v>22</v>
      </c>
      <c r="AI2942" s="21"/>
      <c r="AJ2942" s="21"/>
      <c r="AK2942" s="21"/>
      <c r="AL2942" s="21"/>
      <c r="AM2942" s="21"/>
      <c r="AN2942" s="21">
        <v>1</v>
      </c>
      <c r="AO2942" s="21">
        <v>3</v>
      </c>
      <c r="AP2942" s="21">
        <v>9</v>
      </c>
      <c r="AQ2942" s="21">
        <v>1</v>
      </c>
      <c r="AR2942" s="21">
        <v>7</v>
      </c>
      <c r="AS2942" s="21">
        <v>1</v>
      </c>
      <c r="AT2942" s="12" t="str">
        <f>HYPERLINK("http://www.openstreetmap.org/?mlat=35.5587&amp;mlon=45.4494&amp;zoom=12#map=12/35.5587/45.4494","Maplink1")</f>
        <v>Maplink1</v>
      </c>
      <c r="AU2942" s="12" t="str">
        <f>HYPERLINK("https://www.google.iq/maps/search/+35.5587,45.4494/@35.5587,45.4494,14z?hl=en","Maplink2")</f>
        <v>Maplink2</v>
      </c>
      <c r="AV2942" s="12" t="str">
        <f>HYPERLINK("http://www.bing.com/maps/?lvl=14&amp;sty=h&amp;cp=35.5587~45.4494&amp;sp=point.35.5587_45.4494","Maplink3")</f>
        <v>Maplink3</v>
      </c>
    </row>
    <row r="2943" spans="1:48" ht="15" customHeight="1" x14ac:dyDescent="0.25">
      <c r="A2943" s="19">
        <v>31979</v>
      </c>
      <c r="B2943" s="20" t="s">
        <v>24</v>
      </c>
      <c r="C2943" s="20" t="s">
        <v>4846</v>
      </c>
      <c r="D2943" s="20" t="s">
        <v>6036</v>
      </c>
      <c r="E2943" s="20" t="s">
        <v>6037</v>
      </c>
      <c r="F2943" s="20">
        <v>35.550609999999999</v>
      </c>
      <c r="G2943" s="20">
        <v>45.460830000000001</v>
      </c>
      <c r="H2943" s="22">
        <v>52</v>
      </c>
      <c r="I2943" s="22">
        <v>312</v>
      </c>
      <c r="J2943" s="21">
        <v>21</v>
      </c>
      <c r="K2943" s="21">
        <v>2</v>
      </c>
      <c r="L2943" s="21">
        <v>15</v>
      </c>
      <c r="M2943" s="21"/>
      <c r="N2943" s="21"/>
      <c r="O2943" s="21">
        <v>4</v>
      </c>
      <c r="P2943" s="21"/>
      <c r="Q2943" s="21"/>
      <c r="R2943" s="21"/>
      <c r="S2943" s="21"/>
      <c r="T2943" s="21"/>
      <c r="U2943" s="21"/>
      <c r="V2943" s="21">
        <v>5</v>
      </c>
      <c r="W2943" s="21"/>
      <c r="X2943" s="21">
        <v>5</v>
      </c>
      <c r="Y2943" s="21"/>
      <c r="Z2943" s="21"/>
      <c r="AA2943" s="21"/>
      <c r="AB2943" s="21"/>
      <c r="AC2943" s="21"/>
      <c r="AD2943" s="21"/>
      <c r="AE2943" s="21"/>
      <c r="AF2943" s="21"/>
      <c r="AG2943" s="21"/>
      <c r="AH2943" s="21">
        <v>52</v>
      </c>
      <c r="AI2943" s="21"/>
      <c r="AJ2943" s="21"/>
      <c r="AK2943" s="21"/>
      <c r="AL2943" s="21">
        <v>3</v>
      </c>
      <c r="AM2943" s="21">
        <v>5</v>
      </c>
      <c r="AN2943" s="21">
        <v>4</v>
      </c>
      <c r="AO2943" s="21">
        <v>8</v>
      </c>
      <c r="AP2943" s="21">
        <v>14</v>
      </c>
      <c r="AQ2943" s="21">
        <v>7</v>
      </c>
      <c r="AR2943" s="21">
        <v>8</v>
      </c>
      <c r="AS2943" s="21">
        <v>3</v>
      </c>
      <c r="AT2943" s="12" t="str">
        <f>HYPERLINK("http://www.openstreetmap.org/?mlat=35.5506&amp;mlon=45.4608&amp;zoom=12#map=12/35.5506/45.4608","Maplink1")</f>
        <v>Maplink1</v>
      </c>
      <c r="AU2943" s="12" t="str">
        <f>HYPERLINK("https://www.google.iq/maps/search/+35.5506,45.4608/@35.5506,45.4608,14z?hl=en","Maplink2")</f>
        <v>Maplink2</v>
      </c>
      <c r="AV2943" s="12" t="str">
        <f>HYPERLINK("http://www.bing.com/maps/?lvl=14&amp;sty=h&amp;cp=35.5506~45.4608&amp;sp=point.35.5506_45.4608","Maplink3")</f>
        <v>Maplink3</v>
      </c>
    </row>
    <row r="2944" spans="1:48" ht="15" customHeight="1" x14ac:dyDescent="0.25">
      <c r="A2944" s="19">
        <v>21050</v>
      </c>
      <c r="B2944" s="20" t="s">
        <v>24</v>
      </c>
      <c r="C2944" s="20" t="s">
        <v>4846</v>
      </c>
      <c r="D2944" s="20" t="s">
        <v>5086</v>
      </c>
      <c r="E2944" s="20" t="s">
        <v>2554</v>
      </c>
      <c r="F2944" s="20">
        <v>35.570196070000001</v>
      </c>
      <c r="G2944" s="20">
        <v>45.434693950000003</v>
      </c>
      <c r="H2944" s="22">
        <v>47</v>
      </c>
      <c r="I2944" s="22">
        <v>282</v>
      </c>
      <c r="J2944" s="21">
        <v>25</v>
      </c>
      <c r="K2944" s="21">
        <v>1</v>
      </c>
      <c r="L2944" s="21">
        <v>7</v>
      </c>
      <c r="M2944" s="21"/>
      <c r="N2944" s="21"/>
      <c r="O2944" s="21">
        <v>2</v>
      </c>
      <c r="P2944" s="21"/>
      <c r="Q2944" s="21"/>
      <c r="R2944" s="21"/>
      <c r="S2944" s="21"/>
      <c r="T2944" s="21"/>
      <c r="U2944" s="21"/>
      <c r="V2944" s="21">
        <v>1</v>
      </c>
      <c r="W2944" s="21"/>
      <c r="X2944" s="21">
        <v>11</v>
      </c>
      <c r="Y2944" s="21"/>
      <c r="Z2944" s="21"/>
      <c r="AA2944" s="21"/>
      <c r="AB2944" s="21"/>
      <c r="AC2944" s="21"/>
      <c r="AD2944" s="21"/>
      <c r="AE2944" s="21"/>
      <c r="AF2944" s="21"/>
      <c r="AG2944" s="21"/>
      <c r="AH2944" s="21">
        <v>47</v>
      </c>
      <c r="AI2944" s="21"/>
      <c r="AJ2944" s="21"/>
      <c r="AK2944" s="21"/>
      <c r="AL2944" s="21">
        <v>1</v>
      </c>
      <c r="AM2944" s="21">
        <v>3</v>
      </c>
      <c r="AN2944" s="21">
        <v>3</v>
      </c>
      <c r="AO2944" s="21">
        <v>11</v>
      </c>
      <c r="AP2944" s="21">
        <v>9</v>
      </c>
      <c r="AQ2944" s="21">
        <v>4</v>
      </c>
      <c r="AR2944" s="21">
        <v>13</v>
      </c>
      <c r="AS2944" s="21">
        <v>3</v>
      </c>
      <c r="AT2944" s="12" t="str">
        <f>HYPERLINK("http://www.openstreetmap.org/?mlat=35.5702&amp;mlon=45.4347&amp;zoom=12#map=12/35.5702/45.4347","Maplink1")</f>
        <v>Maplink1</v>
      </c>
      <c r="AU2944" s="12" t="str">
        <f>HYPERLINK("https://www.google.iq/maps/search/+35.5702,45.4347/@35.5702,45.4347,14z?hl=en","Maplink2")</f>
        <v>Maplink2</v>
      </c>
      <c r="AV2944" s="12" t="str">
        <f>HYPERLINK("http://www.bing.com/maps/?lvl=14&amp;sty=h&amp;cp=35.5702~45.4347&amp;sp=point.35.5702_45.4347","Maplink3")</f>
        <v>Maplink3</v>
      </c>
    </row>
    <row r="2945" spans="1:48" ht="15" customHeight="1" x14ac:dyDescent="0.25">
      <c r="A2945" s="19">
        <v>31952</v>
      </c>
      <c r="B2945" s="20" t="s">
        <v>24</v>
      </c>
      <c r="C2945" s="20" t="s">
        <v>4846</v>
      </c>
      <c r="D2945" s="20" t="s">
        <v>5087</v>
      </c>
      <c r="E2945" s="20" t="s">
        <v>5088</v>
      </c>
      <c r="F2945" s="20">
        <v>35.537820000000004</v>
      </c>
      <c r="G2945" s="20">
        <v>45.474960000000003</v>
      </c>
      <c r="H2945" s="22">
        <v>5</v>
      </c>
      <c r="I2945" s="22">
        <v>30</v>
      </c>
      <c r="J2945" s="21"/>
      <c r="K2945" s="21"/>
      <c r="L2945" s="21">
        <v>3</v>
      </c>
      <c r="M2945" s="21"/>
      <c r="N2945" s="21"/>
      <c r="O2945" s="21"/>
      <c r="P2945" s="21"/>
      <c r="Q2945" s="21"/>
      <c r="R2945" s="21"/>
      <c r="S2945" s="21"/>
      <c r="T2945" s="21"/>
      <c r="U2945" s="21"/>
      <c r="V2945" s="21">
        <v>2</v>
      </c>
      <c r="W2945" s="21"/>
      <c r="X2945" s="21"/>
      <c r="Y2945" s="21"/>
      <c r="Z2945" s="21"/>
      <c r="AA2945" s="21"/>
      <c r="AB2945" s="21"/>
      <c r="AC2945" s="21"/>
      <c r="AD2945" s="21"/>
      <c r="AE2945" s="21"/>
      <c r="AF2945" s="21"/>
      <c r="AG2945" s="21"/>
      <c r="AH2945" s="21">
        <v>5</v>
      </c>
      <c r="AI2945" s="21"/>
      <c r="AJ2945" s="21"/>
      <c r="AK2945" s="21"/>
      <c r="AL2945" s="21"/>
      <c r="AM2945" s="21"/>
      <c r="AN2945" s="21"/>
      <c r="AO2945" s="21"/>
      <c r="AP2945" s="21"/>
      <c r="AQ2945" s="21">
        <v>4</v>
      </c>
      <c r="AR2945" s="21"/>
      <c r="AS2945" s="21">
        <v>1</v>
      </c>
      <c r="AT2945" s="12" t="str">
        <f>HYPERLINK("http://www.openstreetmap.org/?mlat=35.5378&amp;mlon=45.475&amp;zoom=12#map=12/35.5378/45.475","Maplink1")</f>
        <v>Maplink1</v>
      </c>
      <c r="AU2945" s="12" t="str">
        <f>HYPERLINK("https://www.google.iq/maps/search/+35.5378,45.475/@35.5378,45.475,14z?hl=en","Maplink2")</f>
        <v>Maplink2</v>
      </c>
      <c r="AV2945" s="12" t="str">
        <f>HYPERLINK("http://www.bing.com/maps/?lvl=14&amp;sty=h&amp;cp=35.5378~45.475&amp;sp=point.35.5378_45.475","Maplink3")</f>
        <v>Maplink3</v>
      </c>
    </row>
    <row r="2946" spans="1:48" ht="15" customHeight="1" x14ac:dyDescent="0.25">
      <c r="A2946" s="19">
        <v>24901</v>
      </c>
      <c r="B2946" s="20" t="s">
        <v>24</v>
      </c>
      <c r="C2946" s="20" t="s">
        <v>4846</v>
      </c>
      <c r="D2946" s="20" t="s">
        <v>5089</v>
      </c>
      <c r="E2946" s="20" t="s">
        <v>5090</v>
      </c>
      <c r="F2946" s="20">
        <v>35.583099939999997</v>
      </c>
      <c r="G2946" s="20">
        <v>45.39212612</v>
      </c>
      <c r="H2946" s="22">
        <v>220</v>
      </c>
      <c r="I2946" s="22">
        <v>1320</v>
      </c>
      <c r="J2946" s="21">
        <v>83</v>
      </c>
      <c r="K2946" s="21">
        <v>5</v>
      </c>
      <c r="L2946" s="21">
        <v>45</v>
      </c>
      <c r="M2946" s="21"/>
      <c r="N2946" s="21"/>
      <c r="O2946" s="21">
        <v>27</v>
      </c>
      <c r="P2946" s="21"/>
      <c r="Q2946" s="21"/>
      <c r="R2946" s="21">
        <v>5</v>
      </c>
      <c r="S2946" s="21"/>
      <c r="T2946" s="21"/>
      <c r="U2946" s="21"/>
      <c r="V2946" s="21">
        <v>13</v>
      </c>
      <c r="W2946" s="21"/>
      <c r="X2946" s="21">
        <v>42</v>
      </c>
      <c r="Y2946" s="21"/>
      <c r="Z2946" s="21"/>
      <c r="AA2946" s="21"/>
      <c r="AB2946" s="21"/>
      <c r="AC2946" s="21"/>
      <c r="AD2946" s="21"/>
      <c r="AE2946" s="21"/>
      <c r="AF2946" s="21"/>
      <c r="AG2946" s="21"/>
      <c r="AH2946" s="21">
        <v>220</v>
      </c>
      <c r="AI2946" s="21"/>
      <c r="AJ2946" s="21"/>
      <c r="AK2946" s="21"/>
      <c r="AL2946" s="21">
        <v>17</v>
      </c>
      <c r="AM2946" s="21">
        <v>34</v>
      </c>
      <c r="AN2946" s="21">
        <v>22</v>
      </c>
      <c r="AO2946" s="21">
        <v>48</v>
      </c>
      <c r="AP2946" s="21">
        <v>35</v>
      </c>
      <c r="AQ2946" s="21">
        <v>19</v>
      </c>
      <c r="AR2946" s="21">
        <v>23</v>
      </c>
      <c r="AS2946" s="21">
        <v>22</v>
      </c>
      <c r="AT2946" s="12" t="str">
        <f>HYPERLINK("http://www.openstreetmap.org/?mlat=35.5831&amp;mlon=45.3921&amp;zoom=12#map=12/35.5831/45.3921","Maplink1")</f>
        <v>Maplink1</v>
      </c>
      <c r="AU2946" s="12" t="str">
        <f>HYPERLINK("https://www.google.iq/maps/search/+35.5831,45.3921/@35.5831,45.3921,14z?hl=en","Maplink2")</f>
        <v>Maplink2</v>
      </c>
      <c r="AV2946" s="12" t="str">
        <f>HYPERLINK("http://www.bing.com/maps/?lvl=14&amp;sty=h&amp;cp=35.5831~45.3921&amp;sp=point.35.5831_45.3921","Maplink3")</f>
        <v>Maplink3</v>
      </c>
    </row>
    <row r="2947" spans="1:48" ht="15" customHeight="1" x14ac:dyDescent="0.25">
      <c r="A2947" s="19">
        <v>25575</v>
      </c>
      <c r="B2947" s="20" t="s">
        <v>24</v>
      </c>
      <c r="C2947" s="20" t="s">
        <v>4846</v>
      </c>
      <c r="D2947" s="20" t="s">
        <v>5091</v>
      </c>
      <c r="E2947" s="20" t="s">
        <v>5092</v>
      </c>
      <c r="F2947" s="20">
        <v>35.615940559999999</v>
      </c>
      <c r="G2947" s="20">
        <v>45.300268750000001</v>
      </c>
      <c r="H2947" s="22">
        <v>30</v>
      </c>
      <c r="I2947" s="22">
        <v>180</v>
      </c>
      <c r="J2947" s="21"/>
      <c r="K2947" s="21"/>
      <c r="L2947" s="21"/>
      <c r="M2947" s="21"/>
      <c r="N2947" s="21"/>
      <c r="O2947" s="21"/>
      <c r="P2947" s="21"/>
      <c r="Q2947" s="21"/>
      <c r="R2947" s="21">
        <v>20</v>
      </c>
      <c r="S2947" s="21"/>
      <c r="T2947" s="21"/>
      <c r="U2947" s="21"/>
      <c r="V2947" s="21">
        <v>9</v>
      </c>
      <c r="W2947" s="21"/>
      <c r="X2947" s="21">
        <v>1</v>
      </c>
      <c r="Y2947" s="21"/>
      <c r="Z2947" s="21"/>
      <c r="AA2947" s="21"/>
      <c r="AB2947" s="21"/>
      <c r="AC2947" s="21"/>
      <c r="AD2947" s="21"/>
      <c r="AE2947" s="21"/>
      <c r="AF2947" s="21"/>
      <c r="AG2947" s="21"/>
      <c r="AH2947" s="21">
        <v>29</v>
      </c>
      <c r="AI2947" s="21"/>
      <c r="AJ2947" s="21">
        <v>1</v>
      </c>
      <c r="AK2947" s="21"/>
      <c r="AL2947" s="21"/>
      <c r="AM2947" s="21">
        <v>4</v>
      </c>
      <c r="AN2947" s="21">
        <v>6</v>
      </c>
      <c r="AO2947" s="21"/>
      <c r="AP2947" s="21"/>
      <c r="AQ2947" s="21"/>
      <c r="AR2947" s="21"/>
      <c r="AS2947" s="21">
        <v>20</v>
      </c>
      <c r="AT2947" s="12" t="str">
        <f>HYPERLINK("http://www.openstreetmap.org/?mlat=35.6159&amp;mlon=45.3003&amp;zoom=12#map=12/35.6159/45.3003","Maplink1")</f>
        <v>Maplink1</v>
      </c>
      <c r="AU2947" s="12" t="str">
        <f>HYPERLINK("https://www.google.iq/maps/search/+35.6159,45.3003/@35.6159,45.3003,14z?hl=en","Maplink2")</f>
        <v>Maplink2</v>
      </c>
      <c r="AV2947" s="12" t="str">
        <f>HYPERLINK("http://www.bing.com/maps/?lvl=14&amp;sty=h&amp;cp=35.6159~45.3003&amp;sp=point.35.6159_45.3003","Maplink3")</f>
        <v>Maplink3</v>
      </c>
    </row>
    <row r="2948" spans="1:48" ht="15" customHeight="1" x14ac:dyDescent="0.25">
      <c r="A2948" s="19">
        <v>33357</v>
      </c>
      <c r="B2948" s="20" t="s">
        <v>24</v>
      </c>
      <c r="C2948" s="20" t="s">
        <v>4846</v>
      </c>
      <c r="D2948" s="20" t="s">
        <v>5836</v>
      </c>
      <c r="E2948" s="20" t="s">
        <v>5837</v>
      </c>
      <c r="F2948" s="20">
        <v>35.558399999999999</v>
      </c>
      <c r="G2948" s="20">
        <v>45.418990000000001</v>
      </c>
      <c r="H2948" s="22">
        <v>37</v>
      </c>
      <c r="I2948" s="22">
        <v>222</v>
      </c>
      <c r="J2948" s="21">
        <v>1</v>
      </c>
      <c r="K2948" s="21">
        <v>9</v>
      </c>
      <c r="L2948" s="21">
        <v>11</v>
      </c>
      <c r="M2948" s="21"/>
      <c r="N2948" s="21"/>
      <c r="O2948" s="21">
        <v>6</v>
      </c>
      <c r="P2948" s="21"/>
      <c r="Q2948" s="21"/>
      <c r="R2948" s="21"/>
      <c r="S2948" s="21"/>
      <c r="T2948" s="21"/>
      <c r="U2948" s="21"/>
      <c r="V2948" s="21">
        <v>4</v>
      </c>
      <c r="W2948" s="21"/>
      <c r="X2948" s="21">
        <v>6</v>
      </c>
      <c r="Y2948" s="21"/>
      <c r="Z2948" s="21"/>
      <c r="AA2948" s="21"/>
      <c r="AB2948" s="21"/>
      <c r="AC2948" s="21"/>
      <c r="AD2948" s="21"/>
      <c r="AE2948" s="21"/>
      <c r="AF2948" s="21"/>
      <c r="AG2948" s="21"/>
      <c r="AH2948" s="21">
        <v>37</v>
      </c>
      <c r="AI2948" s="21"/>
      <c r="AJ2948" s="21"/>
      <c r="AK2948" s="21"/>
      <c r="AL2948" s="21">
        <v>2</v>
      </c>
      <c r="AM2948" s="21"/>
      <c r="AN2948" s="21"/>
      <c r="AO2948" s="21">
        <v>5</v>
      </c>
      <c r="AP2948" s="21">
        <v>8</v>
      </c>
      <c r="AQ2948" s="21">
        <v>3</v>
      </c>
      <c r="AR2948" s="21">
        <v>11</v>
      </c>
      <c r="AS2948" s="21">
        <v>8</v>
      </c>
      <c r="AT2948" s="12" t="str">
        <f>HYPERLINK("http://www.openstreetmap.org/?mlat=35.5584&amp;mlon=45.419&amp;zoom=12#map=12/35.5584/45.419","Maplink1")</f>
        <v>Maplink1</v>
      </c>
      <c r="AU2948" s="12" t="str">
        <f>HYPERLINK("https://www.google.iq/maps/search/+35.5584,45.419/@35.5584,45.419,14z?hl=en","Maplink2")</f>
        <v>Maplink2</v>
      </c>
      <c r="AV2948" s="12" t="str">
        <f>HYPERLINK("http://www.bing.com/maps/?lvl=14&amp;sty=h&amp;cp=35.5584~45.419&amp;sp=point.35.5584_45.419","Maplink3")</f>
        <v>Maplink3</v>
      </c>
    </row>
    <row r="2949" spans="1:48" ht="15" customHeight="1" x14ac:dyDescent="0.25">
      <c r="A2949" s="19">
        <v>32007</v>
      </c>
      <c r="B2949" s="20" t="s">
        <v>24</v>
      </c>
      <c r="C2949" s="20" t="s">
        <v>4846</v>
      </c>
      <c r="D2949" s="20" t="s">
        <v>5093</v>
      </c>
      <c r="E2949" s="20" t="s">
        <v>5094</v>
      </c>
      <c r="F2949" s="20">
        <v>35.58867</v>
      </c>
      <c r="G2949" s="20">
        <v>45.394750000000002</v>
      </c>
      <c r="H2949" s="22">
        <v>63</v>
      </c>
      <c r="I2949" s="22">
        <v>378</v>
      </c>
      <c r="J2949" s="21">
        <v>31</v>
      </c>
      <c r="K2949" s="21">
        <v>1</v>
      </c>
      <c r="L2949" s="21">
        <v>6</v>
      </c>
      <c r="M2949" s="21"/>
      <c r="N2949" s="21"/>
      <c r="O2949" s="21">
        <v>2</v>
      </c>
      <c r="P2949" s="21"/>
      <c r="Q2949" s="21"/>
      <c r="R2949" s="21">
        <v>5</v>
      </c>
      <c r="S2949" s="21"/>
      <c r="T2949" s="21"/>
      <c r="U2949" s="21"/>
      <c r="V2949" s="21">
        <v>11</v>
      </c>
      <c r="W2949" s="21"/>
      <c r="X2949" s="21">
        <v>7</v>
      </c>
      <c r="Y2949" s="21"/>
      <c r="Z2949" s="21"/>
      <c r="AA2949" s="21"/>
      <c r="AB2949" s="21"/>
      <c r="AC2949" s="21"/>
      <c r="AD2949" s="21"/>
      <c r="AE2949" s="21"/>
      <c r="AF2949" s="21"/>
      <c r="AG2949" s="21"/>
      <c r="AH2949" s="21">
        <v>63</v>
      </c>
      <c r="AI2949" s="21"/>
      <c r="AJ2949" s="21"/>
      <c r="AK2949" s="21"/>
      <c r="AL2949" s="21">
        <v>11</v>
      </c>
      <c r="AM2949" s="21">
        <v>8</v>
      </c>
      <c r="AN2949" s="21">
        <v>6</v>
      </c>
      <c r="AO2949" s="21">
        <v>12</v>
      </c>
      <c r="AP2949" s="21">
        <v>7</v>
      </c>
      <c r="AQ2949" s="21">
        <v>9</v>
      </c>
      <c r="AR2949" s="21"/>
      <c r="AS2949" s="21">
        <v>10</v>
      </c>
      <c r="AT2949" s="12" t="str">
        <f>HYPERLINK("http://www.openstreetmap.org/?mlat=35.5887&amp;mlon=45.3948&amp;zoom=12#map=12/35.5887/45.3948","Maplink1")</f>
        <v>Maplink1</v>
      </c>
      <c r="AU2949" s="12" t="str">
        <f>HYPERLINK("https://www.google.iq/maps/search/+35.5887,45.3948/@35.5887,45.3948,14z?hl=en","Maplink2")</f>
        <v>Maplink2</v>
      </c>
      <c r="AV2949" s="12" t="str">
        <f>HYPERLINK("http://www.bing.com/maps/?lvl=14&amp;sty=h&amp;cp=35.5887~45.3948&amp;sp=point.35.5887_45.3948","Maplink3")</f>
        <v>Maplink3</v>
      </c>
    </row>
    <row r="2950" spans="1:48" ht="15" customHeight="1" x14ac:dyDescent="0.25">
      <c r="A2950" s="19">
        <v>32068</v>
      </c>
      <c r="B2950" s="20" t="s">
        <v>24</v>
      </c>
      <c r="C2950" s="20" t="s">
        <v>4846</v>
      </c>
      <c r="D2950" s="20" t="s">
        <v>5095</v>
      </c>
      <c r="E2950" s="20" t="s">
        <v>5096</v>
      </c>
      <c r="F2950" s="20">
        <v>35.554760000000002</v>
      </c>
      <c r="G2950" s="20">
        <v>45.35004</v>
      </c>
      <c r="H2950" s="22">
        <v>123</v>
      </c>
      <c r="I2950" s="22">
        <v>738</v>
      </c>
      <c r="J2950" s="21">
        <v>31</v>
      </c>
      <c r="K2950" s="21">
        <v>1</v>
      </c>
      <c r="L2950" s="21">
        <v>55</v>
      </c>
      <c r="M2950" s="21"/>
      <c r="N2950" s="21"/>
      <c r="O2950" s="21">
        <v>9</v>
      </c>
      <c r="P2950" s="21"/>
      <c r="Q2950" s="21"/>
      <c r="R2950" s="21">
        <v>16</v>
      </c>
      <c r="S2950" s="21"/>
      <c r="T2950" s="21"/>
      <c r="U2950" s="21"/>
      <c r="V2950" s="21">
        <v>4</v>
      </c>
      <c r="W2950" s="21"/>
      <c r="X2950" s="21">
        <v>7</v>
      </c>
      <c r="Y2950" s="21"/>
      <c r="Z2950" s="21"/>
      <c r="AA2950" s="21"/>
      <c r="AB2950" s="21"/>
      <c r="AC2950" s="21"/>
      <c r="AD2950" s="21"/>
      <c r="AE2950" s="21"/>
      <c r="AF2950" s="21"/>
      <c r="AG2950" s="21"/>
      <c r="AH2950" s="21">
        <v>123</v>
      </c>
      <c r="AI2950" s="21"/>
      <c r="AJ2950" s="21"/>
      <c r="AK2950" s="21"/>
      <c r="AL2950" s="21">
        <v>17</v>
      </c>
      <c r="AM2950" s="21">
        <v>27</v>
      </c>
      <c r="AN2950" s="21">
        <v>19</v>
      </c>
      <c r="AO2950" s="21">
        <v>20</v>
      </c>
      <c r="AP2950" s="21">
        <v>7</v>
      </c>
      <c r="AQ2950" s="21">
        <v>11</v>
      </c>
      <c r="AR2950" s="21">
        <v>4</v>
      </c>
      <c r="AS2950" s="21">
        <v>18</v>
      </c>
      <c r="AT2950" s="12" t="str">
        <f>HYPERLINK("http://www.openstreetmap.org/?mlat=35.5548&amp;mlon=45.35&amp;zoom=12#map=12/35.5548/45.35","Maplink1")</f>
        <v>Maplink1</v>
      </c>
      <c r="AU2950" s="12" t="str">
        <f>HYPERLINK("https://www.google.iq/maps/search/+35.5548,45.35/@35.5548,45.35,14z?hl=en","Maplink2")</f>
        <v>Maplink2</v>
      </c>
      <c r="AV2950" s="12" t="str">
        <f>HYPERLINK("http://www.bing.com/maps/?lvl=14&amp;sty=h&amp;cp=35.5548~45.35&amp;sp=point.35.5548_45.35","Maplink3")</f>
        <v>Maplink3</v>
      </c>
    </row>
    <row r="2951" spans="1:48" ht="15" customHeight="1" x14ac:dyDescent="0.25">
      <c r="A2951" s="19">
        <v>4921</v>
      </c>
      <c r="B2951" s="20" t="s">
        <v>24</v>
      </c>
      <c r="C2951" s="20" t="s">
        <v>4846</v>
      </c>
      <c r="D2951" s="20" t="s">
        <v>5097</v>
      </c>
      <c r="E2951" s="20" t="s">
        <v>5098</v>
      </c>
      <c r="F2951" s="20">
        <v>35.46049</v>
      </c>
      <c r="G2951" s="20">
        <v>45.437220000000003</v>
      </c>
      <c r="H2951" s="22">
        <v>31</v>
      </c>
      <c r="I2951" s="22">
        <v>186</v>
      </c>
      <c r="J2951" s="21">
        <v>3</v>
      </c>
      <c r="K2951" s="21">
        <v>3</v>
      </c>
      <c r="L2951" s="21">
        <v>5</v>
      </c>
      <c r="M2951" s="21"/>
      <c r="N2951" s="21"/>
      <c r="O2951" s="21">
        <v>1</v>
      </c>
      <c r="P2951" s="21"/>
      <c r="Q2951" s="21"/>
      <c r="R2951" s="21"/>
      <c r="S2951" s="21"/>
      <c r="T2951" s="21"/>
      <c r="U2951" s="21"/>
      <c r="V2951" s="21"/>
      <c r="W2951" s="21"/>
      <c r="X2951" s="21">
        <v>19</v>
      </c>
      <c r="Y2951" s="21"/>
      <c r="Z2951" s="21"/>
      <c r="AA2951" s="21"/>
      <c r="AB2951" s="21"/>
      <c r="AC2951" s="21"/>
      <c r="AD2951" s="21"/>
      <c r="AE2951" s="21"/>
      <c r="AF2951" s="21"/>
      <c r="AG2951" s="21"/>
      <c r="AH2951" s="21">
        <v>31</v>
      </c>
      <c r="AI2951" s="21"/>
      <c r="AJ2951" s="21"/>
      <c r="AK2951" s="21"/>
      <c r="AL2951" s="21">
        <v>9</v>
      </c>
      <c r="AM2951" s="21">
        <v>11</v>
      </c>
      <c r="AN2951" s="21">
        <v>2</v>
      </c>
      <c r="AO2951" s="21">
        <v>8</v>
      </c>
      <c r="AP2951" s="21"/>
      <c r="AQ2951" s="21">
        <v>1</v>
      </c>
      <c r="AR2951" s="21"/>
      <c r="AS2951" s="21"/>
      <c r="AT2951" s="12" t="str">
        <f>HYPERLINK("http://www.openstreetmap.org/?mlat=35.4605&amp;mlon=45.4372&amp;zoom=12#map=12/35.4605/45.4372","Maplink1")</f>
        <v>Maplink1</v>
      </c>
      <c r="AU2951" s="12" t="str">
        <f>HYPERLINK("https://www.google.iq/maps/search/+35.4605,45.4372/@35.4605,45.4372,14z?hl=en","Maplink2")</f>
        <v>Maplink2</v>
      </c>
      <c r="AV2951" s="12" t="str">
        <f>HYPERLINK("http://www.bing.com/maps/?lvl=14&amp;sty=h&amp;cp=35.4605~45.4372&amp;sp=point.35.4605_45.4372","Maplink3")</f>
        <v>Maplink3</v>
      </c>
    </row>
    <row r="2952" spans="1:48" ht="15" customHeight="1" x14ac:dyDescent="0.25">
      <c r="A2952" s="19">
        <v>32009</v>
      </c>
      <c r="B2952" s="20" t="s">
        <v>24</v>
      </c>
      <c r="C2952" s="20" t="s">
        <v>4846</v>
      </c>
      <c r="D2952" s="20" t="s">
        <v>5099</v>
      </c>
      <c r="E2952" s="20" t="s">
        <v>5100</v>
      </c>
      <c r="F2952" s="20">
        <v>35.583080000000002</v>
      </c>
      <c r="G2952" s="20">
        <v>45.40202</v>
      </c>
      <c r="H2952" s="22">
        <v>54</v>
      </c>
      <c r="I2952" s="22">
        <v>324</v>
      </c>
      <c r="J2952" s="21">
        <v>29</v>
      </c>
      <c r="K2952" s="21"/>
      <c r="L2952" s="21">
        <v>3</v>
      </c>
      <c r="M2952" s="21"/>
      <c r="N2952" s="21"/>
      <c r="O2952" s="21">
        <v>2</v>
      </c>
      <c r="P2952" s="21"/>
      <c r="Q2952" s="21"/>
      <c r="R2952" s="21">
        <v>6</v>
      </c>
      <c r="S2952" s="21"/>
      <c r="T2952" s="21"/>
      <c r="U2952" s="21"/>
      <c r="V2952" s="21">
        <v>6</v>
      </c>
      <c r="W2952" s="21"/>
      <c r="X2952" s="21">
        <v>8</v>
      </c>
      <c r="Y2952" s="21"/>
      <c r="Z2952" s="21"/>
      <c r="AA2952" s="21"/>
      <c r="AB2952" s="21"/>
      <c r="AC2952" s="21"/>
      <c r="AD2952" s="21"/>
      <c r="AE2952" s="21"/>
      <c r="AF2952" s="21"/>
      <c r="AG2952" s="21"/>
      <c r="AH2952" s="21">
        <v>54</v>
      </c>
      <c r="AI2952" s="21"/>
      <c r="AJ2952" s="21"/>
      <c r="AK2952" s="21"/>
      <c r="AL2952" s="21">
        <v>8</v>
      </c>
      <c r="AM2952" s="21">
        <v>11</v>
      </c>
      <c r="AN2952" s="21">
        <v>8</v>
      </c>
      <c r="AO2952" s="21">
        <v>8</v>
      </c>
      <c r="AP2952" s="21">
        <v>5</v>
      </c>
      <c r="AQ2952" s="21">
        <v>2</v>
      </c>
      <c r="AR2952" s="21"/>
      <c r="AS2952" s="21">
        <v>12</v>
      </c>
      <c r="AT2952" s="12" t="str">
        <f>HYPERLINK("http://www.openstreetmap.org/?mlat=35.5831&amp;mlon=45.402&amp;zoom=12#map=12/35.5831/45.402","Maplink1")</f>
        <v>Maplink1</v>
      </c>
      <c r="AU2952" s="12" t="str">
        <f>HYPERLINK("https://www.google.iq/maps/search/+35.5831,45.402/@35.5831,45.402,14z?hl=en","Maplink2")</f>
        <v>Maplink2</v>
      </c>
      <c r="AV2952" s="12" t="str">
        <f>HYPERLINK("http://www.bing.com/maps/?lvl=14&amp;sty=h&amp;cp=35.5831~45.402&amp;sp=point.35.5831_45.402","Maplink3")</f>
        <v>Maplink3</v>
      </c>
    </row>
    <row r="2953" spans="1:48" ht="15" customHeight="1" x14ac:dyDescent="0.25">
      <c r="A2953" s="19">
        <v>25524</v>
      </c>
      <c r="B2953" s="20" t="s">
        <v>24</v>
      </c>
      <c r="C2953" s="20" t="s">
        <v>4846</v>
      </c>
      <c r="D2953" s="20" t="s">
        <v>5101</v>
      </c>
      <c r="E2953" s="20" t="s">
        <v>2051</v>
      </c>
      <c r="F2953" s="20">
        <v>35.532626350000001</v>
      </c>
      <c r="G2953" s="20">
        <v>45.446026490000001</v>
      </c>
      <c r="H2953" s="22">
        <v>56</v>
      </c>
      <c r="I2953" s="22">
        <v>336</v>
      </c>
      <c r="J2953" s="21">
        <v>23</v>
      </c>
      <c r="K2953" s="21">
        <v>2</v>
      </c>
      <c r="L2953" s="21">
        <v>10</v>
      </c>
      <c r="M2953" s="21"/>
      <c r="N2953" s="21"/>
      <c r="O2953" s="21">
        <v>6</v>
      </c>
      <c r="P2953" s="21"/>
      <c r="Q2953" s="21"/>
      <c r="R2953" s="21"/>
      <c r="S2953" s="21"/>
      <c r="T2953" s="21"/>
      <c r="U2953" s="21"/>
      <c r="V2953" s="21">
        <v>8</v>
      </c>
      <c r="W2953" s="21"/>
      <c r="X2953" s="21">
        <v>7</v>
      </c>
      <c r="Y2953" s="21"/>
      <c r="Z2953" s="21"/>
      <c r="AA2953" s="21"/>
      <c r="AB2953" s="21"/>
      <c r="AC2953" s="21"/>
      <c r="AD2953" s="21"/>
      <c r="AE2953" s="21"/>
      <c r="AF2953" s="21"/>
      <c r="AG2953" s="21"/>
      <c r="AH2953" s="21">
        <v>56</v>
      </c>
      <c r="AI2953" s="21"/>
      <c r="AJ2953" s="21"/>
      <c r="AK2953" s="21"/>
      <c r="AL2953" s="21">
        <v>6</v>
      </c>
      <c r="AM2953" s="21">
        <v>11</v>
      </c>
      <c r="AN2953" s="21">
        <v>15</v>
      </c>
      <c r="AO2953" s="21">
        <v>9</v>
      </c>
      <c r="AP2953" s="21">
        <v>8</v>
      </c>
      <c r="AQ2953" s="21">
        <v>4</v>
      </c>
      <c r="AR2953" s="21">
        <v>2</v>
      </c>
      <c r="AS2953" s="21">
        <v>1</v>
      </c>
      <c r="AT2953" s="12" t="str">
        <f>HYPERLINK("http://www.openstreetmap.org/?mlat=35.5326&amp;mlon=45.446&amp;zoom=12#map=12/35.5326/45.446","Maplink1")</f>
        <v>Maplink1</v>
      </c>
      <c r="AU2953" s="12" t="str">
        <f>HYPERLINK("https://www.google.iq/maps/search/+35.5326,45.446/@35.5326,45.446,14z?hl=en","Maplink2")</f>
        <v>Maplink2</v>
      </c>
      <c r="AV2953" s="12" t="str">
        <f>HYPERLINK("http://www.bing.com/maps/?lvl=14&amp;sty=h&amp;cp=35.5326~45.446&amp;sp=point.35.5326_45.446","Maplink3")</f>
        <v>Maplink3</v>
      </c>
    </row>
    <row r="2954" spans="1:48" ht="15" customHeight="1" x14ac:dyDescent="0.25">
      <c r="A2954" s="19">
        <v>31955</v>
      </c>
      <c r="B2954" s="20" t="s">
        <v>24</v>
      </c>
      <c r="C2954" s="20" t="s">
        <v>4846</v>
      </c>
      <c r="D2954" s="20" t="s">
        <v>5102</v>
      </c>
      <c r="E2954" s="20" t="s">
        <v>5103</v>
      </c>
      <c r="F2954" s="20">
        <v>35.544370000000001</v>
      </c>
      <c r="G2954" s="20">
        <v>45.472810000000003</v>
      </c>
      <c r="H2954" s="22">
        <v>5</v>
      </c>
      <c r="I2954" s="22">
        <v>30</v>
      </c>
      <c r="J2954" s="21">
        <v>2</v>
      </c>
      <c r="K2954" s="21"/>
      <c r="L2954" s="21">
        <v>2</v>
      </c>
      <c r="M2954" s="21"/>
      <c r="N2954" s="21"/>
      <c r="O2954" s="21"/>
      <c r="P2954" s="21"/>
      <c r="Q2954" s="21"/>
      <c r="R2954" s="21"/>
      <c r="S2954" s="21"/>
      <c r="T2954" s="21"/>
      <c r="U2954" s="21"/>
      <c r="V2954" s="21"/>
      <c r="W2954" s="21"/>
      <c r="X2954" s="21">
        <v>1</v>
      </c>
      <c r="Y2954" s="21"/>
      <c r="Z2954" s="21"/>
      <c r="AA2954" s="21"/>
      <c r="AB2954" s="21"/>
      <c r="AC2954" s="21"/>
      <c r="AD2954" s="21"/>
      <c r="AE2954" s="21"/>
      <c r="AF2954" s="21"/>
      <c r="AG2954" s="21"/>
      <c r="AH2954" s="21">
        <v>5</v>
      </c>
      <c r="AI2954" s="21"/>
      <c r="AJ2954" s="21"/>
      <c r="AK2954" s="21"/>
      <c r="AL2954" s="21"/>
      <c r="AM2954" s="21"/>
      <c r="AN2954" s="21"/>
      <c r="AO2954" s="21"/>
      <c r="AP2954" s="21">
        <v>1</v>
      </c>
      <c r="AQ2954" s="21">
        <v>2</v>
      </c>
      <c r="AR2954" s="21">
        <v>1</v>
      </c>
      <c r="AS2954" s="21">
        <v>1</v>
      </c>
      <c r="AT2954" s="12" t="str">
        <f>HYPERLINK("http://www.openstreetmap.org/?mlat=35.5444&amp;mlon=45.4728&amp;zoom=12#map=12/35.5444/45.4728","Maplink1")</f>
        <v>Maplink1</v>
      </c>
      <c r="AU2954" s="12" t="str">
        <f>HYPERLINK("https://www.google.iq/maps/search/+35.5444,45.4728/@35.5444,45.4728,14z?hl=en","Maplink2")</f>
        <v>Maplink2</v>
      </c>
      <c r="AV2954" s="12" t="str">
        <f>HYPERLINK("http://www.bing.com/maps/?lvl=14&amp;sty=h&amp;cp=35.5444~45.4728&amp;sp=point.35.5444_45.4728","Maplink3")</f>
        <v>Maplink3</v>
      </c>
    </row>
    <row r="2955" spans="1:48" ht="15" customHeight="1" x14ac:dyDescent="0.25">
      <c r="A2955" s="19">
        <v>24098</v>
      </c>
      <c r="B2955" s="20" t="s">
        <v>24</v>
      </c>
      <c r="C2955" s="20" t="s">
        <v>4846</v>
      </c>
      <c r="D2955" s="20" t="s">
        <v>6010</v>
      </c>
      <c r="E2955" s="20" t="s">
        <v>6011</v>
      </c>
      <c r="F2955" s="20">
        <v>35.577550000000002</v>
      </c>
      <c r="G2955" s="20">
        <v>45.343449999999997</v>
      </c>
      <c r="H2955" s="22">
        <v>2</v>
      </c>
      <c r="I2955" s="22">
        <v>12</v>
      </c>
      <c r="J2955" s="21"/>
      <c r="K2955" s="21"/>
      <c r="L2955" s="21"/>
      <c r="M2955" s="21"/>
      <c r="N2955" s="21"/>
      <c r="O2955" s="21"/>
      <c r="P2955" s="21"/>
      <c r="Q2955" s="21"/>
      <c r="R2955" s="21">
        <v>2</v>
      </c>
      <c r="S2955" s="21"/>
      <c r="T2955" s="21"/>
      <c r="U2955" s="21"/>
      <c r="V2955" s="21"/>
      <c r="W2955" s="21"/>
      <c r="X2955" s="21"/>
      <c r="Y2955" s="21"/>
      <c r="Z2955" s="21"/>
      <c r="AA2955" s="21"/>
      <c r="AB2955" s="21"/>
      <c r="AC2955" s="21"/>
      <c r="AD2955" s="21"/>
      <c r="AE2955" s="21"/>
      <c r="AF2955" s="21"/>
      <c r="AG2955" s="21"/>
      <c r="AH2955" s="21">
        <v>2</v>
      </c>
      <c r="AI2955" s="21"/>
      <c r="AJ2955" s="21"/>
      <c r="AK2955" s="21"/>
      <c r="AL2955" s="21"/>
      <c r="AM2955" s="21"/>
      <c r="AN2955" s="21"/>
      <c r="AO2955" s="21"/>
      <c r="AP2955" s="21"/>
      <c r="AQ2955" s="21"/>
      <c r="AR2955" s="21"/>
      <c r="AS2955" s="21">
        <v>2</v>
      </c>
      <c r="AT2955" s="12" t="str">
        <f>HYPERLINK("http://www.openstreetmap.org/?mlat=35.5776&amp;mlon=45.3434&amp;zoom=12#map=12/35.5776/45.3434","Maplink1")</f>
        <v>Maplink1</v>
      </c>
      <c r="AU2955" s="12" t="str">
        <f>HYPERLINK("https://www.google.iq/maps/search/+35.5776,45.3434/@35.5776,45.3434,14z?hl=en","Maplink2")</f>
        <v>Maplink2</v>
      </c>
      <c r="AV2955" s="12" t="str">
        <f>HYPERLINK("http://www.bing.com/maps/?lvl=14&amp;sty=h&amp;cp=35.5776~45.3434&amp;sp=point.35.5776_45.3434","Maplink3")</f>
        <v>Maplink3</v>
      </c>
    </row>
    <row r="2956" spans="1:48" ht="15" customHeight="1" x14ac:dyDescent="0.25">
      <c r="A2956" s="19">
        <v>31995</v>
      </c>
      <c r="B2956" s="20" t="s">
        <v>24</v>
      </c>
      <c r="C2956" s="20" t="s">
        <v>4846</v>
      </c>
      <c r="D2956" s="20" t="s">
        <v>5104</v>
      </c>
      <c r="E2956" s="20" t="s">
        <v>4810</v>
      </c>
      <c r="F2956" s="20">
        <v>35.555190000000003</v>
      </c>
      <c r="G2956" s="20">
        <v>45.389919999999996</v>
      </c>
      <c r="H2956" s="22">
        <v>12</v>
      </c>
      <c r="I2956" s="22">
        <v>72</v>
      </c>
      <c r="J2956" s="21">
        <v>3</v>
      </c>
      <c r="K2956" s="21"/>
      <c r="L2956" s="21">
        <v>1</v>
      </c>
      <c r="M2956" s="21"/>
      <c r="N2956" s="21"/>
      <c r="O2956" s="21">
        <v>6</v>
      </c>
      <c r="P2956" s="21"/>
      <c r="Q2956" s="21"/>
      <c r="R2956" s="21"/>
      <c r="S2956" s="21"/>
      <c r="T2956" s="21"/>
      <c r="U2956" s="21"/>
      <c r="V2956" s="21">
        <v>2</v>
      </c>
      <c r="W2956" s="21"/>
      <c r="X2956" s="21"/>
      <c r="Y2956" s="21"/>
      <c r="Z2956" s="21"/>
      <c r="AA2956" s="21"/>
      <c r="AB2956" s="21"/>
      <c r="AC2956" s="21"/>
      <c r="AD2956" s="21"/>
      <c r="AE2956" s="21"/>
      <c r="AF2956" s="21"/>
      <c r="AG2956" s="21"/>
      <c r="AH2956" s="21">
        <v>12</v>
      </c>
      <c r="AI2956" s="21"/>
      <c r="AJ2956" s="21"/>
      <c r="AK2956" s="21"/>
      <c r="AL2956" s="21">
        <v>1</v>
      </c>
      <c r="AM2956" s="21">
        <v>4</v>
      </c>
      <c r="AN2956" s="21"/>
      <c r="AO2956" s="21">
        <v>1</v>
      </c>
      <c r="AP2956" s="21"/>
      <c r="AQ2956" s="21"/>
      <c r="AR2956" s="21">
        <v>4</v>
      </c>
      <c r="AS2956" s="21">
        <v>2</v>
      </c>
      <c r="AT2956" s="12" t="str">
        <f>HYPERLINK("http://www.openstreetmap.org/?mlat=35.5552&amp;mlon=45.3899&amp;zoom=12#map=12/35.5552/45.3899","Maplink1")</f>
        <v>Maplink1</v>
      </c>
      <c r="AU2956" s="12" t="str">
        <f>HYPERLINK("https://www.google.iq/maps/search/+35.5552,45.3899/@35.5552,45.3899,14z?hl=en","Maplink2")</f>
        <v>Maplink2</v>
      </c>
      <c r="AV2956" s="12" t="str">
        <f>HYPERLINK("http://www.bing.com/maps/?lvl=14&amp;sty=h&amp;cp=35.5552~45.3899&amp;sp=point.35.5552_45.3899","Maplink3")</f>
        <v>Maplink3</v>
      </c>
    </row>
    <row r="2957" spans="1:48" ht="15" customHeight="1" x14ac:dyDescent="0.25">
      <c r="A2957" s="19">
        <v>32074</v>
      </c>
      <c r="B2957" s="20" t="s">
        <v>24</v>
      </c>
      <c r="C2957" s="20" t="s">
        <v>4846</v>
      </c>
      <c r="D2957" s="20" t="s">
        <v>5105</v>
      </c>
      <c r="E2957" s="20" t="s">
        <v>5106</v>
      </c>
      <c r="F2957" s="20">
        <v>35.550170000000001</v>
      </c>
      <c r="G2957" s="20">
        <v>45.367809999999999</v>
      </c>
      <c r="H2957" s="22">
        <v>170</v>
      </c>
      <c r="I2957" s="22">
        <v>1020</v>
      </c>
      <c r="J2957" s="21">
        <v>48</v>
      </c>
      <c r="K2957" s="21"/>
      <c r="L2957" s="21">
        <v>53</v>
      </c>
      <c r="M2957" s="21"/>
      <c r="N2957" s="21"/>
      <c r="O2957" s="21">
        <v>15</v>
      </c>
      <c r="P2957" s="21"/>
      <c r="Q2957" s="21"/>
      <c r="R2957" s="21">
        <v>14</v>
      </c>
      <c r="S2957" s="21"/>
      <c r="T2957" s="21"/>
      <c r="U2957" s="21"/>
      <c r="V2957" s="21">
        <v>11</v>
      </c>
      <c r="W2957" s="21"/>
      <c r="X2957" s="21">
        <v>29</v>
      </c>
      <c r="Y2957" s="21"/>
      <c r="Z2957" s="21"/>
      <c r="AA2957" s="21"/>
      <c r="AB2957" s="21"/>
      <c r="AC2957" s="21"/>
      <c r="AD2957" s="21"/>
      <c r="AE2957" s="21"/>
      <c r="AF2957" s="21"/>
      <c r="AG2957" s="21"/>
      <c r="AH2957" s="21">
        <v>170</v>
      </c>
      <c r="AI2957" s="21"/>
      <c r="AJ2957" s="21"/>
      <c r="AK2957" s="21"/>
      <c r="AL2957" s="21">
        <v>21</v>
      </c>
      <c r="AM2957" s="21">
        <v>38</v>
      </c>
      <c r="AN2957" s="21">
        <v>40</v>
      </c>
      <c r="AO2957" s="21">
        <v>26</v>
      </c>
      <c r="AP2957" s="21">
        <v>16</v>
      </c>
      <c r="AQ2957" s="21"/>
      <c r="AR2957" s="21">
        <v>5</v>
      </c>
      <c r="AS2957" s="21">
        <v>24</v>
      </c>
      <c r="AT2957" s="12" t="str">
        <f>HYPERLINK("http://www.openstreetmap.org/?mlat=35.5502&amp;mlon=45.3678&amp;zoom=12#map=12/35.5502/45.3678","Maplink1")</f>
        <v>Maplink1</v>
      </c>
      <c r="AU2957" s="12" t="str">
        <f>HYPERLINK("https://www.google.iq/maps/search/+35.5502,45.3678/@35.5502,45.3678,14z?hl=en","Maplink2")</f>
        <v>Maplink2</v>
      </c>
      <c r="AV2957" s="12" t="str">
        <f>HYPERLINK("http://www.bing.com/maps/?lvl=14&amp;sty=h&amp;cp=35.5502~45.3678&amp;sp=point.35.5502_45.3678","Maplink3")</f>
        <v>Maplink3</v>
      </c>
    </row>
    <row r="2958" spans="1:48" ht="15" customHeight="1" x14ac:dyDescent="0.25">
      <c r="A2958" s="19">
        <v>32005</v>
      </c>
      <c r="B2958" s="20" t="s">
        <v>24</v>
      </c>
      <c r="C2958" s="20" t="s">
        <v>4846</v>
      </c>
      <c r="D2958" s="20" t="s">
        <v>5107</v>
      </c>
      <c r="E2958" s="20" t="s">
        <v>5108</v>
      </c>
      <c r="F2958" s="20">
        <v>35.59646</v>
      </c>
      <c r="G2958" s="20">
        <v>45.41695</v>
      </c>
      <c r="H2958" s="22">
        <v>54</v>
      </c>
      <c r="I2958" s="22">
        <v>324</v>
      </c>
      <c r="J2958" s="21">
        <v>21</v>
      </c>
      <c r="K2958" s="21"/>
      <c r="L2958" s="21">
        <v>10</v>
      </c>
      <c r="M2958" s="21"/>
      <c r="N2958" s="21"/>
      <c r="O2958" s="21">
        <v>2</v>
      </c>
      <c r="P2958" s="21"/>
      <c r="Q2958" s="21"/>
      <c r="R2958" s="21">
        <v>6</v>
      </c>
      <c r="S2958" s="21"/>
      <c r="T2958" s="21"/>
      <c r="U2958" s="21"/>
      <c r="V2958" s="21">
        <v>5</v>
      </c>
      <c r="W2958" s="21"/>
      <c r="X2958" s="21">
        <v>10</v>
      </c>
      <c r="Y2958" s="21"/>
      <c r="Z2958" s="21"/>
      <c r="AA2958" s="21"/>
      <c r="AB2958" s="21"/>
      <c r="AC2958" s="21"/>
      <c r="AD2958" s="21"/>
      <c r="AE2958" s="21"/>
      <c r="AF2958" s="21"/>
      <c r="AG2958" s="21"/>
      <c r="AH2958" s="21">
        <v>54</v>
      </c>
      <c r="AI2958" s="21"/>
      <c r="AJ2958" s="21"/>
      <c r="AK2958" s="21"/>
      <c r="AL2958" s="21">
        <v>8</v>
      </c>
      <c r="AM2958" s="21">
        <v>9</v>
      </c>
      <c r="AN2958" s="21">
        <v>5</v>
      </c>
      <c r="AO2958" s="21">
        <v>9</v>
      </c>
      <c r="AP2958" s="21">
        <v>4</v>
      </c>
      <c r="AQ2958" s="21">
        <v>7</v>
      </c>
      <c r="AR2958" s="21">
        <v>1</v>
      </c>
      <c r="AS2958" s="21">
        <v>11</v>
      </c>
      <c r="AT2958" s="12" t="str">
        <f>HYPERLINK("http://www.openstreetmap.org/?mlat=35.5965&amp;mlon=45.417&amp;zoom=12#map=12/35.5965/45.417","Maplink1")</f>
        <v>Maplink1</v>
      </c>
      <c r="AU2958" s="12" t="str">
        <f>HYPERLINK("https://www.google.iq/maps/search/+35.5965,45.417/@35.5965,45.417,14z?hl=en","Maplink2")</f>
        <v>Maplink2</v>
      </c>
      <c r="AV2958" s="12" t="str">
        <f>HYPERLINK("http://www.bing.com/maps/?lvl=14&amp;sty=h&amp;cp=35.5965~45.417&amp;sp=point.35.5965_45.417","Maplink3")</f>
        <v>Maplink3</v>
      </c>
    </row>
    <row r="2959" spans="1:48" ht="15" customHeight="1" x14ac:dyDescent="0.25">
      <c r="A2959" s="19">
        <v>32006</v>
      </c>
      <c r="B2959" s="20" t="s">
        <v>24</v>
      </c>
      <c r="C2959" s="20" t="s">
        <v>4846</v>
      </c>
      <c r="D2959" s="20" t="s">
        <v>5109</v>
      </c>
      <c r="E2959" s="20" t="s">
        <v>5110</v>
      </c>
      <c r="F2959" s="20">
        <v>35.604370000000003</v>
      </c>
      <c r="G2959" s="20">
        <v>45.409509999999997</v>
      </c>
      <c r="H2959" s="22">
        <v>46</v>
      </c>
      <c r="I2959" s="22">
        <v>276</v>
      </c>
      <c r="J2959" s="21">
        <v>12</v>
      </c>
      <c r="K2959" s="21"/>
      <c r="L2959" s="21">
        <v>14</v>
      </c>
      <c r="M2959" s="21"/>
      <c r="N2959" s="21"/>
      <c r="O2959" s="21">
        <v>2</v>
      </c>
      <c r="P2959" s="21"/>
      <c r="Q2959" s="21"/>
      <c r="R2959" s="21">
        <v>6</v>
      </c>
      <c r="S2959" s="21"/>
      <c r="T2959" s="21"/>
      <c r="U2959" s="21"/>
      <c r="V2959" s="21">
        <v>2</v>
      </c>
      <c r="W2959" s="21"/>
      <c r="X2959" s="21">
        <v>10</v>
      </c>
      <c r="Y2959" s="21"/>
      <c r="Z2959" s="21"/>
      <c r="AA2959" s="21"/>
      <c r="AB2959" s="21"/>
      <c r="AC2959" s="21"/>
      <c r="AD2959" s="21"/>
      <c r="AE2959" s="21"/>
      <c r="AF2959" s="21"/>
      <c r="AG2959" s="21"/>
      <c r="AH2959" s="21">
        <v>46</v>
      </c>
      <c r="AI2959" s="21"/>
      <c r="AJ2959" s="21"/>
      <c r="AK2959" s="21"/>
      <c r="AL2959" s="21">
        <v>2</v>
      </c>
      <c r="AM2959" s="21">
        <v>11</v>
      </c>
      <c r="AN2959" s="21"/>
      <c r="AO2959" s="21">
        <v>5</v>
      </c>
      <c r="AP2959" s="21"/>
      <c r="AQ2959" s="21">
        <v>10</v>
      </c>
      <c r="AR2959" s="21">
        <v>4</v>
      </c>
      <c r="AS2959" s="21">
        <v>14</v>
      </c>
      <c r="AT2959" s="12" t="str">
        <f>HYPERLINK("http://www.openstreetmap.org/?mlat=35.6044&amp;mlon=45.4095&amp;zoom=12#map=12/35.6044/45.4095","Maplink1")</f>
        <v>Maplink1</v>
      </c>
      <c r="AU2959" s="12" t="str">
        <f>HYPERLINK("https://www.google.iq/maps/search/+35.6044,45.4095/@35.6044,45.4095,14z?hl=en","Maplink2")</f>
        <v>Maplink2</v>
      </c>
      <c r="AV2959" s="12" t="str">
        <f>HYPERLINK("http://www.bing.com/maps/?lvl=14&amp;sty=h&amp;cp=35.6044~45.4095&amp;sp=point.35.6044_45.4095","Maplink3")</f>
        <v>Maplink3</v>
      </c>
    </row>
    <row r="2960" spans="1:48" ht="15" customHeight="1" x14ac:dyDescent="0.25">
      <c r="A2960" s="19">
        <v>4450</v>
      </c>
      <c r="B2960" s="20" t="s">
        <v>24</v>
      </c>
      <c r="C2960" s="20" t="s">
        <v>4846</v>
      </c>
      <c r="D2960" s="20" t="s">
        <v>5111</v>
      </c>
      <c r="E2960" s="20" t="s">
        <v>5112</v>
      </c>
      <c r="F2960" s="20">
        <v>35.312912060000002</v>
      </c>
      <c r="G2960" s="20">
        <v>45.389943649999999</v>
      </c>
      <c r="H2960" s="22">
        <v>20</v>
      </c>
      <c r="I2960" s="22">
        <v>120</v>
      </c>
      <c r="J2960" s="21">
        <v>2</v>
      </c>
      <c r="K2960" s="21"/>
      <c r="L2960" s="21">
        <v>2</v>
      </c>
      <c r="M2960" s="21"/>
      <c r="N2960" s="21"/>
      <c r="O2960" s="21">
        <v>10</v>
      </c>
      <c r="P2960" s="21"/>
      <c r="Q2960" s="21"/>
      <c r="R2960" s="21"/>
      <c r="S2960" s="21"/>
      <c r="T2960" s="21"/>
      <c r="U2960" s="21"/>
      <c r="V2960" s="21">
        <v>3</v>
      </c>
      <c r="W2960" s="21"/>
      <c r="X2960" s="21">
        <v>3</v>
      </c>
      <c r="Y2960" s="21"/>
      <c r="Z2960" s="21"/>
      <c r="AA2960" s="21"/>
      <c r="AB2960" s="21"/>
      <c r="AC2960" s="21"/>
      <c r="AD2960" s="21"/>
      <c r="AE2960" s="21"/>
      <c r="AF2960" s="21"/>
      <c r="AG2960" s="21"/>
      <c r="AH2960" s="21">
        <v>20</v>
      </c>
      <c r="AI2960" s="21"/>
      <c r="AJ2960" s="21"/>
      <c r="AK2960" s="21"/>
      <c r="AL2960" s="21"/>
      <c r="AM2960" s="21"/>
      <c r="AN2960" s="21">
        <v>2</v>
      </c>
      <c r="AO2960" s="21">
        <v>7</v>
      </c>
      <c r="AP2960" s="21">
        <v>4</v>
      </c>
      <c r="AQ2960" s="21">
        <v>4</v>
      </c>
      <c r="AR2960" s="21"/>
      <c r="AS2960" s="21">
        <v>3</v>
      </c>
      <c r="AT2960" s="12" t="str">
        <f>HYPERLINK("http://www.openstreetmap.org/?mlat=35.3129&amp;mlon=45.3899&amp;zoom=12#map=12/35.3129/45.3899","Maplink1")</f>
        <v>Maplink1</v>
      </c>
      <c r="AU2960" s="12" t="str">
        <f>HYPERLINK("https://www.google.iq/maps/search/+35.3129,45.3899/@35.3129,45.3899,14z?hl=en","Maplink2")</f>
        <v>Maplink2</v>
      </c>
      <c r="AV2960" s="12" t="str">
        <f>HYPERLINK("http://www.bing.com/maps/?lvl=14&amp;sty=h&amp;cp=35.3129~45.3899&amp;sp=point.35.3129_45.3899","Maplink3")</f>
        <v>Maplink3</v>
      </c>
    </row>
    <row r="2961" spans="1:48" ht="15" customHeight="1" x14ac:dyDescent="0.25">
      <c r="A2961" s="19">
        <v>4448</v>
      </c>
      <c r="B2961" s="20" t="s">
        <v>24</v>
      </c>
      <c r="C2961" s="20" t="s">
        <v>4846</v>
      </c>
      <c r="D2961" s="20" t="s">
        <v>5113</v>
      </c>
      <c r="E2961" s="20" t="s">
        <v>5114</v>
      </c>
      <c r="F2961" s="20">
        <v>35.382649999999998</v>
      </c>
      <c r="G2961" s="20">
        <v>45.413040000000002</v>
      </c>
      <c r="H2961" s="22">
        <v>2</v>
      </c>
      <c r="I2961" s="22">
        <v>12</v>
      </c>
      <c r="J2961" s="21"/>
      <c r="K2961" s="21"/>
      <c r="L2961" s="21"/>
      <c r="M2961" s="21"/>
      <c r="N2961" s="21"/>
      <c r="O2961" s="21">
        <v>1</v>
      </c>
      <c r="P2961" s="21"/>
      <c r="Q2961" s="21"/>
      <c r="R2961" s="21"/>
      <c r="S2961" s="21"/>
      <c r="T2961" s="21"/>
      <c r="U2961" s="21"/>
      <c r="V2961" s="21"/>
      <c r="W2961" s="21"/>
      <c r="X2961" s="21">
        <v>1</v>
      </c>
      <c r="Y2961" s="21"/>
      <c r="Z2961" s="21"/>
      <c r="AA2961" s="21"/>
      <c r="AB2961" s="21"/>
      <c r="AC2961" s="21"/>
      <c r="AD2961" s="21"/>
      <c r="AE2961" s="21"/>
      <c r="AF2961" s="21"/>
      <c r="AG2961" s="21"/>
      <c r="AH2961" s="21">
        <v>2</v>
      </c>
      <c r="AI2961" s="21"/>
      <c r="AJ2961" s="21"/>
      <c r="AK2961" s="21"/>
      <c r="AL2961" s="21"/>
      <c r="AM2961" s="21"/>
      <c r="AN2961" s="21"/>
      <c r="AO2961" s="21"/>
      <c r="AP2961" s="21"/>
      <c r="AQ2961" s="21">
        <v>1</v>
      </c>
      <c r="AR2961" s="21"/>
      <c r="AS2961" s="21">
        <v>1</v>
      </c>
      <c r="AT2961" s="12" t="str">
        <f>HYPERLINK("http://www.openstreetmap.org/?mlat=35.3826&amp;mlon=45.413&amp;zoom=12#map=12/35.3826/45.413","Maplink1")</f>
        <v>Maplink1</v>
      </c>
      <c r="AU2961" s="12" t="str">
        <f>HYPERLINK("https://www.google.iq/maps/search/+35.3826,45.413/@35.3826,45.413,14z?hl=en","Maplink2")</f>
        <v>Maplink2</v>
      </c>
      <c r="AV2961" s="12" t="str">
        <f>HYPERLINK("http://www.bing.com/maps/?lvl=14&amp;sty=h&amp;cp=35.3826~45.413&amp;sp=point.35.3826_45.413","Maplink3")</f>
        <v>Maplink3</v>
      </c>
    </row>
    <row r="2962" spans="1:48" ht="15" customHeight="1" x14ac:dyDescent="0.25">
      <c r="A2962" s="19">
        <v>4449</v>
      </c>
      <c r="B2962" s="20" t="s">
        <v>24</v>
      </c>
      <c r="C2962" s="20" t="s">
        <v>4846</v>
      </c>
      <c r="D2962" s="20" t="s">
        <v>5115</v>
      </c>
      <c r="E2962" s="20" t="s">
        <v>5116</v>
      </c>
      <c r="F2962" s="20">
        <v>35.517121940000003</v>
      </c>
      <c r="G2962" s="20">
        <v>45.436907419999997</v>
      </c>
      <c r="H2962" s="22">
        <v>6</v>
      </c>
      <c r="I2962" s="22">
        <v>36</v>
      </c>
      <c r="J2962" s="21">
        <v>2</v>
      </c>
      <c r="K2962" s="21"/>
      <c r="L2962" s="21"/>
      <c r="M2962" s="21"/>
      <c r="N2962" s="21"/>
      <c r="O2962" s="21">
        <v>2</v>
      </c>
      <c r="P2962" s="21"/>
      <c r="Q2962" s="21"/>
      <c r="R2962" s="21"/>
      <c r="S2962" s="21"/>
      <c r="T2962" s="21"/>
      <c r="U2962" s="21"/>
      <c r="V2962" s="21"/>
      <c r="W2962" s="21"/>
      <c r="X2962" s="21">
        <v>2</v>
      </c>
      <c r="Y2962" s="21"/>
      <c r="Z2962" s="21"/>
      <c r="AA2962" s="21"/>
      <c r="AB2962" s="21"/>
      <c r="AC2962" s="21"/>
      <c r="AD2962" s="21"/>
      <c r="AE2962" s="21"/>
      <c r="AF2962" s="21"/>
      <c r="AG2962" s="21"/>
      <c r="AH2962" s="21">
        <v>6</v>
      </c>
      <c r="AI2962" s="21"/>
      <c r="AJ2962" s="21"/>
      <c r="AK2962" s="21"/>
      <c r="AL2962" s="21">
        <v>2</v>
      </c>
      <c r="AM2962" s="21">
        <v>4</v>
      </c>
      <c r="AN2962" s="21"/>
      <c r="AO2962" s="21"/>
      <c r="AP2962" s="21"/>
      <c r="AQ2962" s="21"/>
      <c r="AR2962" s="21"/>
      <c r="AS2962" s="21"/>
      <c r="AT2962" s="12" t="str">
        <f>HYPERLINK("http://www.openstreetmap.org/?mlat=35.5171&amp;mlon=45.4369&amp;zoom=12#map=12/35.5171/45.4369","Maplink1")</f>
        <v>Maplink1</v>
      </c>
      <c r="AU2962" s="12" t="str">
        <f>HYPERLINK("https://www.google.iq/maps/search/+35.5171,45.4369/@35.5171,45.4369,14z?hl=en","Maplink2")</f>
        <v>Maplink2</v>
      </c>
      <c r="AV2962" s="12" t="str">
        <f>HYPERLINK("http://www.bing.com/maps/?lvl=14&amp;sty=h&amp;cp=35.5171~45.4369&amp;sp=point.35.5171_45.4369","Maplink3")</f>
        <v>Maplink3</v>
      </c>
    </row>
    <row r="2963" spans="1:48" ht="15" customHeight="1" x14ac:dyDescent="0.25">
      <c r="A2963" s="19">
        <v>4447</v>
      </c>
      <c r="B2963" s="20" t="s">
        <v>24</v>
      </c>
      <c r="C2963" s="20" t="s">
        <v>4846</v>
      </c>
      <c r="D2963" s="20" t="s">
        <v>5117</v>
      </c>
      <c r="E2963" s="20" t="s">
        <v>5118</v>
      </c>
      <c r="F2963" s="20">
        <v>35.40334</v>
      </c>
      <c r="G2963" s="20">
        <v>45.261270000000003</v>
      </c>
      <c r="H2963" s="22">
        <v>11</v>
      </c>
      <c r="I2963" s="22">
        <v>66</v>
      </c>
      <c r="J2963" s="21"/>
      <c r="K2963" s="21"/>
      <c r="L2963" s="21">
        <v>2</v>
      </c>
      <c r="M2963" s="21"/>
      <c r="N2963" s="21"/>
      <c r="O2963" s="21">
        <v>1</v>
      </c>
      <c r="P2963" s="21"/>
      <c r="Q2963" s="21"/>
      <c r="R2963" s="21"/>
      <c r="S2963" s="21"/>
      <c r="T2963" s="21"/>
      <c r="U2963" s="21"/>
      <c r="V2963" s="21">
        <v>7</v>
      </c>
      <c r="W2963" s="21"/>
      <c r="X2963" s="21">
        <v>1</v>
      </c>
      <c r="Y2963" s="21"/>
      <c r="Z2963" s="21"/>
      <c r="AA2963" s="21"/>
      <c r="AB2963" s="21"/>
      <c r="AC2963" s="21"/>
      <c r="AD2963" s="21"/>
      <c r="AE2963" s="21"/>
      <c r="AF2963" s="21"/>
      <c r="AG2963" s="21"/>
      <c r="AH2963" s="21">
        <v>11</v>
      </c>
      <c r="AI2963" s="21"/>
      <c r="AJ2963" s="21"/>
      <c r="AK2963" s="21"/>
      <c r="AL2963" s="21"/>
      <c r="AM2963" s="21"/>
      <c r="AN2963" s="21">
        <v>4</v>
      </c>
      <c r="AO2963" s="21">
        <v>3</v>
      </c>
      <c r="AP2963" s="21"/>
      <c r="AQ2963" s="21"/>
      <c r="AR2963" s="21"/>
      <c r="AS2963" s="21">
        <v>4</v>
      </c>
      <c r="AT2963" s="12" t="str">
        <f>HYPERLINK("http://www.openstreetmap.org/?mlat=35.4033&amp;mlon=45.2613&amp;zoom=12#map=12/35.4033/45.2613","Maplink1")</f>
        <v>Maplink1</v>
      </c>
      <c r="AU2963" s="12" t="str">
        <f>HYPERLINK("https://www.google.iq/maps/search/+35.4033,45.2613/@35.4033,45.2613,14z?hl=en","Maplink2")</f>
        <v>Maplink2</v>
      </c>
      <c r="AV2963" s="12" t="str">
        <f>HYPERLINK("http://www.bing.com/maps/?lvl=14&amp;sty=h&amp;cp=35.4033~45.2613&amp;sp=point.35.4033_45.2613","Maplink3")</f>
        <v>Maplink3</v>
      </c>
    </row>
    <row r="2964" spans="1:48" ht="15" customHeight="1" x14ac:dyDescent="0.25">
      <c r="A2964" s="19">
        <v>31958</v>
      </c>
      <c r="B2964" s="20" t="s">
        <v>24</v>
      </c>
      <c r="C2964" s="20" t="s">
        <v>4846</v>
      </c>
      <c r="D2964" s="20" t="s">
        <v>5119</v>
      </c>
      <c r="E2964" s="20" t="s">
        <v>5120</v>
      </c>
      <c r="F2964" s="20">
        <v>35.56991</v>
      </c>
      <c r="G2964" s="20">
        <v>45.436819999999997</v>
      </c>
      <c r="H2964" s="22">
        <v>59</v>
      </c>
      <c r="I2964" s="22">
        <v>354</v>
      </c>
      <c r="J2964" s="21">
        <v>25</v>
      </c>
      <c r="K2964" s="21">
        <v>1</v>
      </c>
      <c r="L2964" s="21">
        <v>8</v>
      </c>
      <c r="M2964" s="21"/>
      <c r="N2964" s="21"/>
      <c r="O2964" s="21">
        <v>2</v>
      </c>
      <c r="P2964" s="21"/>
      <c r="Q2964" s="21"/>
      <c r="R2964" s="21"/>
      <c r="S2964" s="21"/>
      <c r="T2964" s="21"/>
      <c r="U2964" s="21"/>
      <c r="V2964" s="21">
        <v>4</v>
      </c>
      <c r="W2964" s="21"/>
      <c r="X2964" s="21">
        <v>19</v>
      </c>
      <c r="Y2964" s="21"/>
      <c r="Z2964" s="21"/>
      <c r="AA2964" s="21"/>
      <c r="AB2964" s="21"/>
      <c r="AC2964" s="21"/>
      <c r="AD2964" s="21"/>
      <c r="AE2964" s="21"/>
      <c r="AF2964" s="21"/>
      <c r="AG2964" s="21"/>
      <c r="AH2964" s="21">
        <v>59</v>
      </c>
      <c r="AI2964" s="21"/>
      <c r="AJ2964" s="21"/>
      <c r="AK2964" s="21"/>
      <c r="AL2964" s="21">
        <v>1</v>
      </c>
      <c r="AM2964" s="21">
        <v>20</v>
      </c>
      <c r="AN2964" s="21"/>
      <c r="AO2964" s="21">
        <v>2</v>
      </c>
      <c r="AP2964" s="21">
        <v>10</v>
      </c>
      <c r="AQ2964" s="21">
        <v>8</v>
      </c>
      <c r="AR2964" s="21">
        <v>13</v>
      </c>
      <c r="AS2964" s="21">
        <v>5</v>
      </c>
      <c r="AT2964" s="12" t="str">
        <f>HYPERLINK("http://www.openstreetmap.org/?mlat=35.5699&amp;mlon=45.4368&amp;zoom=12#map=12/35.5699/45.4368","Maplink1")</f>
        <v>Maplink1</v>
      </c>
      <c r="AU2964" s="12" t="str">
        <f>HYPERLINK("https://www.google.iq/maps/search/+35.5699,45.4368/@35.5699,45.4368,14z?hl=en","Maplink2")</f>
        <v>Maplink2</v>
      </c>
      <c r="AV2964" s="12" t="str">
        <f>HYPERLINK("http://www.bing.com/maps/?lvl=14&amp;sty=h&amp;cp=35.5699~45.4368&amp;sp=point.35.5699_45.4368","Maplink3")</f>
        <v>Maplink3</v>
      </c>
    </row>
    <row r="2965" spans="1:48" ht="15" customHeight="1" x14ac:dyDescent="0.25">
      <c r="A2965" s="19">
        <v>4549</v>
      </c>
      <c r="B2965" s="20" t="s">
        <v>24</v>
      </c>
      <c r="C2965" s="20" t="s">
        <v>4846</v>
      </c>
      <c r="D2965" s="20" t="s">
        <v>5121</v>
      </c>
      <c r="E2965" s="20" t="s">
        <v>5122</v>
      </c>
      <c r="F2965" s="20">
        <v>35.535144619999997</v>
      </c>
      <c r="G2965" s="20">
        <v>45.462250619999999</v>
      </c>
      <c r="H2965" s="22">
        <v>7</v>
      </c>
      <c r="I2965" s="22">
        <v>42</v>
      </c>
      <c r="J2965" s="21">
        <v>2</v>
      </c>
      <c r="K2965" s="21"/>
      <c r="L2965" s="21">
        <v>4</v>
      </c>
      <c r="M2965" s="21"/>
      <c r="N2965" s="21"/>
      <c r="O2965" s="21"/>
      <c r="P2965" s="21"/>
      <c r="Q2965" s="21"/>
      <c r="R2965" s="21"/>
      <c r="S2965" s="21"/>
      <c r="T2965" s="21"/>
      <c r="U2965" s="21"/>
      <c r="V2965" s="21"/>
      <c r="W2965" s="21"/>
      <c r="X2965" s="21">
        <v>1</v>
      </c>
      <c r="Y2965" s="21"/>
      <c r="Z2965" s="21"/>
      <c r="AA2965" s="21"/>
      <c r="AB2965" s="21"/>
      <c r="AC2965" s="21"/>
      <c r="AD2965" s="21"/>
      <c r="AE2965" s="21"/>
      <c r="AF2965" s="21"/>
      <c r="AG2965" s="21"/>
      <c r="AH2965" s="21">
        <v>7</v>
      </c>
      <c r="AI2965" s="21"/>
      <c r="AJ2965" s="21"/>
      <c r="AK2965" s="21"/>
      <c r="AL2965" s="21"/>
      <c r="AM2965" s="21"/>
      <c r="AN2965" s="21"/>
      <c r="AO2965" s="21">
        <v>2</v>
      </c>
      <c r="AP2965" s="21"/>
      <c r="AQ2965" s="21">
        <v>1</v>
      </c>
      <c r="AR2965" s="21">
        <v>3</v>
      </c>
      <c r="AS2965" s="21">
        <v>1</v>
      </c>
      <c r="AT2965" s="12" t="str">
        <f>HYPERLINK("http://www.openstreetmap.org/?mlat=35.5351&amp;mlon=45.4623&amp;zoom=12#map=12/35.5351/45.4623","Maplink1")</f>
        <v>Maplink1</v>
      </c>
      <c r="AU2965" s="12" t="str">
        <f>HYPERLINK("https://www.google.iq/maps/search/+35.5351,45.4623/@35.5351,45.4623,14z?hl=en","Maplink2")</f>
        <v>Maplink2</v>
      </c>
      <c r="AV2965" s="12" t="str">
        <f>HYPERLINK("http://www.bing.com/maps/?lvl=14&amp;sty=h&amp;cp=35.5351~45.4623&amp;sp=point.35.5351_45.4623","Maplink3")</f>
        <v>Maplink3</v>
      </c>
    </row>
    <row r="2966" spans="1:48" ht="15" customHeight="1" x14ac:dyDescent="0.25">
      <c r="A2966" s="19">
        <v>6139</v>
      </c>
      <c r="B2966" s="20" t="s">
        <v>24</v>
      </c>
      <c r="C2966" s="20" t="s">
        <v>4846</v>
      </c>
      <c r="D2966" s="20" t="s">
        <v>5953</v>
      </c>
      <c r="E2966" s="20" t="s">
        <v>5954</v>
      </c>
      <c r="F2966" s="20">
        <v>35.58158993</v>
      </c>
      <c r="G2966" s="20">
        <v>45.372698380000003</v>
      </c>
      <c r="H2966" s="22">
        <v>11</v>
      </c>
      <c r="I2966" s="22">
        <v>66</v>
      </c>
      <c r="J2966" s="21">
        <v>2</v>
      </c>
      <c r="K2966" s="21"/>
      <c r="L2966" s="21">
        <v>3</v>
      </c>
      <c r="M2966" s="21"/>
      <c r="N2966" s="21"/>
      <c r="O2966" s="21">
        <v>2</v>
      </c>
      <c r="P2966" s="21"/>
      <c r="Q2966" s="21"/>
      <c r="R2966" s="21">
        <v>4</v>
      </c>
      <c r="S2966" s="21"/>
      <c r="T2966" s="21"/>
      <c r="U2966" s="21"/>
      <c r="V2966" s="21"/>
      <c r="W2966" s="21"/>
      <c r="X2966" s="21"/>
      <c r="Y2966" s="21"/>
      <c r="Z2966" s="21"/>
      <c r="AA2966" s="21"/>
      <c r="AB2966" s="21"/>
      <c r="AC2966" s="21"/>
      <c r="AD2966" s="21"/>
      <c r="AE2966" s="21"/>
      <c r="AF2966" s="21"/>
      <c r="AG2966" s="21"/>
      <c r="AH2966" s="21">
        <v>11</v>
      </c>
      <c r="AI2966" s="21"/>
      <c r="AJ2966" s="21"/>
      <c r="AK2966" s="21"/>
      <c r="AL2966" s="21">
        <v>2</v>
      </c>
      <c r="AM2966" s="21">
        <v>1</v>
      </c>
      <c r="AN2966" s="21"/>
      <c r="AO2966" s="21"/>
      <c r="AP2966" s="21">
        <v>2</v>
      </c>
      <c r="AQ2966" s="21"/>
      <c r="AR2966" s="21">
        <v>1</v>
      </c>
      <c r="AS2966" s="21">
        <v>5</v>
      </c>
      <c r="AT2966" s="12" t="str">
        <f>HYPERLINK("http://www.openstreetmap.org/?mlat=35.5816&amp;mlon=45.3727&amp;zoom=12#map=12/35.5816/45.3727","Maplink1")</f>
        <v>Maplink1</v>
      </c>
      <c r="AU2966" s="12" t="str">
        <f>HYPERLINK("https://www.google.iq/maps/search/+35.5816,45.3727/@35.5816,45.3727,14z?hl=en","Maplink2")</f>
        <v>Maplink2</v>
      </c>
      <c r="AV2966" s="12" t="str">
        <f>HYPERLINK("http://www.bing.com/maps/?lvl=14&amp;sty=h&amp;cp=35.5816~45.3727&amp;sp=point.35.5816_45.3727","Maplink3")</f>
        <v>Maplink3</v>
      </c>
    </row>
    <row r="2967" spans="1:48" ht="15" customHeight="1" x14ac:dyDescent="0.25">
      <c r="A2967" s="19">
        <v>6251</v>
      </c>
      <c r="B2967" s="20" t="s">
        <v>24</v>
      </c>
      <c r="C2967" s="20" t="s">
        <v>4846</v>
      </c>
      <c r="D2967" s="20" t="s">
        <v>5123</v>
      </c>
      <c r="E2967" s="20" t="s">
        <v>5124</v>
      </c>
      <c r="F2967" s="20">
        <v>35.596550430000001</v>
      </c>
      <c r="G2967" s="20">
        <v>45.345341339999997</v>
      </c>
      <c r="H2967" s="22">
        <v>42</v>
      </c>
      <c r="I2967" s="22">
        <v>252</v>
      </c>
      <c r="J2967" s="21">
        <v>9</v>
      </c>
      <c r="K2967" s="21"/>
      <c r="L2967" s="21">
        <v>2</v>
      </c>
      <c r="M2967" s="21"/>
      <c r="N2967" s="21"/>
      <c r="O2967" s="21">
        <v>8</v>
      </c>
      <c r="P2967" s="21"/>
      <c r="Q2967" s="21"/>
      <c r="R2967" s="21"/>
      <c r="S2967" s="21"/>
      <c r="T2967" s="21"/>
      <c r="U2967" s="21"/>
      <c r="V2967" s="21">
        <v>14</v>
      </c>
      <c r="W2967" s="21"/>
      <c r="X2967" s="21">
        <v>9</v>
      </c>
      <c r="Y2967" s="21"/>
      <c r="Z2967" s="21"/>
      <c r="AA2967" s="21"/>
      <c r="AB2967" s="21"/>
      <c r="AC2967" s="21"/>
      <c r="AD2967" s="21"/>
      <c r="AE2967" s="21"/>
      <c r="AF2967" s="21"/>
      <c r="AG2967" s="21"/>
      <c r="AH2967" s="21">
        <v>42</v>
      </c>
      <c r="AI2967" s="21"/>
      <c r="AJ2967" s="21"/>
      <c r="AK2967" s="21"/>
      <c r="AL2967" s="21">
        <v>2</v>
      </c>
      <c r="AM2967" s="21">
        <v>8</v>
      </c>
      <c r="AN2967" s="21">
        <v>24</v>
      </c>
      <c r="AO2967" s="21">
        <v>4</v>
      </c>
      <c r="AP2967" s="21"/>
      <c r="AQ2967" s="21">
        <v>2</v>
      </c>
      <c r="AR2967" s="21"/>
      <c r="AS2967" s="21">
        <v>2</v>
      </c>
      <c r="AT2967" s="12" t="str">
        <f>HYPERLINK("http://www.openstreetmap.org/?mlat=35.5966&amp;mlon=45.3453&amp;zoom=12#map=12/35.5966/45.3453","Maplink1")</f>
        <v>Maplink1</v>
      </c>
      <c r="AU2967" s="12" t="str">
        <f>HYPERLINK("https://www.google.iq/maps/search/+35.5966,45.3453/@35.5966,45.3453,14z?hl=en","Maplink2")</f>
        <v>Maplink2</v>
      </c>
      <c r="AV2967" s="12" t="str">
        <f>HYPERLINK("http://www.bing.com/maps/?lvl=14&amp;sty=h&amp;cp=35.5966~45.3453&amp;sp=point.35.5966_45.3453","Maplink3")</f>
        <v>Maplink3</v>
      </c>
    </row>
    <row r="2968" spans="1:48" ht="15" customHeight="1" x14ac:dyDescent="0.25">
      <c r="A2968" s="19">
        <v>5896</v>
      </c>
      <c r="B2968" s="20" t="s">
        <v>24</v>
      </c>
      <c r="C2968" s="20" t="s">
        <v>4846</v>
      </c>
      <c r="D2968" s="20" t="s">
        <v>6012</v>
      </c>
      <c r="E2968" s="20" t="s">
        <v>6013</v>
      </c>
      <c r="F2968" s="20">
        <v>35.584021819999997</v>
      </c>
      <c r="G2968" s="20">
        <v>45.322212159999999</v>
      </c>
      <c r="H2968" s="22">
        <v>1</v>
      </c>
      <c r="I2968" s="22">
        <v>6</v>
      </c>
      <c r="J2968" s="21"/>
      <c r="K2968" s="21"/>
      <c r="L2968" s="21"/>
      <c r="M2968" s="21"/>
      <c r="N2968" s="21"/>
      <c r="O2968" s="21"/>
      <c r="P2968" s="21"/>
      <c r="Q2968" s="21"/>
      <c r="R2968" s="21">
        <v>1</v>
      </c>
      <c r="S2968" s="21"/>
      <c r="T2968" s="21"/>
      <c r="U2968" s="21"/>
      <c r="V2968" s="21"/>
      <c r="W2968" s="21"/>
      <c r="X2968" s="21"/>
      <c r="Y2968" s="21"/>
      <c r="Z2968" s="21"/>
      <c r="AA2968" s="21"/>
      <c r="AB2968" s="21"/>
      <c r="AC2968" s="21"/>
      <c r="AD2968" s="21"/>
      <c r="AE2968" s="21"/>
      <c r="AF2968" s="21"/>
      <c r="AG2968" s="21"/>
      <c r="AH2968" s="21">
        <v>1</v>
      </c>
      <c r="AI2968" s="21"/>
      <c r="AJ2968" s="21"/>
      <c r="AK2968" s="21"/>
      <c r="AL2968" s="21"/>
      <c r="AM2968" s="21"/>
      <c r="AN2968" s="21"/>
      <c r="AO2968" s="21"/>
      <c r="AP2968" s="21"/>
      <c r="AQ2968" s="21"/>
      <c r="AR2968" s="21"/>
      <c r="AS2968" s="21">
        <v>1</v>
      </c>
      <c r="AT2968" s="12" t="str">
        <f>HYPERLINK("http://www.openstreetmap.org/?mlat=35.584&amp;mlon=45.3222&amp;zoom=12#map=12/35.584/45.3222","Maplink1")</f>
        <v>Maplink1</v>
      </c>
      <c r="AU2968" s="12" t="str">
        <f>HYPERLINK("https://www.google.iq/maps/search/+35.584,45.3222/@35.584,45.3222,14z?hl=en","Maplink2")</f>
        <v>Maplink2</v>
      </c>
      <c r="AV2968" s="12" t="str">
        <f>HYPERLINK("http://www.bing.com/maps/?lvl=14&amp;sty=h&amp;cp=35.584~45.3222&amp;sp=point.35.584_45.3222","Maplink3")</f>
        <v>Maplink3</v>
      </c>
    </row>
    <row r="2969" spans="1:48" ht="15" customHeight="1" x14ac:dyDescent="0.25">
      <c r="A2969" s="19">
        <v>32013</v>
      </c>
      <c r="B2969" s="20" t="s">
        <v>24</v>
      </c>
      <c r="C2969" s="20" t="s">
        <v>4846</v>
      </c>
      <c r="D2969" s="20" t="s">
        <v>6196</v>
      </c>
      <c r="E2969" s="20" t="s">
        <v>6197</v>
      </c>
      <c r="F2969" s="20">
        <v>35.596519999999998</v>
      </c>
      <c r="G2969" s="20">
        <v>45.332160000000002</v>
      </c>
      <c r="H2969" s="22">
        <v>166</v>
      </c>
      <c r="I2969" s="22">
        <v>996</v>
      </c>
      <c r="J2969" s="21">
        <v>11</v>
      </c>
      <c r="K2969" s="21">
        <v>6</v>
      </c>
      <c r="L2969" s="21">
        <v>19</v>
      </c>
      <c r="M2969" s="21"/>
      <c r="N2969" s="21"/>
      <c r="O2969" s="21">
        <v>14</v>
      </c>
      <c r="P2969" s="21"/>
      <c r="Q2969" s="21"/>
      <c r="R2969" s="21">
        <v>71</v>
      </c>
      <c r="S2969" s="21"/>
      <c r="T2969" s="21"/>
      <c r="U2969" s="21"/>
      <c r="V2969" s="21">
        <v>14</v>
      </c>
      <c r="W2969" s="21"/>
      <c r="X2969" s="21">
        <v>31</v>
      </c>
      <c r="Y2969" s="21"/>
      <c r="Z2969" s="21"/>
      <c r="AA2969" s="21"/>
      <c r="AB2969" s="21"/>
      <c r="AC2969" s="21"/>
      <c r="AD2969" s="21"/>
      <c r="AE2969" s="21"/>
      <c r="AF2969" s="21"/>
      <c r="AG2969" s="21"/>
      <c r="AH2969" s="21">
        <v>166</v>
      </c>
      <c r="AI2969" s="21"/>
      <c r="AJ2969" s="21"/>
      <c r="AK2969" s="21"/>
      <c r="AL2969" s="21">
        <v>6</v>
      </c>
      <c r="AM2969" s="21">
        <v>26</v>
      </c>
      <c r="AN2969" s="21">
        <v>27</v>
      </c>
      <c r="AO2969" s="21">
        <v>7</v>
      </c>
      <c r="AP2969" s="21">
        <v>3</v>
      </c>
      <c r="AQ2969" s="21">
        <v>8</v>
      </c>
      <c r="AR2969" s="21"/>
      <c r="AS2969" s="21">
        <v>89</v>
      </c>
      <c r="AT2969" s="12" t="str">
        <f>HYPERLINK("http://www.openstreetmap.org/?mlat=35.5965&amp;mlon=45.3322&amp;zoom=12#map=12/35.5965/45.3322","Maplink1")</f>
        <v>Maplink1</v>
      </c>
      <c r="AU2969" s="12" t="str">
        <f>HYPERLINK("https://www.google.iq/maps/search/+35.5965,45.3322/@35.5965,45.3322,14z?hl=en","Maplink2")</f>
        <v>Maplink2</v>
      </c>
      <c r="AV2969" s="12" t="str">
        <f>HYPERLINK("http://www.bing.com/maps/?lvl=14&amp;sty=h&amp;cp=35.5965~45.3322&amp;sp=point.35.5965_45.3322","Maplink3")</f>
        <v>Maplink3</v>
      </c>
    </row>
    <row r="2970" spans="1:48" ht="15" customHeight="1" x14ac:dyDescent="0.25">
      <c r="A2970" s="19">
        <v>32012</v>
      </c>
      <c r="B2970" s="20" t="s">
        <v>24</v>
      </c>
      <c r="C2970" s="20" t="s">
        <v>4846</v>
      </c>
      <c r="D2970" s="20" t="s">
        <v>6198</v>
      </c>
      <c r="E2970" s="20" t="s">
        <v>5896</v>
      </c>
      <c r="F2970" s="20">
        <v>35.577249999999999</v>
      </c>
      <c r="G2970" s="20">
        <v>45.32452</v>
      </c>
      <c r="H2970" s="22">
        <v>73</v>
      </c>
      <c r="I2970" s="22">
        <v>438</v>
      </c>
      <c r="J2970" s="21">
        <v>11</v>
      </c>
      <c r="K2970" s="21">
        <v>2</v>
      </c>
      <c r="L2970" s="21">
        <v>19</v>
      </c>
      <c r="M2970" s="21"/>
      <c r="N2970" s="21"/>
      <c r="O2970" s="21">
        <v>8</v>
      </c>
      <c r="P2970" s="21"/>
      <c r="Q2970" s="21"/>
      <c r="R2970" s="21">
        <v>16</v>
      </c>
      <c r="S2970" s="21"/>
      <c r="T2970" s="21"/>
      <c r="U2970" s="21"/>
      <c r="V2970" s="21">
        <v>5</v>
      </c>
      <c r="W2970" s="21"/>
      <c r="X2970" s="21">
        <v>12</v>
      </c>
      <c r="Y2970" s="21"/>
      <c r="Z2970" s="21"/>
      <c r="AA2970" s="21"/>
      <c r="AB2970" s="21"/>
      <c r="AC2970" s="21"/>
      <c r="AD2970" s="21"/>
      <c r="AE2970" s="21"/>
      <c r="AF2970" s="21"/>
      <c r="AG2970" s="21"/>
      <c r="AH2970" s="21">
        <v>73</v>
      </c>
      <c r="AI2970" s="21"/>
      <c r="AJ2970" s="21"/>
      <c r="AK2970" s="21"/>
      <c r="AL2970" s="21">
        <v>2</v>
      </c>
      <c r="AM2970" s="21">
        <v>17</v>
      </c>
      <c r="AN2970" s="21">
        <v>16</v>
      </c>
      <c r="AO2970" s="21">
        <v>14</v>
      </c>
      <c r="AP2970" s="21">
        <v>5</v>
      </c>
      <c r="AQ2970" s="21"/>
      <c r="AR2970" s="21"/>
      <c r="AS2970" s="21">
        <v>19</v>
      </c>
      <c r="AT2970" s="12" t="str">
        <f>HYPERLINK("http://www.openstreetmap.org/?mlat=35.5772&amp;mlon=45.3245&amp;zoom=12#map=12/35.5772/45.3245","Maplink1")</f>
        <v>Maplink1</v>
      </c>
      <c r="AU2970" s="12" t="str">
        <f>HYPERLINK("https://www.google.iq/maps/search/+35.5772,45.3245/@35.5772,45.3245,14z?hl=en","Maplink2")</f>
        <v>Maplink2</v>
      </c>
      <c r="AV2970" s="12" t="str">
        <f>HYPERLINK("http://www.bing.com/maps/?lvl=14&amp;sty=h&amp;cp=35.5772~45.3245&amp;sp=point.35.5772_45.3245","Maplink3")</f>
        <v>Maplink3</v>
      </c>
    </row>
    <row r="2971" spans="1:48" ht="15" customHeight="1" x14ac:dyDescent="0.25">
      <c r="A2971" s="19">
        <v>32017</v>
      </c>
      <c r="B2971" s="20" t="s">
        <v>24</v>
      </c>
      <c r="C2971" s="20" t="s">
        <v>4846</v>
      </c>
      <c r="D2971" s="20" t="s">
        <v>6199</v>
      </c>
      <c r="E2971" s="20" t="s">
        <v>6200</v>
      </c>
      <c r="F2971" s="20">
        <v>35.581060000000001</v>
      </c>
      <c r="G2971" s="20">
        <v>45.330309999999997</v>
      </c>
      <c r="H2971" s="22">
        <v>33</v>
      </c>
      <c r="I2971" s="22">
        <v>198</v>
      </c>
      <c r="J2971" s="21">
        <v>5</v>
      </c>
      <c r="K2971" s="21"/>
      <c r="L2971" s="21">
        <v>12</v>
      </c>
      <c r="M2971" s="21"/>
      <c r="N2971" s="21"/>
      <c r="O2971" s="21"/>
      <c r="P2971" s="21"/>
      <c r="Q2971" s="21"/>
      <c r="R2971" s="21">
        <v>7</v>
      </c>
      <c r="S2971" s="21"/>
      <c r="T2971" s="21"/>
      <c r="U2971" s="21"/>
      <c r="V2971" s="21">
        <v>5</v>
      </c>
      <c r="W2971" s="21"/>
      <c r="X2971" s="21">
        <v>4</v>
      </c>
      <c r="Y2971" s="21"/>
      <c r="Z2971" s="21"/>
      <c r="AA2971" s="21"/>
      <c r="AB2971" s="21"/>
      <c r="AC2971" s="21"/>
      <c r="AD2971" s="21"/>
      <c r="AE2971" s="21"/>
      <c r="AF2971" s="21"/>
      <c r="AG2971" s="21"/>
      <c r="AH2971" s="21">
        <v>33</v>
      </c>
      <c r="AI2971" s="21"/>
      <c r="AJ2971" s="21"/>
      <c r="AK2971" s="21"/>
      <c r="AL2971" s="21"/>
      <c r="AM2971" s="21">
        <v>8</v>
      </c>
      <c r="AN2971" s="21">
        <v>11</v>
      </c>
      <c r="AO2971" s="21">
        <v>4</v>
      </c>
      <c r="AP2971" s="21">
        <v>3</v>
      </c>
      <c r="AQ2971" s="21"/>
      <c r="AR2971" s="21"/>
      <c r="AS2971" s="21">
        <v>7</v>
      </c>
      <c r="AT2971" s="12" t="str">
        <f>HYPERLINK("http://www.openstreetmap.org/?mlat=35.5811&amp;mlon=45.3303&amp;zoom=12#map=12/35.5811/45.3303","Maplink1")</f>
        <v>Maplink1</v>
      </c>
      <c r="AU2971" s="12" t="str">
        <f>HYPERLINK("https://www.google.iq/maps/search/+35.5811,45.3303/@35.5811,45.3303,14z?hl=en","Maplink2")</f>
        <v>Maplink2</v>
      </c>
      <c r="AV2971" s="12" t="str">
        <f>HYPERLINK("http://www.bing.com/maps/?lvl=14&amp;sty=h&amp;cp=35.5811~45.3303&amp;sp=point.35.5811_45.3303","Maplink3")</f>
        <v>Maplink3</v>
      </c>
    </row>
    <row r="2972" spans="1:48" ht="15" customHeight="1" x14ac:dyDescent="0.25">
      <c r="A2972" s="19">
        <v>32014</v>
      </c>
      <c r="B2972" s="20" t="s">
        <v>24</v>
      </c>
      <c r="C2972" s="20" t="s">
        <v>4846</v>
      </c>
      <c r="D2972" s="20" t="s">
        <v>6201</v>
      </c>
      <c r="E2972" s="20" t="s">
        <v>6202</v>
      </c>
      <c r="F2972" s="20">
        <v>35.589919999999999</v>
      </c>
      <c r="G2972" s="20">
        <v>45.324869999999997</v>
      </c>
      <c r="H2972" s="22">
        <v>86</v>
      </c>
      <c r="I2972" s="22">
        <v>516</v>
      </c>
      <c r="J2972" s="21">
        <v>11</v>
      </c>
      <c r="K2972" s="21">
        <v>2</v>
      </c>
      <c r="L2972" s="21">
        <v>8</v>
      </c>
      <c r="M2972" s="21"/>
      <c r="N2972" s="21"/>
      <c r="O2972" s="21">
        <v>2</v>
      </c>
      <c r="P2972" s="21"/>
      <c r="Q2972" s="21"/>
      <c r="R2972" s="21">
        <v>14</v>
      </c>
      <c r="S2972" s="21"/>
      <c r="T2972" s="21"/>
      <c r="U2972" s="21"/>
      <c r="V2972" s="21">
        <v>13</v>
      </c>
      <c r="W2972" s="21"/>
      <c r="X2972" s="21">
        <v>36</v>
      </c>
      <c r="Y2972" s="21"/>
      <c r="Z2972" s="21"/>
      <c r="AA2972" s="21"/>
      <c r="AB2972" s="21"/>
      <c r="AC2972" s="21"/>
      <c r="AD2972" s="21"/>
      <c r="AE2972" s="21"/>
      <c r="AF2972" s="21"/>
      <c r="AG2972" s="21"/>
      <c r="AH2972" s="21">
        <v>86</v>
      </c>
      <c r="AI2972" s="21"/>
      <c r="AJ2972" s="21"/>
      <c r="AK2972" s="21"/>
      <c r="AL2972" s="21">
        <v>2</v>
      </c>
      <c r="AM2972" s="21">
        <v>9</v>
      </c>
      <c r="AN2972" s="21">
        <v>23</v>
      </c>
      <c r="AO2972" s="21">
        <v>8</v>
      </c>
      <c r="AP2972" s="21">
        <v>3</v>
      </c>
      <c r="AQ2972" s="21">
        <v>1</v>
      </c>
      <c r="AR2972" s="21"/>
      <c r="AS2972" s="21">
        <v>40</v>
      </c>
      <c r="AT2972" s="12" t="str">
        <f>HYPERLINK("http://www.openstreetmap.org/?mlat=35.5899&amp;mlon=45.3249&amp;zoom=12#map=12/35.5899/45.3249","Maplink1")</f>
        <v>Maplink1</v>
      </c>
      <c r="AU2972" s="12" t="str">
        <f>HYPERLINK("https://www.google.iq/maps/search/+35.5899,45.3249/@35.5899,45.3249,14z?hl=en","Maplink2")</f>
        <v>Maplink2</v>
      </c>
      <c r="AV2972" s="12" t="str">
        <f>HYPERLINK("http://www.bing.com/maps/?lvl=14&amp;sty=h&amp;cp=35.5899~45.3249&amp;sp=point.35.5899_45.3249","Maplink3")</f>
        <v>Maplink3</v>
      </c>
    </row>
    <row r="2973" spans="1:48" ht="15" customHeight="1" x14ac:dyDescent="0.25">
      <c r="A2973" s="19">
        <v>32015</v>
      </c>
      <c r="B2973" s="20" t="s">
        <v>24</v>
      </c>
      <c r="C2973" s="20" t="s">
        <v>4846</v>
      </c>
      <c r="D2973" s="20" t="s">
        <v>6203</v>
      </c>
      <c r="E2973" s="20" t="s">
        <v>6204</v>
      </c>
      <c r="F2973" s="20">
        <v>35.587310000000002</v>
      </c>
      <c r="G2973" s="20">
        <v>45.335569999999997</v>
      </c>
      <c r="H2973" s="22">
        <v>94</v>
      </c>
      <c r="I2973" s="22">
        <v>564</v>
      </c>
      <c r="J2973" s="21">
        <v>12</v>
      </c>
      <c r="K2973" s="21">
        <v>2</v>
      </c>
      <c r="L2973" s="21">
        <v>19</v>
      </c>
      <c r="M2973" s="21"/>
      <c r="N2973" s="21"/>
      <c r="O2973" s="21">
        <v>10</v>
      </c>
      <c r="P2973" s="21"/>
      <c r="Q2973" s="21"/>
      <c r="R2973" s="21">
        <v>20</v>
      </c>
      <c r="S2973" s="21"/>
      <c r="T2973" s="21"/>
      <c r="U2973" s="21"/>
      <c r="V2973" s="21">
        <v>8</v>
      </c>
      <c r="W2973" s="21"/>
      <c r="X2973" s="21">
        <v>23</v>
      </c>
      <c r="Y2973" s="21"/>
      <c r="Z2973" s="21"/>
      <c r="AA2973" s="21"/>
      <c r="AB2973" s="21"/>
      <c r="AC2973" s="21"/>
      <c r="AD2973" s="21"/>
      <c r="AE2973" s="21"/>
      <c r="AF2973" s="21"/>
      <c r="AG2973" s="21"/>
      <c r="AH2973" s="21">
        <v>94</v>
      </c>
      <c r="AI2973" s="21"/>
      <c r="AJ2973" s="21"/>
      <c r="AK2973" s="21"/>
      <c r="AL2973" s="21">
        <v>2</v>
      </c>
      <c r="AM2973" s="21">
        <v>18</v>
      </c>
      <c r="AN2973" s="21">
        <v>11</v>
      </c>
      <c r="AO2973" s="21">
        <v>9</v>
      </c>
      <c r="AP2973" s="21">
        <v>4</v>
      </c>
      <c r="AQ2973" s="21">
        <v>8</v>
      </c>
      <c r="AR2973" s="21">
        <v>5</v>
      </c>
      <c r="AS2973" s="21">
        <v>37</v>
      </c>
      <c r="AT2973" s="12" t="str">
        <f>HYPERLINK("http://www.openstreetmap.org/?mlat=35.5873&amp;mlon=45.3356&amp;zoom=12#map=12/35.5873/45.3356","Maplink1")</f>
        <v>Maplink1</v>
      </c>
      <c r="AU2973" s="12" t="str">
        <f>HYPERLINK("https://www.google.iq/maps/search/+35.5873,45.3356/@35.5873,45.3356,14z?hl=en","Maplink2")</f>
        <v>Maplink2</v>
      </c>
      <c r="AV2973" s="12" t="str">
        <f>HYPERLINK("http://www.bing.com/maps/?lvl=14&amp;sty=h&amp;cp=35.5873~45.3356&amp;sp=point.35.5873_45.3356","Maplink3")</f>
        <v>Maplink3</v>
      </c>
    </row>
    <row r="2974" spans="1:48" ht="15" customHeight="1" x14ac:dyDescent="0.25">
      <c r="A2974" s="19">
        <v>32016</v>
      </c>
      <c r="B2974" s="20" t="s">
        <v>24</v>
      </c>
      <c r="C2974" s="20" t="s">
        <v>4846</v>
      </c>
      <c r="D2974" s="20" t="s">
        <v>6205</v>
      </c>
      <c r="E2974" s="20" t="s">
        <v>6206</v>
      </c>
      <c r="F2974" s="20">
        <v>35.587870000000002</v>
      </c>
      <c r="G2974" s="20">
        <v>45.328710000000001</v>
      </c>
      <c r="H2974" s="22">
        <v>63</v>
      </c>
      <c r="I2974" s="22">
        <v>378</v>
      </c>
      <c r="J2974" s="21">
        <v>15</v>
      </c>
      <c r="K2974" s="21"/>
      <c r="L2974" s="21">
        <v>12</v>
      </c>
      <c r="M2974" s="21"/>
      <c r="N2974" s="21"/>
      <c r="O2974" s="21">
        <v>3</v>
      </c>
      <c r="P2974" s="21"/>
      <c r="Q2974" s="21"/>
      <c r="R2974" s="21">
        <v>12</v>
      </c>
      <c r="S2974" s="21"/>
      <c r="T2974" s="21"/>
      <c r="U2974" s="21"/>
      <c r="V2974" s="21">
        <v>6</v>
      </c>
      <c r="W2974" s="21"/>
      <c r="X2974" s="21">
        <v>15</v>
      </c>
      <c r="Y2974" s="21"/>
      <c r="Z2974" s="21"/>
      <c r="AA2974" s="21"/>
      <c r="AB2974" s="21"/>
      <c r="AC2974" s="21"/>
      <c r="AD2974" s="21"/>
      <c r="AE2974" s="21"/>
      <c r="AF2974" s="21"/>
      <c r="AG2974" s="21"/>
      <c r="AH2974" s="21">
        <v>63</v>
      </c>
      <c r="AI2974" s="21"/>
      <c r="AJ2974" s="21"/>
      <c r="AK2974" s="21"/>
      <c r="AL2974" s="21">
        <v>3</v>
      </c>
      <c r="AM2974" s="21">
        <v>11</v>
      </c>
      <c r="AN2974" s="21">
        <v>19</v>
      </c>
      <c r="AO2974" s="21">
        <v>5</v>
      </c>
      <c r="AP2974" s="21">
        <v>3</v>
      </c>
      <c r="AQ2974" s="21">
        <v>4</v>
      </c>
      <c r="AR2974" s="21"/>
      <c r="AS2974" s="21">
        <v>18</v>
      </c>
      <c r="AT2974" s="12" t="str">
        <f>HYPERLINK("http://www.openstreetmap.org/?mlat=35.5879&amp;mlon=45.3287&amp;zoom=12#map=12/35.5879/45.3287","Maplink1")</f>
        <v>Maplink1</v>
      </c>
      <c r="AU2974" s="12" t="str">
        <f>HYPERLINK("https://www.google.iq/maps/search/+35.5879,45.3287/@35.5879,45.3287,14z?hl=en","Maplink2")</f>
        <v>Maplink2</v>
      </c>
      <c r="AV2974" s="12" t="str">
        <f>HYPERLINK("http://www.bing.com/maps/?lvl=14&amp;sty=h&amp;cp=35.5879~45.3287&amp;sp=point.35.5879_45.3287","Maplink3")</f>
        <v>Maplink3</v>
      </c>
    </row>
    <row r="2975" spans="1:48" ht="15" customHeight="1" x14ac:dyDescent="0.25">
      <c r="A2975" s="19">
        <v>32011</v>
      </c>
      <c r="B2975" s="20" t="s">
        <v>24</v>
      </c>
      <c r="C2975" s="20" t="s">
        <v>4846</v>
      </c>
      <c r="D2975" s="20" t="s">
        <v>6207</v>
      </c>
      <c r="E2975" s="20" t="s">
        <v>6208</v>
      </c>
      <c r="F2975" s="20">
        <v>35.574269999999999</v>
      </c>
      <c r="G2975" s="20">
        <v>45.334809999999997</v>
      </c>
      <c r="H2975" s="22">
        <v>59</v>
      </c>
      <c r="I2975" s="22">
        <v>354</v>
      </c>
      <c r="J2975" s="21">
        <v>9</v>
      </c>
      <c r="K2975" s="21"/>
      <c r="L2975" s="21">
        <v>13</v>
      </c>
      <c r="M2975" s="21"/>
      <c r="N2975" s="21"/>
      <c r="O2975" s="21">
        <v>4</v>
      </c>
      <c r="P2975" s="21"/>
      <c r="Q2975" s="21"/>
      <c r="R2975" s="21">
        <v>14</v>
      </c>
      <c r="S2975" s="21"/>
      <c r="T2975" s="21"/>
      <c r="U2975" s="21"/>
      <c r="V2975" s="21">
        <v>3</v>
      </c>
      <c r="W2975" s="21"/>
      <c r="X2975" s="21">
        <v>16</v>
      </c>
      <c r="Y2975" s="21"/>
      <c r="Z2975" s="21"/>
      <c r="AA2975" s="21"/>
      <c r="AB2975" s="21"/>
      <c r="AC2975" s="21"/>
      <c r="AD2975" s="21"/>
      <c r="AE2975" s="21"/>
      <c r="AF2975" s="21"/>
      <c r="AG2975" s="21"/>
      <c r="AH2975" s="21">
        <v>59</v>
      </c>
      <c r="AI2975" s="21"/>
      <c r="AJ2975" s="21"/>
      <c r="AK2975" s="21"/>
      <c r="AL2975" s="21">
        <v>3</v>
      </c>
      <c r="AM2975" s="21">
        <v>12</v>
      </c>
      <c r="AN2975" s="21">
        <v>8</v>
      </c>
      <c r="AO2975" s="21">
        <v>4</v>
      </c>
      <c r="AP2975" s="21">
        <v>6</v>
      </c>
      <c r="AQ2975" s="21"/>
      <c r="AR2975" s="21">
        <v>2</v>
      </c>
      <c r="AS2975" s="21">
        <v>24</v>
      </c>
      <c r="AT2975" s="12" t="str">
        <f>HYPERLINK("http://www.openstreetmap.org/?mlat=35.5743&amp;mlon=45.3348&amp;zoom=12#map=12/35.5743/45.3348","Maplink1")</f>
        <v>Maplink1</v>
      </c>
      <c r="AU2975" s="12" t="str">
        <f>HYPERLINK("https://www.google.iq/maps/search/+35.5743,45.3348/@35.5743,45.3348,14z?hl=en","Maplink2")</f>
        <v>Maplink2</v>
      </c>
      <c r="AV2975" s="12" t="str">
        <f>HYPERLINK("http://www.bing.com/maps/?lvl=14&amp;sty=h&amp;cp=35.5743~45.3348&amp;sp=point.35.5743_45.3348","Maplink3")</f>
        <v>Maplink3</v>
      </c>
    </row>
    <row r="2976" spans="1:48" ht="15" customHeight="1" x14ac:dyDescent="0.25">
      <c r="A2976" s="19">
        <v>32010</v>
      </c>
      <c r="B2976" s="20" t="s">
        <v>24</v>
      </c>
      <c r="C2976" s="20" t="s">
        <v>4846</v>
      </c>
      <c r="D2976" s="20" t="s">
        <v>6209</v>
      </c>
      <c r="E2976" s="20" t="s">
        <v>6210</v>
      </c>
      <c r="F2976" s="20">
        <v>35.57302</v>
      </c>
      <c r="G2976" s="20">
        <v>45.341059999999999</v>
      </c>
      <c r="H2976" s="22">
        <v>50</v>
      </c>
      <c r="I2976" s="22">
        <v>300</v>
      </c>
      <c r="J2976" s="21">
        <v>9</v>
      </c>
      <c r="K2976" s="21"/>
      <c r="L2976" s="21">
        <v>11</v>
      </c>
      <c r="M2976" s="21"/>
      <c r="N2976" s="21"/>
      <c r="O2976" s="21">
        <v>3</v>
      </c>
      <c r="P2976" s="21"/>
      <c r="Q2976" s="21"/>
      <c r="R2976" s="21">
        <v>9</v>
      </c>
      <c r="S2976" s="21"/>
      <c r="T2976" s="21"/>
      <c r="U2976" s="21"/>
      <c r="V2976" s="21">
        <v>7</v>
      </c>
      <c r="W2976" s="21"/>
      <c r="X2976" s="21">
        <v>11</v>
      </c>
      <c r="Y2976" s="21"/>
      <c r="Z2976" s="21"/>
      <c r="AA2976" s="21"/>
      <c r="AB2976" s="21"/>
      <c r="AC2976" s="21"/>
      <c r="AD2976" s="21"/>
      <c r="AE2976" s="21"/>
      <c r="AF2976" s="21"/>
      <c r="AG2976" s="21"/>
      <c r="AH2976" s="21">
        <v>50</v>
      </c>
      <c r="AI2976" s="21"/>
      <c r="AJ2976" s="21"/>
      <c r="AK2976" s="21"/>
      <c r="AL2976" s="21"/>
      <c r="AM2976" s="21">
        <v>7</v>
      </c>
      <c r="AN2976" s="21">
        <v>19</v>
      </c>
      <c r="AO2976" s="21">
        <v>7</v>
      </c>
      <c r="AP2976" s="21">
        <v>7</v>
      </c>
      <c r="AQ2976" s="21"/>
      <c r="AR2976" s="21"/>
      <c r="AS2976" s="21">
        <v>10</v>
      </c>
      <c r="AT2976" s="12" t="str">
        <f>HYPERLINK("http://www.openstreetmap.org/?mlat=35.573&amp;mlon=45.3411&amp;zoom=12#map=12/35.573/45.3411","Maplink1")</f>
        <v>Maplink1</v>
      </c>
      <c r="AU2976" s="12" t="str">
        <f>HYPERLINK("https://www.google.iq/maps/search/+35.573,45.3411/@35.573,45.3411,14z?hl=en","Maplink2")</f>
        <v>Maplink2</v>
      </c>
      <c r="AV2976" s="12" t="str">
        <f>HYPERLINK("http://www.bing.com/maps/?lvl=14&amp;sty=h&amp;cp=35.573~45.3411&amp;sp=point.35.573_45.3411","Maplink3")</f>
        <v>Maplink3</v>
      </c>
    </row>
    <row r="2977" spans="1:48" ht="15" customHeight="1" x14ac:dyDescent="0.25">
      <c r="A2977" s="19">
        <v>6311</v>
      </c>
      <c r="B2977" s="20" t="s">
        <v>24</v>
      </c>
      <c r="C2977" s="20" t="s">
        <v>4846</v>
      </c>
      <c r="D2977" s="20" t="s">
        <v>5838</v>
      </c>
      <c r="E2977" s="20" t="s">
        <v>5839</v>
      </c>
      <c r="F2977" s="20">
        <v>35.562752709999998</v>
      </c>
      <c r="G2977" s="20">
        <v>45.397241119999997</v>
      </c>
      <c r="H2977" s="22">
        <v>47</v>
      </c>
      <c r="I2977" s="22">
        <v>282</v>
      </c>
      <c r="J2977" s="21">
        <v>9</v>
      </c>
      <c r="K2977" s="21">
        <v>1</v>
      </c>
      <c r="L2977" s="21">
        <v>13</v>
      </c>
      <c r="M2977" s="21"/>
      <c r="N2977" s="21"/>
      <c r="O2977" s="21">
        <v>2</v>
      </c>
      <c r="P2977" s="21"/>
      <c r="Q2977" s="21"/>
      <c r="R2977" s="21">
        <v>15</v>
      </c>
      <c r="S2977" s="21"/>
      <c r="T2977" s="21"/>
      <c r="U2977" s="21"/>
      <c r="V2977" s="21">
        <v>7</v>
      </c>
      <c r="W2977" s="21"/>
      <c r="X2977" s="21"/>
      <c r="Y2977" s="21"/>
      <c r="Z2977" s="21"/>
      <c r="AA2977" s="21"/>
      <c r="AB2977" s="21"/>
      <c r="AC2977" s="21"/>
      <c r="AD2977" s="21"/>
      <c r="AE2977" s="21"/>
      <c r="AF2977" s="21"/>
      <c r="AG2977" s="21"/>
      <c r="AH2977" s="21">
        <v>47</v>
      </c>
      <c r="AI2977" s="21"/>
      <c r="AJ2977" s="21"/>
      <c r="AK2977" s="21"/>
      <c r="AL2977" s="21">
        <v>4</v>
      </c>
      <c r="AM2977" s="21">
        <v>5</v>
      </c>
      <c r="AN2977" s="21">
        <v>3</v>
      </c>
      <c r="AO2977" s="21">
        <v>6</v>
      </c>
      <c r="AP2977" s="21">
        <v>3</v>
      </c>
      <c r="AQ2977" s="21">
        <v>1</v>
      </c>
      <c r="AR2977" s="21">
        <v>6</v>
      </c>
      <c r="AS2977" s="21">
        <v>19</v>
      </c>
      <c r="AT2977" s="12" t="str">
        <f>HYPERLINK("http://www.openstreetmap.org/?mlat=35.5628&amp;mlon=45.3972&amp;zoom=12#map=12/35.5628/45.3972","Maplink1")</f>
        <v>Maplink1</v>
      </c>
      <c r="AU2977" s="12" t="str">
        <f>HYPERLINK("https://www.google.iq/maps/search/+35.5628,45.3972/@35.5628,45.3972,14z?hl=en","Maplink2")</f>
        <v>Maplink2</v>
      </c>
      <c r="AV2977" s="12" t="str">
        <f>HYPERLINK("http://www.bing.com/maps/?lvl=14&amp;sty=h&amp;cp=35.5628~45.3972&amp;sp=point.35.5628_45.3972","Maplink3")</f>
        <v>Maplink3</v>
      </c>
    </row>
    <row r="2978" spans="1:48" ht="15" customHeight="1" x14ac:dyDescent="0.25">
      <c r="A2978" s="19">
        <v>31983</v>
      </c>
      <c r="B2978" s="20" t="s">
        <v>24</v>
      </c>
      <c r="C2978" s="20" t="s">
        <v>4846</v>
      </c>
      <c r="D2978" s="20" t="s">
        <v>5125</v>
      </c>
      <c r="E2978" s="20" t="s">
        <v>5126</v>
      </c>
      <c r="F2978" s="20">
        <v>35.56221</v>
      </c>
      <c r="G2978" s="20">
        <v>45.403460000000003</v>
      </c>
      <c r="H2978" s="22">
        <v>80</v>
      </c>
      <c r="I2978" s="22">
        <v>480</v>
      </c>
      <c r="J2978" s="21">
        <v>11</v>
      </c>
      <c r="K2978" s="21">
        <v>3</v>
      </c>
      <c r="L2978" s="21">
        <v>35</v>
      </c>
      <c r="M2978" s="21"/>
      <c r="N2978" s="21"/>
      <c r="O2978" s="21">
        <v>4</v>
      </c>
      <c r="P2978" s="21"/>
      <c r="Q2978" s="21"/>
      <c r="R2978" s="21">
        <v>6</v>
      </c>
      <c r="S2978" s="21"/>
      <c r="T2978" s="21"/>
      <c r="U2978" s="21"/>
      <c r="V2978" s="21">
        <v>10</v>
      </c>
      <c r="W2978" s="21"/>
      <c r="X2978" s="21">
        <v>11</v>
      </c>
      <c r="Y2978" s="21"/>
      <c r="Z2978" s="21"/>
      <c r="AA2978" s="21"/>
      <c r="AB2978" s="21"/>
      <c r="AC2978" s="21"/>
      <c r="AD2978" s="21"/>
      <c r="AE2978" s="21"/>
      <c r="AF2978" s="21"/>
      <c r="AG2978" s="21"/>
      <c r="AH2978" s="21">
        <v>80</v>
      </c>
      <c r="AI2978" s="21"/>
      <c r="AJ2978" s="21"/>
      <c r="AK2978" s="21"/>
      <c r="AL2978" s="21">
        <v>6</v>
      </c>
      <c r="AM2978" s="21">
        <v>13</v>
      </c>
      <c r="AN2978" s="21">
        <v>15</v>
      </c>
      <c r="AO2978" s="21">
        <v>11</v>
      </c>
      <c r="AP2978" s="21">
        <v>11</v>
      </c>
      <c r="AQ2978" s="21">
        <v>10</v>
      </c>
      <c r="AR2978" s="21">
        <v>3</v>
      </c>
      <c r="AS2978" s="21">
        <v>11</v>
      </c>
      <c r="AT2978" s="12" t="str">
        <f>HYPERLINK("http://www.openstreetmap.org/?mlat=35.5622&amp;mlon=45.4035&amp;zoom=12#map=12/35.5622/45.4035","Maplink1")</f>
        <v>Maplink1</v>
      </c>
      <c r="AU2978" s="12" t="str">
        <f>HYPERLINK("https://www.google.iq/maps/search/+35.5622,45.4035/@35.5622,45.4035,14z?hl=en","Maplink2")</f>
        <v>Maplink2</v>
      </c>
      <c r="AV2978" s="12" t="str">
        <f>HYPERLINK("http://www.bing.com/maps/?lvl=14&amp;sty=h&amp;cp=35.5622~45.4035&amp;sp=point.35.5622_45.4035","Maplink3")</f>
        <v>Maplink3</v>
      </c>
    </row>
    <row r="2979" spans="1:48" ht="15" customHeight="1" x14ac:dyDescent="0.25">
      <c r="A2979" s="19">
        <v>24095</v>
      </c>
      <c r="B2979" s="20" t="s">
        <v>24</v>
      </c>
      <c r="C2979" s="20" t="s">
        <v>4846</v>
      </c>
      <c r="D2979" s="20" t="s">
        <v>5127</v>
      </c>
      <c r="E2979" s="20" t="s">
        <v>4685</v>
      </c>
      <c r="F2979" s="20">
        <v>35.43031397</v>
      </c>
      <c r="G2979" s="20">
        <v>45.587545310000003</v>
      </c>
      <c r="H2979" s="22">
        <v>161</v>
      </c>
      <c r="I2979" s="22">
        <v>966</v>
      </c>
      <c r="J2979" s="21">
        <v>14</v>
      </c>
      <c r="K2979" s="21">
        <v>70</v>
      </c>
      <c r="L2979" s="21">
        <v>7</v>
      </c>
      <c r="M2979" s="21"/>
      <c r="N2979" s="21"/>
      <c r="O2979" s="21">
        <v>18</v>
      </c>
      <c r="P2979" s="21"/>
      <c r="Q2979" s="21"/>
      <c r="R2979" s="21"/>
      <c r="S2979" s="21"/>
      <c r="T2979" s="21"/>
      <c r="U2979" s="21"/>
      <c r="V2979" s="21"/>
      <c r="W2979" s="21"/>
      <c r="X2979" s="21">
        <v>52</v>
      </c>
      <c r="Y2979" s="21"/>
      <c r="Z2979" s="21"/>
      <c r="AA2979" s="21"/>
      <c r="AB2979" s="21"/>
      <c r="AC2979" s="21"/>
      <c r="AD2979" s="21"/>
      <c r="AE2979" s="21"/>
      <c r="AF2979" s="21"/>
      <c r="AG2979" s="21"/>
      <c r="AH2979" s="21">
        <v>135</v>
      </c>
      <c r="AI2979" s="21"/>
      <c r="AJ2979" s="21">
        <v>26</v>
      </c>
      <c r="AK2979" s="21"/>
      <c r="AL2979" s="21">
        <v>2</v>
      </c>
      <c r="AM2979" s="21">
        <v>71</v>
      </c>
      <c r="AN2979" s="21">
        <v>39</v>
      </c>
      <c r="AO2979" s="21">
        <v>35</v>
      </c>
      <c r="AP2979" s="21">
        <v>9</v>
      </c>
      <c r="AQ2979" s="21">
        <v>1</v>
      </c>
      <c r="AR2979" s="21"/>
      <c r="AS2979" s="21">
        <v>4</v>
      </c>
      <c r="AT2979" s="12" t="str">
        <f>HYPERLINK("http://www.openstreetmap.org/?mlat=35.4303&amp;mlon=45.5875&amp;zoom=12#map=12/35.4303/45.5875","Maplink1")</f>
        <v>Maplink1</v>
      </c>
      <c r="AU2979" s="12" t="str">
        <f>HYPERLINK("https://www.google.iq/maps/search/+35.4303,45.5875/@35.4303,45.5875,14z?hl=en","Maplink2")</f>
        <v>Maplink2</v>
      </c>
      <c r="AV2979" s="12" t="str">
        <f>HYPERLINK("http://www.bing.com/maps/?lvl=14&amp;sty=h&amp;cp=35.4303~45.5875&amp;sp=point.35.4303_45.5875","Maplink3")</f>
        <v>Maplink3</v>
      </c>
    </row>
    <row r="2980" spans="1:48" ht="15" customHeight="1" x14ac:dyDescent="0.25">
      <c r="A2980" s="19">
        <v>24259</v>
      </c>
      <c r="B2980" s="20" t="s">
        <v>24</v>
      </c>
      <c r="C2980" s="20" t="s">
        <v>4846</v>
      </c>
      <c r="D2980" s="20" t="s">
        <v>5128</v>
      </c>
      <c r="E2980" s="20" t="s">
        <v>5129</v>
      </c>
      <c r="F2980" s="20">
        <v>35.588836399999998</v>
      </c>
      <c r="G2980" s="20">
        <v>45.424831310000002</v>
      </c>
      <c r="H2980" s="22">
        <v>88</v>
      </c>
      <c r="I2980" s="22">
        <v>528</v>
      </c>
      <c r="J2980" s="21">
        <v>19</v>
      </c>
      <c r="K2980" s="21">
        <v>2</v>
      </c>
      <c r="L2980" s="21">
        <v>42</v>
      </c>
      <c r="M2980" s="21"/>
      <c r="N2980" s="21"/>
      <c r="O2980" s="21">
        <v>4</v>
      </c>
      <c r="P2980" s="21"/>
      <c r="Q2980" s="21"/>
      <c r="R2980" s="21"/>
      <c r="S2980" s="21"/>
      <c r="T2980" s="21"/>
      <c r="U2980" s="21"/>
      <c r="V2980" s="21">
        <v>8</v>
      </c>
      <c r="W2980" s="21"/>
      <c r="X2980" s="21">
        <v>13</v>
      </c>
      <c r="Y2980" s="21"/>
      <c r="Z2980" s="21"/>
      <c r="AA2980" s="21"/>
      <c r="AB2980" s="21"/>
      <c r="AC2980" s="21"/>
      <c r="AD2980" s="21"/>
      <c r="AE2980" s="21"/>
      <c r="AF2980" s="21"/>
      <c r="AG2980" s="21"/>
      <c r="AH2980" s="21">
        <v>88</v>
      </c>
      <c r="AI2980" s="21"/>
      <c r="AJ2980" s="21"/>
      <c r="AK2980" s="21"/>
      <c r="AL2980" s="21">
        <v>8</v>
      </c>
      <c r="AM2980" s="21">
        <v>25</v>
      </c>
      <c r="AN2980" s="21">
        <v>2</v>
      </c>
      <c r="AO2980" s="21">
        <v>26</v>
      </c>
      <c r="AP2980" s="21">
        <v>9</v>
      </c>
      <c r="AQ2980" s="21">
        <v>5</v>
      </c>
      <c r="AR2980" s="21">
        <v>3</v>
      </c>
      <c r="AS2980" s="21">
        <v>10</v>
      </c>
      <c r="AT2980" s="12" t="str">
        <f>HYPERLINK("http://www.openstreetmap.org/?mlat=35.5888&amp;mlon=45.4248&amp;zoom=12#map=12/35.5888/45.4248","Maplink1")</f>
        <v>Maplink1</v>
      </c>
      <c r="AU2980" s="12" t="str">
        <f>HYPERLINK("https://www.google.iq/maps/search/+35.5888,45.4248/@35.5888,45.4248,14z?hl=en","Maplink2")</f>
        <v>Maplink2</v>
      </c>
      <c r="AV2980" s="12" t="str">
        <f>HYPERLINK("http://www.bing.com/maps/?lvl=14&amp;sty=h&amp;cp=35.5888~45.4248&amp;sp=point.35.5888_45.4248","Maplink3")</f>
        <v>Maplink3</v>
      </c>
    </row>
    <row r="2981" spans="1:48" ht="15" customHeight="1" x14ac:dyDescent="0.25">
      <c r="A2981" s="19">
        <v>24256</v>
      </c>
      <c r="B2981" s="20" t="s">
        <v>24</v>
      </c>
      <c r="C2981" s="20" t="s">
        <v>4846</v>
      </c>
      <c r="D2981" s="20" t="s">
        <v>6038</v>
      </c>
      <c r="E2981" s="20" t="s">
        <v>6039</v>
      </c>
      <c r="F2981" s="20">
        <v>35.54600009</v>
      </c>
      <c r="G2981" s="20">
        <v>45.449927979999998</v>
      </c>
      <c r="H2981" s="22">
        <v>63</v>
      </c>
      <c r="I2981" s="22">
        <v>378</v>
      </c>
      <c r="J2981" s="21">
        <v>20</v>
      </c>
      <c r="K2981" s="21">
        <v>2</v>
      </c>
      <c r="L2981" s="21">
        <v>13</v>
      </c>
      <c r="M2981" s="21"/>
      <c r="N2981" s="21"/>
      <c r="O2981" s="21">
        <v>7</v>
      </c>
      <c r="P2981" s="21"/>
      <c r="Q2981" s="21"/>
      <c r="R2981" s="21">
        <v>1</v>
      </c>
      <c r="S2981" s="21"/>
      <c r="T2981" s="21"/>
      <c r="U2981" s="21"/>
      <c r="V2981" s="21">
        <v>4</v>
      </c>
      <c r="W2981" s="21"/>
      <c r="X2981" s="21">
        <v>16</v>
      </c>
      <c r="Y2981" s="21"/>
      <c r="Z2981" s="21"/>
      <c r="AA2981" s="21"/>
      <c r="AB2981" s="21"/>
      <c r="AC2981" s="21"/>
      <c r="AD2981" s="21"/>
      <c r="AE2981" s="21"/>
      <c r="AF2981" s="21"/>
      <c r="AG2981" s="21"/>
      <c r="AH2981" s="21">
        <v>63</v>
      </c>
      <c r="AI2981" s="21"/>
      <c r="AJ2981" s="21"/>
      <c r="AK2981" s="21"/>
      <c r="AL2981" s="21">
        <v>1</v>
      </c>
      <c r="AM2981" s="21">
        <v>5</v>
      </c>
      <c r="AN2981" s="21">
        <v>3</v>
      </c>
      <c r="AO2981" s="21">
        <v>8</v>
      </c>
      <c r="AP2981" s="21">
        <v>13</v>
      </c>
      <c r="AQ2981" s="21">
        <v>12</v>
      </c>
      <c r="AR2981" s="21">
        <v>5</v>
      </c>
      <c r="AS2981" s="21">
        <v>16</v>
      </c>
      <c r="AT2981" s="12" t="str">
        <f>HYPERLINK("http://www.openstreetmap.org/?mlat=35.546&amp;mlon=45.4499&amp;zoom=12#map=12/35.546/45.4499","Maplink1")</f>
        <v>Maplink1</v>
      </c>
      <c r="AU2981" s="12" t="str">
        <f>HYPERLINK("https://www.google.iq/maps/search/+35.546,45.4499/@35.546,45.4499,14z?hl=en","Maplink2")</f>
        <v>Maplink2</v>
      </c>
      <c r="AV2981" s="12" t="str">
        <f>HYPERLINK("http://www.bing.com/maps/?lvl=14&amp;sty=h&amp;cp=35.546~45.4499&amp;sp=point.35.546_45.4499","Maplink3")</f>
        <v>Maplink3</v>
      </c>
    </row>
    <row r="2982" spans="1:48" ht="15" customHeight="1" x14ac:dyDescent="0.25">
      <c r="A2982" s="19">
        <v>24819</v>
      </c>
      <c r="B2982" s="20" t="s">
        <v>24</v>
      </c>
      <c r="C2982" s="20" t="s">
        <v>4846</v>
      </c>
      <c r="D2982" s="20" t="s">
        <v>5130</v>
      </c>
      <c r="E2982" s="20" t="s">
        <v>5131</v>
      </c>
      <c r="F2982" s="20">
        <v>35.597178479999997</v>
      </c>
      <c r="G2982" s="20">
        <v>45.343062549999999</v>
      </c>
      <c r="H2982" s="22">
        <v>86</v>
      </c>
      <c r="I2982" s="22">
        <v>516</v>
      </c>
      <c r="J2982" s="21">
        <v>7</v>
      </c>
      <c r="K2982" s="21">
        <v>2</v>
      </c>
      <c r="L2982" s="21">
        <v>13</v>
      </c>
      <c r="M2982" s="21"/>
      <c r="N2982" s="21"/>
      <c r="O2982" s="21"/>
      <c r="P2982" s="21"/>
      <c r="Q2982" s="21"/>
      <c r="R2982" s="21">
        <v>23</v>
      </c>
      <c r="S2982" s="21"/>
      <c r="T2982" s="21"/>
      <c r="U2982" s="21"/>
      <c r="V2982" s="21">
        <v>3</v>
      </c>
      <c r="W2982" s="21"/>
      <c r="X2982" s="21">
        <v>38</v>
      </c>
      <c r="Y2982" s="21"/>
      <c r="Z2982" s="21"/>
      <c r="AA2982" s="21"/>
      <c r="AB2982" s="21"/>
      <c r="AC2982" s="21"/>
      <c r="AD2982" s="21"/>
      <c r="AE2982" s="21"/>
      <c r="AF2982" s="21"/>
      <c r="AG2982" s="21"/>
      <c r="AH2982" s="21">
        <v>86</v>
      </c>
      <c r="AI2982" s="21"/>
      <c r="AJ2982" s="21"/>
      <c r="AK2982" s="21"/>
      <c r="AL2982" s="21"/>
      <c r="AM2982" s="21">
        <v>18</v>
      </c>
      <c r="AN2982" s="21">
        <v>14</v>
      </c>
      <c r="AO2982" s="21">
        <v>9</v>
      </c>
      <c r="AP2982" s="21">
        <v>4</v>
      </c>
      <c r="AQ2982" s="21">
        <v>4</v>
      </c>
      <c r="AR2982" s="21"/>
      <c r="AS2982" s="21">
        <v>37</v>
      </c>
      <c r="AT2982" s="12" t="str">
        <f>HYPERLINK("http://www.openstreetmap.org/?mlat=35.5972&amp;mlon=45.3431&amp;zoom=12#map=12/35.5972/45.3431","Maplink1")</f>
        <v>Maplink1</v>
      </c>
      <c r="AU2982" s="12" t="str">
        <f>HYPERLINK("https://www.google.iq/maps/search/+35.5972,45.3431/@35.5972,45.3431,14z?hl=en","Maplink2")</f>
        <v>Maplink2</v>
      </c>
      <c r="AV2982" s="12" t="str">
        <f>HYPERLINK("http://www.bing.com/maps/?lvl=14&amp;sty=h&amp;cp=35.5972~45.3431&amp;sp=point.35.5972_45.3431","Maplink3")</f>
        <v>Maplink3</v>
      </c>
    </row>
    <row r="2983" spans="1:48" ht="15" customHeight="1" x14ac:dyDescent="0.25">
      <c r="A2983" s="19">
        <v>21021</v>
      </c>
      <c r="B2983" s="20" t="s">
        <v>24</v>
      </c>
      <c r="C2983" s="20" t="s">
        <v>4846</v>
      </c>
      <c r="D2983" s="20" t="s">
        <v>5132</v>
      </c>
      <c r="E2983" s="20" t="s">
        <v>5133</v>
      </c>
      <c r="F2983" s="20">
        <v>35.553754599999998</v>
      </c>
      <c r="G2983" s="20">
        <v>45.447576040000001</v>
      </c>
      <c r="H2983" s="22">
        <v>61</v>
      </c>
      <c r="I2983" s="22">
        <v>366</v>
      </c>
      <c r="J2983" s="21">
        <v>20</v>
      </c>
      <c r="K2983" s="21">
        <v>9</v>
      </c>
      <c r="L2983" s="21">
        <v>7</v>
      </c>
      <c r="M2983" s="21"/>
      <c r="N2983" s="21"/>
      <c r="O2983" s="21">
        <v>5</v>
      </c>
      <c r="P2983" s="21"/>
      <c r="Q2983" s="21"/>
      <c r="R2983" s="21"/>
      <c r="S2983" s="21"/>
      <c r="T2983" s="21"/>
      <c r="U2983" s="21"/>
      <c r="V2983" s="21">
        <v>8</v>
      </c>
      <c r="W2983" s="21"/>
      <c r="X2983" s="21">
        <v>12</v>
      </c>
      <c r="Y2983" s="21"/>
      <c r="Z2983" s="21"/>
      <c r="AA2983" s="21"/>
      <c r="AB2983" s="21"/>
      <c r="AC2983" s="21"/>
      <c r="AD2983" s="21">
        <v>16</v>
      </c>
      <c r="AE2983" s="21"/>
      <c r="AF2983" s="21"/>
      <c r="AG2983" s="21">
        <v>5</v>
      </c>
      <c r="AH2983" s="21">
        <v>40</v>
      </c>
      <c r="AI2983" s="21"/>
      <c r="AJ2983" s="21"/>
      <c r="AK2983" s="21"/>
      <c r="AL2983" s="21">
        <v>8</v>
      </c>
      <c r="AM2983" s="21">
        <v>9</v>
      </c>
      <c r="AN2983" s="21">
        <v>8</v>
      </c>
      <c r="AO2983" s="21">
        <v>20</v>
      </c>
      <c r="AP2983" s="21">
        <v>8</v>
      </c>
      <c r="AQ2983" s="21">
        <v>5</v>
      </c>
      <c r="AR2983" s="21">
        <v>1</v>
      </c>
      <c r="AS2983" s="21">
        <v>2</v>
      </c>
      <c r="AT2983" s="12" t="str">
        <f>HYPERLINK("http://www.openstreetmap.org/?mlat=35.5538&amp;mlon=45.4476&amp;zoom=12#map=12/35.5538/45.4476","Maplink1")</f>
        <v>Maplink1</v>
      </c>
      <c r="AU2983" s="12" t="str">
        <f>HYPERLINK("https://www.google.iq/maps/search/+35.5538,45.4476/@35.5538,45.4476,14z?hl=en","Maplink2")</f>
        <v>Maplink2</v>
      </c>
      <c r="AV2983" s="12" t="str">
        <f>HYPERLINK("http://www.bing.com/maps/?lvl=14&amp;sty=h&amp;cp=35.5538~45.4476&amp;sp=point.35.5538_45.4476","Maplink3")</f>
        <v>Maplink3</v>
      </c>
    </row>
    <row r="2984" spans="1:48" ht="15" customHeight="1" x14ac:dyDescent="0.25">
      <c r="A2984" s="19">
        <v>24816</v>
      </c>
      <c r="B2984" s="20" t="s">
        <v>24</v>
      </c>
      <c r="C2984" s="20" t="s">
        <v>4846</v>
      </c>
      <c r="D2984" s="20" t="s">
        <v>5134</v>
      </c>
      <c r="E2984" s="20" t="s">
        <v>5135</v>
      </c>
      <c r="F2984" s="20">
        <v>35.534295749999998</v>
      </c>
      <c r="G2984" s="20">
        <v>45.410977799999998</v>
      </c>
      <c r="H2984" s="22">
        <v>224</v>
      </c>
      <c r="I2984" s="22">
        <v>1344</v>
      </c>
      <c r="J2984" s="21">
        <v>16</v>
      </c>
      <c r="K2984" s="21"/>
      <c r="L2984" s="21">
        <v>96</v>
      </c>
      <c r="M2984" s="21"/>
      <c r="N2984" s="21"/>
      <c r="O2984" s="21">
        <v>17</v>
      </c>
      <c r="P2984" s="21"/>
      <c r="Q2984" s="21"/>
      <c r="R2984" s="21">
        <v>9</v>
      </c>
      <c r="S2984" s="21"/>
      <c r="T2984" s="21"/>
      <c r="U2984" s="21"/>
      <c r="V2984" s="21">
        <v>60</v>
      </c>
      <c r="W2984" s="21"/>
      <c r="X2984" s="21">
        <v>26</v>
      </c>
      <c r="Y2984" s="21"/>
      <c r="Z2984" s="21"/>
      <c r="AA2984" s="21"/>
      <c r="AB2984" s="21"/>
      <c r="AC2984" s="21"/>
      <c r="AD2984" s="21"/>
      <c r="AE2984" s="21"/>
      <c r="AF2984" s="21"/>
      <c r="AG2984" s="21"/>
      <c r="AH2984" s="21">
        <v>224</v>
      </c>
      <c r="AI2984" s="21"/>
      <c r="AJ2984" s="21"/>
      <c r="AK2984" s="21"/>
      <c r="AL2984" s="21"/>
      <c r="AM2984" s="21"/>
      <c r="AN2984" s="21"/>
      <c r="AO2984" s="21">
        <v>30</v>
      </c>
      <c r="AP2984" s="21">
        <v>77</v>
      </c>
      <c r="AQ2984" s="21">
        <v>34</v>
      </c>
      <c r="AR2984" s="21">
        <v>60</v>
      </c>
      <c r="AS2984" s="21">
        <v>23</v>
      </c>
      <c r="AT2984" s="12" t="str">
        <f>HYPERLINK("http://www.openstreetmap.org/?mlat=35.5343&amp;mlon=45.411&amp;zoom=12#map=12/35.5343/45.411","Maplink1")</f>
        <v>Maplink1</v>
      </c>
      <c r="AU2984" s="12" t="str">
        <f>HYPERLINK("https://www.google.iq/maps/search/+35.5343,45.411/@35.5343,45.411,14z?hl=en","Maplink2")</f>
        <v>Maplink2</v>
      </c>
      <c r="AV2984" s="12" t="str">
        <f>HYPERLINK("http://www.bing.com/maps/?lvl=14&amp;sty=h&amp;cp=35.5343~45.411&amp;sp=point.35.5343_45.411","Maplink3")</f>
        <v>Maplink3</v>
      </c>
    </row>
    <row r="2985" spans="1:48" ht="15" customHeight="1" x14ac:dyDescent="0.25">
      <c r="A2985" s="19">
        <v>25306</v>
      </c>
      <c r="B2985" s="20" t="s">
        <v>24</v>
      </c>
      <c r="C2985" s="20" t="s">
        <v>4846</v>
      </c>
      <c r="D2985" s="20" t="s">
        <v>5136</v>
      </c>
      <c r="E2985" s="20" t="s">
        <v>5137</v>
      </c>
      <c r="F2985" s="20">
        <v>35.549231859999999</v>
      </c>
      <c r="G2985" s="20">
        <v>45.448680680000002</v>
      </c>
      <c r="H2985" s="22">
        <v>44</v>
      </c>
      <c r="I2985" s="22">
        <v>264</v>
      </c>
      <c r="J2985" s="21">
        <v>8</v>
      </c>
      <c r="K2985" s="21">
        <v>6</v>
      </c>
      <c r="L2985" s="21">
        <v>9</v>
      </c>
      <c r="M2985" s="21"/>
      <c r="N2985" s="21"/>
      <c r="O2985" s="21">
        <v>6</v>
      </c>
      <c r="P2985" s="21"/>
      <c r="Q2985" s="21"/>
      <c r="R2985" s="21"/>
      <c r="S2985" s="21"/>
      <c r="T2985" s="21"/>
      <c r="U2985" s="21"/>
      <c r="V2985" s="21">
        <v>2</v>
      </c>
      <c r="W2985" s="21"/>
      <c r="X2985" s="21">
        <v>13</v>
      </c>
      <c r="Y2985" s="21"/>
      <c r="Z2985" s="21"/>
      <c r="AA2985" s="21"/>
      <c r="AB2985" s="21"/>
      <c r="AC2985" s="21"/>
      <c r="AD2985" s="21"/>
      <c r="AE2985" s="21"/>
      <c r="AF2985" s="21"/>
      <c r="AG2985" s="21"/>
      <c r="AH2985" s="21">
        <v>44</v>
      </c>
      <c r="AI2985" s="21"/>
      <c r="AJ2985" s="21"/>
      <c r="AK2985" s="21"/>
      <c r="AL2985" s="21"/>
      <c r="AM2985" s="21">
        <v>8</v>
      </c>
      <c r="AN2985" s="21"/>
      <c r="AO2985" s="21">
        <v>13</v>
      </c>
      <c r="AP2985" s="21">
        <v>4</v>
      </c>
      <c r="AQ2985" s="21">
        <v>9</v>
      </c>
      <c r="AR2985" s="21">
        <v>4</v>
      </c>
      <c r="AS2985" s="21">
        <v>6</v>
      </c>
      <c r="AT2985" s="12" t="str">
        <f>HYPERLINK("http://www.openstreetmap.org/?mlat=35.5492&amp;mlon=45.4487&amp;zoom=12#map=12/35.5492/45.4487","Maplink1")</f>
        <v>Maplink1</v>
      </c>
      <c r="AU2985" s="12" t="str">
        <f>HYPERLINK("https://www.google.iq/maps/search/+35.5492,45.4487/@35.5492,45.4487,14z?hl=en","Maplink2")</f>
        <v>Maplink2</v>
      </c>
      <c r="AV2985" s="12" t="str">
        <f>HYPERLINK("http://www.bing.com/maps/?lvl=14&amp;sty=h&amp;cp=35.5492~45.4487&amp;sp=point.35.5492_45.4487","Maplink3")</f>
        <v>Maplink3</v>
      </c>
    </row>
    <row r="2986" spans="1:48" ht="15" customHeight="1" x14ac:dyDescent="0.25">
      <c r="A2986" s="19">
        <v>4442</v>
      </c>
      <c r="B2986" s="20" t="s">
        <v>24</v>
      </c>
      <c r="C2986" s="20" t="s">
        <v>4846</v>
      </c>
      <c r="D2986" s="20" t="s">
        <v>5138</v>
      </c>
      <c r="E2986" s="20" t="s">
        <v>5139</v>
      </c>
      <c r="F2986" s="20">
        <v>35.437449999999998</v>
      </c>
      <c r="G2986" s="20">
        <v>45.439050000000002</v>
      </c>
      <c r="H2986" s="22">
        <v>11</v>
      </c>
      <c r="I2986" s="22">
        <v>66</v>
      </c>
      <c r="J2986" s="21">
        <v>4</v>
      </c>
      <c r="K2986" s="21">
        <v>2</v>
      </c>
      <c r="L2986" s="21">
        <v>1</v>
      </c>
      <c r="M2986" s="21"/>
      <c r="N2986" s="21"/>
      <c r="O2986" s="21">
        <v>1</v>
      </c>
      <c r="P2986" s="21"/>
      <c r="Q2986" s="21"/>
      <c r="R2986" s="21">
        <v>1</v>
      </c>
      <c r="S2986" s="21"/>
      <c r="T2986" s="21"/>
      <c r="U2986" s="21"/>
      <c r="V2986" s="21">
        <v>2</v>
      </c>
      <c r="W2986" s="21"/>
      <c r="X2986" s="21"/>
      <c r="Y2986" s="21"/>
      <c r="Z2986" s="21"/>
      <c r="AA2986" s="21"/>
      <c r="AB2986" s="21"/>
      <c r="AC2986" s="21"/>
      <c r="AD2986" s="21"/>
      <c r="AE2986" s="21"/>
      <c r="AF2986" s="21"/>
      <c r="AG2986" s="21"/>
      <c r="AH2986" s="21">
        <v>11</v>
      </c>
      <c r="AI2986" s="21"/>
      <c r="AJ2986" s="21"/>
      <c r="AK2986" s="21"/>
      <c r="AL2986" s="21">
        <v>4</v>
      </c>
      <c r="AM2986" s="21">
        <v>2</v>
      </c>
      <c r="AN2986" s="21">
        <v>4</v>
      </c>
      <c r="AO2986" s="21"/>
      <c r="AP2986" s="21"/>
      <c r="AQ2986" s="21">
        <v>1</v>
      </c>
      <c r="AR2986" s="21"/>
      <c r="AS2986" s="21"/>
      <c r="AT2986" s="12" t="str">
        <f>HYPERLINK("http://www.openstreetmap.org/?mlat=35.4374&amp;mlon=45.4391&amp;zoom=12#map=12/35.4374/45.4391","Maplink1")</f>
        <v>Maplink1</v>
      </c>
      <c r="AU2986" s="12" t="str">
        <f>HYPERLINK("https://www.google.iq/maps/search/+35.4374,45.4391/@35.4374,45.4391,14z?hl=en","Maplink2")</f>
        <v>Maplink2</v>
      </c>
      <c r="AV2986" s="12" t="str">
        <f>HYPERLINK("http://www.bing.com/maps/?lvl=14&amp;sty=h&amp;cp=35.4374~45.4391&amp;sp=point.35.4374_45.4391","Maplink3")</f>
        <v>Maplink3</v>
      </c>
    </row>
    <row r="2987" spans="1:48" ht="15" customHeight="1" x14ac:dyDescent="0.25">
      <c r="A2987" s="19">
        <v>31951</v>
      </c>
      <c r="B2987" s="20" t="s">
        <v>24</v>
      </c>
      <c r="C2987" s="20" t="s">
        <v>4846</v>
      </c>
      <c r="D2987" s="20" t="s">
        <v>5140</v>
      </c>
      <c r="E2987" s="20" t="s">
        <v>5141</v>
      </c>
      <c r="F2987" s="20">
        <v>35.538589999999999</v>
      </c>
      <c r="G2987" s="20">
        <v>45.466290000000001</v>
      </c>
      <c r="H2987" s="22">
        <v>19</v>
      </c>
      <c r="I2987" s="22">
        <v>114</v>
      </c>
      <c r="J2987" s="21">
        <v>2</v>
      </c>
      <c r="K2987" s="21"/>
      <c r="L2987" s="21">
        <v>5</v>
      </c>
      <c r="M2987" s="21"/>
      <c r="N2987" s="21"/>
      <c r="O2987" s="21">
        <v>2</v>
      </c>
      <c r="P2987" s="21"/>
      <c r="Q2987" s="21"/>
      <c r="R2987" s="21"/>
      <c r="S2987" s="21"/>
      <c r="T2987" s="21"/>
      <c r="U2987" s="21"/>
      <c r="V2987" s="21"/>
      <c r="W2987" s="21"/>
      <c r="X2987" s="21">
        <v>10</v>
      </c>
      <c r="Y2987" s="21"/>
      <c r="Z2987" s="21"/>
      <c r="AA2987" s="21"/>
      <c r="AB2987" s="21"/>
      <c r="AC2987" s="21"/>
      <c r="AD2987" s="21"/>
      <c r="AE2987" s="21"/>
      <c r="AF2987" s="21"/>
      <c r="AG2987" s="21"/>
      <c r="AH2987" s="21">
        <v>19</v>
      </c>
      <c r="AI2987" s="21"/>
      <c r="AJ2987" s="21"/>
      <c r="AK2987" s="21"/>
      <c r="AL2987" s="21"/>
      <c r="AM2987" s="21"/>
      <c r="AN2987" s="21"/>
      <c r="AO2987" s="21"/>
      <c r="AP2987" s="21">
        <v>3</v>
      </c>
      <c r="AQ2987" s="21">
        <v>10</v>
      </c>
      <c r="AR2987" s="21">
        <v>6</v>
      </c>
      <c r="AS2987" s="21"/>
      <c r="AT2987" s="12" t="str">
        <f>HYPERLINK("http://www.openstreetmap.org/?mlat=35.5386&amp;mlon=45.4663&amp;zoom=12#map=12/35.5386/45.4663","Maplink1")</f>
        <v>Maplink1</v>
      </c>
      <c r="AU2987" s="12" t="str">
        <f>HYPERLINK("https://www.google.iq/maps/search/+35.5386,45.4663/@35.5386,45.4663,14z?hl=en","Maplink2")</f>
        <v>Maplink2</v>
      </c>
      <c r="AV2987" s="12" t="str">
        <f>HYPERLINK("http://www.bing.com/maps/?lvl=14&amp;sty=h&amp;cp=35.5386~45.4663&amp;sp=point.35.5386_45.4663","Maplink3")</f>
        <v>Maplink3</v>
      </c>
    </row>
    <row r="2988" spans="1:48" ht="15" customHeight="1" x14ac:dyDescent="0.25">
      <c r="A2988" s="19">
        <v>31949</v>
      </c>
      <c r="B2988" s="20" t="s">
        <v>24</v>
      </c>
      <c r="C2988" s="20" t="s">
        <v>4846</v>
      </c>
      <c r="D2988" s="20" t="s">
        <v>5142</v>
      </c>
      <c r="E2988" s="20" t="s">
        <v>5143</v>
      </c>
      <c r="F2988" s="20">
        <v>35.52881</v>
      </c>
      <c r="G2988" s="20">
        <v>45.47936</v>
      </c>
      <c r="H2988" s="22">
        <v>88</v>
      </c>
      <c r="I2988" s="22">
        <v>528</v>
      </c>
      <c r="J2988" s="21">
        <v>16</v>
      </c>
      <c r="K2988" s="21">
        <v>2</v>
      </c>
      <c r="L2988" s="21">
        <v>38</v>
      </c>
      <c r="M2988" s="21"/>
      <c r="N2988" s="21"/>
      <c r="O2988" s="21">
        <v>9</v>
      </c>
      <c r="P2988" s="21"/>
      <c r="Q2988" s="21"/>
      <c r="R2988" s="21"/>
      <c r="S2988" s="21"/>
      <c r="T2988" s="21"/>
      <c r="U2988" s="21"/>
      <c r="V2988" s="21">
        <v>6</v>
      </c>
      <c r="W2988" s="21"/>
      <c r="X2988" s="21">
        <v>17</v>
      </c>
      <c r="Y2988" s="21"/>
      <c r="Z2988" s="21"/>
      <c r="AA2988" s="21"/>
      <c r="AB2988" s="21"/>
      <c r="AC2988" s="21"/>
      <c r="AD2988" s="21"/>
      <c r="AE2988" s="21"/>
      <c r="AF2988" s="21"/>
      <c r="AG2988" s="21"/>
      <c r="AH2988" s="21">
        <v>88</v>
      </c>
      <c r="AI2988" s="21"/>
      <c r="AJ2988" s="21"/>
      <c r="AK2988" s="21"/>
      <c r="AL2988" s="21">
        <v>3</v>
      </c>
      <c r="AM2988" s="21">
        <v>6</v>
      </c>
      <c r="AN2988" s="21"/>
      <c r="AO2988" s="21">
        <v>11</v>
      </c>
      <c r="AP2988" s="21">
        <v>5</v>
      </c>
      <c r="AQ2988" s="21">
        <v>36</v>
      </c>
      <c r="AR2988" s="21">
        <v>19</v>
      </c>
      <c r="AS2988" s="21">
        <v>8</v>
      </c>
      <c r="AT2988" s="12" t="str">
        <f>HYPERLINK("http://www.openstreetmap.org/?mlat=35.5288&amp;mlon=45.4794&amp;zoom=12#map=12/35.5288/45.4794","Maplink1")</f>
        <v>Maplink1</v>
      </c>
      <c r="AU2988" s="12" t="str">
        <f>HYPERLINK("https://www.google.iq/maps/search/+35.5288,45.4794/@35.5288,45.4794,14z?hl=en","Maplink2")</f>
        <v>Maplink2</v>
      </c>
      <c r="AV2988" s="12" t="str">
        <f>HYPERLINK("http://www.bing.com/maps/?lvl=14&amp;sty=h&amp;cp=35.5288~45.4794&amp;sp=point.35.5288_45.4794","Maplink3")</f>
        <v>Maplink3</v>
      </c>
    </row>
    <row r="2989" spans="1:48" ht="15" customHeight="1" x14ac:dyDescent="0.25">
      <c r="A2989" s="19">
        <v>4441</v>
      </c>
      <c r="B2989" s="20" t="s">
        <v>24</v>
      </c>
      <c r="C2989" s="20" t="s">
        <v>4846</v>
      </c>
      <c r="D2989" s="20" t="s">
        <v>5144</v>
      </c>
      <c r="E2989" s="20" t="s">
        <v>5145</v>
      </c>
      <c r="F2989" s="20">
        <v>35.579062370000003</v>
      </c>
      <c r="G2989" s="20">
        <v>45.38701073</v>
      </c>
      <c r="H2989" s="22">
        <v>332</v>
      </c>
      <c r="I2989" s="22">
        <v>1992</v>
      </c>
      <c r="J2989" s="21">
        <v>212</v>
      </c>
      <c r="K2989" s="21">
        <v>2</v>
      </c>
      <c r="L2989" s="21">
        <v>49</v>
      </c>
      <c r="M2989" s="21"/>
      <c r="N2989" s="21"/>
      <c r="O2989" s="21">
        <v>16</v>
      </c>
      <c r="P2989" s="21"/>
      <c r="Q2989" s="21"/>
      <c r="R2989" s="21">
        <v>14</v>
      </c>
      <c r="S2989" s="21"/>
      <c r="T2989" s="21"/>
      <c r="U2989" s="21"/>
      <c r="V2989" s="21">
        <v>26</v>
      </c>
      <c r="W2989" s="21"/>
      <c r="X2989" s="21">
        <v>13</v>
      </c>
      <c r="Y2989" s="21"/>
      <c r="Z2989" s="21"/>
      <c r="AA2989" s="21"/>
      <c r="AB2989" s="21"/>
      <c r="AC2989" s="21"/>
      <c r="AD2989" s="21"/>
      <c r="AE2989" s="21"/>
      <c r="AF2989" s="21"/>
      <c r="AG2989" s="21"/>
      <c r="AH2989" s="21">
        <v>332</v>
      </c>
      <c r="AI2989" s="21"/>
      <c r="AJ2989" s="21"/>
      <c r="AK2989" s="21"/>
      <c r="AL2989" s="21">
        <v>16</v>
      </c>
      <c r="AM2989" s="21">
        <v>29</v>
      </c>
      <c r="AN2989" s="21">
        <v>24</v>
      </c>
      <c r="AO2989" s="21">
        <v>72</v>
      </c>
      <c r="AP2989" s="21">
        <v>101</v>
      </c>
      <c r="AQ2989" s="21">
        <v>48</v>
      </c>
      <c r="AR2989" s="21">
        <v>7</v>
      </c>
      <c r="AS2989" s="21">
        <v>35</v>
      </c>
      <c r="AT2989" s="12" t="str">
        <f>HYPERLINK("http://www.openstreetmap.org/?mlat=35.5791&amp;mlon=45.387&amp;zoom=12#map=12/35.5791/45.387","Maplink1")</f>
        <v>Maplink1</v>
      </c>
      <c r="AU2989" s="12" t="str">
        <f>HYPERLINK("https://www.google.iq/maps/search/+35.5791,45.387/@35.5791,45.387,14z?hl=en","Maplink2")</f>
        <v>Maplink2</v>
      </c>
      <c r="AV2989" s="12" t="str">
        <f>HYPERLINK("http://www.bing.com/maps/?lvl=14&amp;sty=h&amp;cp=35.5791~45.387&amp;sp=point.35.5791_45.387","Maplink3")</f>
        <v>Maplink3</v>
      </c>
    </row>
    <row r="2990" spans="1:48" ht="15" customHeight="1" x14ac:dyDescent="0.25">
      <c r="A2990" s="19">
        <v>24258</v>
      </c>
      <c r="B2990" s="20" t="s">
        <v>24</v>
      </c>
      <c r="C2990" s="20" t="s">
        <v>4846</v>
      </c>
      <c r="D2990" s="20" t="s">
        <v>5146</v>
      </c>
      <c r="E2990" s="20" t="s">
        <v>5147</v>
      </c>
      <c r="F2990" s="20">
        <v>35.540880850000001</v>
      </c>
      <c r="G2990" s="20">
        <v>45.477370639999997</v>
      </c>
      <c r="H2990" s="22">
        <v>19</v>
      </c>
      <c r="I2990" s="22">
        <v>114</v>
      </c>
      <c r="J2990" s="21">
        <v>6</v>
      </c>
      <c r="K2990" s="21"/>
      <c r="L2990" s="21">
        <v>4</v>
      </c>
      <c r="M2990" s="21"/>
      <c r="N2990" s="21"/>
      <c r="O2990" s="21">
        <v>1</v>
      </c>
      <c r="P2990" s="21"/>
      <c r="Q2990" s="21"/>
      <c r="R2990" s="21"/>
      <c r="S2990" s="21"/>
      <c r="T2990" s="21"/>
      <c r="U2990" s="21"/>
      <c r="V2990" s="21">
        <v>3</v>
      </c>
      <c r="W2990" s="21"/>
      <c r="X2990" s="21">
        <v>5</v>
      </c>
      <c r="Y2990" s="21"/>
      <c r="Z2990" s="21"/>
      <c r="AA2990" s="21"/>
      <c r="AB2990" s="21"/>
      <c r="AC2990" s="21"/>
      <c r="AD2990" s="21"/>
      <c r="AE2990" s="21"/>
      <c r="AF2990" s="21"/>
      <c r="AG2990" s="21"/>
      <c r="AH2990" s="21">
        <v>19</v>
      </c>
      <c r="AI2990" s="21"/>
      <c r="AJ2990" s="21"/>
      <c r="AK2990" s="21"/>
      <c r="AL2990" s="21">
        <v>2</v>
      </c>
      <c r="AM2990" s="21">
        <v>1</v>
      </c>
      <c r="AN2990" s="21">
        <v>1</v>
      </c>
      <c r="AO2990" s="21">
        <v>11</v>
      </c>
      <c r="AP2990" s="21">
        <v>2</v>
      </c>
      <c r="AQ2990" s="21"/>
      <c r="AR2990" s="21">
        <v>2</v>
      </c>
      <c r="AS2990" s="21"/>
      <c r="AT2990" s="12" t="str">
        <f>HYPERLINK("http://www.openstreetmap.org/?mlat=35.5409&amp;mlon=45.4774&amp;zoom=12#map=12/35.5409/45.4774","Maplink1")</f>
        <v>Maplink1</v>
      </c>
      <c r="AU2990" s="12" t="str">
        <f>HYPERLINK("https://www.google.iq/maps/search/+35.5409,45.4774/@35.5409,45.4774,14z?hl=en","Maplink2")</f>
        <v>Maplink2</v>
      </c>
      <c r="AV2990" s="12" t="str">
        <f>HYPERLINK("http://www.bing.com/maps/?lvl=14&amp;sty=h&amp;cp=35.5409~45.4774&amp;sp=point.35.5409_45.4774","Maplink3")</f>
        <v>Maplink3</v>
      </c>
    </row>
    <row r="2991" spans="1:48" ht="15" customHeight="1" x14ac:dyDescent="0.25">
      <c r="A2991" s="19">
        <v>24961</v>
      </c>
      <c r="B2991" s="20" t="s">
        <v>24</v>
      </c>
      <c r="C2991" s="20" t="s">
        <v>4846</v>
      </c>
      <c r="D2991" s="20" t="s">
        <v>5148</v>
      </c>
      <c r="E2991" s="20" t="s">
        <v>5149</v>
      </c>
      <c r="F2991" s="20">
        <v>35.588070160000001</v>
      </c>
      <c r="G2991" s="20">
        <v>45.43121644</v>
      </c>
      <c r="H2991" s="22">
        <v>59</v>
      </c>
      <c r="I2991" s="22">
        <v>354</v>
      </c>
      <c r="J2991" s="21">
        <v>25</v>
      </c>
      <c r="K2991" s="21">
        <v>2</v>
      </c>
      <c r="L2991" s="21">
        <v>13</v>
      </c>
      <c r="M2991" s="21"/>
      <c r="N2991" s="21"/>
      <c r="O2991" s="21">
        <v>4</v>
      </c>
      <c r="P2991" s="21"/>
      <c r="Q2991" s="21"/>
      <c r="R2991" s="21">
        <v>8</v>
      </c>
      <c r="S2991" s="21"/>
      <c r="T2991" s="21"/>
      <c r="U2991" s="21"/>
      <c r="V2991" s="21">
        <v>3</v>
      </c>
      <c r="W2991" s="21"/>
      <c r="X2991" s="21">
        <v>4</v>
      </c>
      <c r="Y2991" s="21"/>
      <c r="Z2991" s="21"/>
      <c r="AA2991" s="21"/>
      <c r="AB2991" s="21"/>
      <c r="AC2991" s="21"/>
      <c r="AD2991" s="21"/>
      <c r="AE2991" s="21"/>
      <c r="AF2991" s="21"/>
      <c r="AG2991" s="21"/>
      <c r="AH2991" s="21">
        <v>59</v>
      </c>
      <c r="AI2991" s="21"/>
      <c r="AJ2991" s="21"/>
      <c r="AK2991" s="21"/>
      <c r="AL2991" s="21">
        <v>4</v>
      </c>
      <c r="AM2991" s="21">
        <v>11</v>
      </c>
      <c r="AN2991" s="21">
        <v>13</v>
      </c>
      <c r="AO2991" s="21">
        <v>10</v>
      </c>
      <c r="AP2991" s="21">
        <v>7</v>
      </c>
      <c r="AQ2991" s="21">
        <v>5</v>
      </c>
      <c r="AR2991" s="21">
        <v>1</v>
      </c>
      <c r="AS2991" s="21">
        <v>8</v>
      </c>
      <c r="AT2991" s="12" t="str">
        <f>HYPERLINK("http://www.openstreetmap.org/?mlat=35.5881&amp;mlon=45.4312&amp;zoom=12#map=12/35.5881/45.4312","Maplink1")</f>
        <v>Maplink1</v>
      </c>
      <c r="AU2991" s="12" t="str">
        <f>HYPERLINK("https://www.google.iq/maps/search/+35.5881,45.4312/@35.5881,45.4312,14z?hl=en","Maplink2")</f>
        <v>Maplink2</v>
      </c>
      <c r="AV2991" s="12" t="str">
        <f>HYPERLINK("http://www.bing.com/maps/?lvl=14&amp;sty=h&amp;cp=35.5881~45.4312&amp;sp=point.35.5881_45.4312","Maplink3")</f>
        <v>Maplink3</v>
      </c>
    </row>
    <row r="2992" spans="1:48" ht="15" customHeight="1" x14ac:dyDescent="0.25">
      <c r="A2992" s="19">
        <v>21023</v>
      </c>
      <c r="B2992" s="20" t="s">
        <v>24</v>
      </c>
      <c r="C2992" s="20" t="s">
        <v>4846</v>
      </c>
      <c r="D2992" s="20" t="s">
        <v>5150</v>
      </c>
      <c r="E2992" s="20" t="s">
        <v>5151</v>
      </c>
      <c r="F2992" s="20">
        <v>35.547724700000003</v>
      </c>
      <c r="G2992" s="20">
        <v>45.434263100000003</v>
      </c>
      <c r="H2992" s="22">
        <v>44</v>
      </c>
      <c r="I2992" s="22">
        <v>264</v>
      </c>
      <c r="J2992" s="21">
        <v>23</v>
      </c>
      <c r="K2992" s="21"/>
      <c r="L2992" s="21">
        <v>10</v>
      </c>
      <c r="M2992" s="21"/>
      <c r="N2992" s="21"/>
      <c r="O2992" s="21">
        <v>1</v>
      </c>
      <c r="P2992" s="21"/>
      <c r="Q2992" s="21"/>
      <c r="R2992" s="21">
        <v>2</v>
      </c>
      <c r="S2992" s="21"/>
      <c r="T2992" s="21"/>
      <c r="U2992" s="21"/>
      <c r="V2992" s="21"/>
      <c r="W2992" s="21"/>
      <c r="X2992" s="21">
        <v>8</v>
      </c>
      <c r="Y2992" s="21"/>
      <c r="Z2992" s="21"/>
      <c r="AA2992" s="21"/>
      <c r="AB2992" s="21"/>
      <c r="AC2992" s="21"/>
      <c r="AD2992" s="21"/>
      <c r="AE2992" s="21"/>
      <c r="AF2992" s="21"/>
      <c r="AG2992" s="21"/>
      <c r="AH2992" s="21">
        <v>44</v>
      </c>
      <c r="AI2992" s="21"/>
      <c r="AJ2992" s="21"/>
      <c r="AK2992" s="21"/>
      <c r="AL2992" s="21">
        <v>6</v>
      </c>
      <c r="AM2992" s="21">
        <v>5</v>
      </c>
      <c r="AN2992" s="21">
        <v>3</v>
      </c>
      <c r="AO2992" s="21">
        <v>7</v>
      </c>
      <c r="AP2992" s="21">
        <v>9</v>
      </c>
      <c r="AQ2992" s="21">
        <v>12</v>
      </c>
      <c r="AR2992" s="21"/>
      <c r="AS2992" s="21">
        <v>2</v>
      </c>
      <c r="AT2992" s="12" t="str">
        <f>HYPERLINK("http://www.openstreetmap.org/?mlat=35.5477&amp;mlon=45.4343&amp;zoom=12#map=12/35.5477/45.4343","Maplink1")</f>
        <v>Maplink1</v>
      </c>
      <c r="AU2992" s="12" t="str">
        <f>HYPERLINK("https://www.google.iq/maps/search/+35.5477,45.4343/@35.5477,45.4343,14z?hl=en","Maplink2")</f>
        <v>Maplink2</v>
      </c>
      <c r="AV2992" s="12" t="str">
        <f>HYPERLINK("http://www.bing.com/maps/?lvl=14&amp;sty=h&amp;cp=35.5477~45.4343&amp;sp=point.35.5477_45.4343","Maplink3")</f>
        <v>Maplink3</v>
      </c>
    </row>
    <row r="2993" spans="1:48" ht="15" customHeight="1" x14ac:dyDescent="0.25">
      <c r="A2993" s="19">
        <v>24255</v>
      </c>
      <c r="B2993" s="20" t="s">
        <v>24</v>
      </c>
      <c r="C2993" s="20" t="s">
        <v>4846</v>
      </c>
      <c r="D2993" s="20" t="s">
        <v>5152</v>
      </c>
      <c r="E2993" s="20" t="s">
        <v>5153</v>
      </c>
      <c r="F2993" s="20">
        <v>35.582718540000002</v>
      </c>
      <c r="G2993" s="20">
        <v>45.411308140000003</v>
      </c>
      <c r="H2993" s="22">
        <v>91</v>
      </c>
      <c r="I2993" s="22">
        <v>546</v>
      </c>
      <c r="J2993" s="21">
        <v>31</v>
      </c>
      <c r="K2993" s="21">
        <v>3</v>
      </c>
      <c r="L2993" s="21">
        <v>38</v>
      </c>
      <c r="M2993" s="21"/>
      <c r="N2993" s="21"/>
      <c r="O2993" s="21">
        <v>3</v>
      </c>
      <c r="P2993" s="21"/>
      <c r="Q2993" s="21"/>
      <c r="R2993" s="21"/>
      <c r="S2993" s="21"/>
      <c r="T2993" s="21"/>
      <c r="U2993" s="21"/>
      <c r="V2993" s="21">
        <v>5</v>
      </c>
      <c r="W2993" s="21"/>
      <c r="X2993" s="21">
        <v>11</v>
      </c>
      <c r="Y2993" s="21"/>
      <c r="Z2993" s="21"/>
      <c r="AA2993" s="21"/>
      <c r="AB2993" s="21"/>
      <c r="AC2993" s="21"/>
      <c r="AD2993" s="21"/>
      <c r="AE2993" s="21"/>
      <c r="AF2993" s="21"/>
      <c r="AG2993" s="21"/>
      <c r="AH2993" s="21">
        <v>91</v>
      </c>
      <c r="AI2993" s="21"/>
      <c r="AJ2993" s="21"/>
      <c r="AK2993" s="21"/>
      <c r="AL2993" s="21">
        <v>6</v>
      </c>
      <c r="AM2993" s="21">
        <v>19</v>
      </c>
      <c r="AN2993" s="21">
        <v>14</v>
      </c>
      <c r="AO2993" s="21">
        <v>21</v>
      </c>
      <c r="AP2993" s="21">
        <v>11</v>
      </c>
      <c r="AQ2993" s="21">
        <v>20</v>
      </c>
      <c r="AR2993" s="21"/>
      <c r="AS2993" s="21"/>
      <c r="AT2993" s="12" t="str">
        <f>HYPERLINK("http://www.openstreetmap.org/?mlat=35.5827&amp;mlon=45.4113&amp;zoom=12#map=12/35.5827/45.4113","Maplink1")</f>
        <v>Maplink1</v>
      </c>
      <c r="AU2993" s="12" t="str">
        <f>HYPERLINK("https://www.google.iq/maps/search/+35.5827,45.4113/@35.5827,45.4113,14z?hl=en","Maplink2")</f>
        <v>Maplink2</v>
      </c>
      <c r="AV2993" s="12" t="str">
        <f>HYPERLINK("http://www.bing.com/maps/?lvl=14&amp;sty=h&amp;cp=35.5827~45.4113&amp;sp=point.35.5827_45.4113","Maplink3")</f>
        <v>Maplink3</v>
      </c>
    </row>
    <row r="2994" spans="1:48" ht="15" customHeight="1" x14ac:dyDescent="0.25">
      <c r="A2994" s="19">
        <v>24815</v>
      </c>
      <c r="B2994" s="20" t="s">
        <v>24</v>
      </c>
      <c r="C2994" s="20" t="s">
        <v>4846</v>
      </c>
      <c r="D2994" s="20" t="s">
        <v>5154</v>
      </c>
      <c r="E2994" s="20" t="s">
        <v>5155</v>
      </c>
      <c r="F2994" s="20">
        <v>35.606815099999999</v>
      </c>
      <c r="G2994" s="20">
        <v>45.343851100000002</v>
      </c>
      <c r="H2994" s="22">
        <v>131</v>
      </c>
      <c r="I2994" s="22">
        <v>786</v>
      </c>
      <c r="J2994" s="21">
        <v>20</v>
      </c>
      <c r="K2994" s="21"/>
      <c r="L2994" s="21">
        <v>6</v>
      </c>
      <c r="M2994" s="21"/>
      <c r="N2994" s="21"/>
      <c r="O2994" s="21">
        <v>3</v>
      </c>
      <c r="P2994" s="21"/>
      <c r="Q2994" s="21"/>
      <c r="R2994" s="21"/>
      <c r="S2994" s="21"/>
      <c r="T2994" s="21"/>
      <c r="U2994" s="21"/>
      <c r="V2994" s="21">
        <v>4</v>
      </c>
      <c r="W2994" s="21"/>
      <c r="X2994" s="21">
        <v>98</v>
      </c>
      <c r="Y2994" s="21"/>
      <c r="Z2994" s="21"/>
      <c r="AA2994" s="21"/>
      <c r="AB2994" s="21"/>
      <c r="AC2994" s="21"/>
      <c r="AD2994" s="21"/>
      <c r="AE2994" s="21"/>
      <c r="AF2994" s="21"/>
      <c r="AG2994" s="21"/>
      <c r="AH2994" s="21">
        <v>131</v>
      </c>
      <c r="AI2994" s="21"/>
      <c r="AJ2994" s="21"/>
      <c r="AK2994" s="21"/>
      <c r="AL2994" s="21">
        <v>9</v>
      </c>
      <c r="AM2994" s="21">
        <v>71</v>
      </c>
      <c r="AN2994" s="21">
        <v>14</v>
      </c>
      <c r="AO2994" s="21">
        <v>7</v>
      </c>
      <c r="AP2994" s="21"/>
      <c r="AQ2994" s="21"/>
      <c r="AR2994" s="21"/>
      <c r="AS2994" s="21">
        <v>30</v>
      </c>
      <c r="AT2994" s="12" t="str">
        <f>HYPERLINK("http://www.openstreetmap.org/?mlat=35.6068&amp;mlon=45.3439&amp;zoom=12#map=12/35.6068/45.3439","Maplink1")</f>
        <v>Maplink1</v>
      </c>
      <c r="AU2994" s="12" t="str">
        <f>HYPERLINK("https://www.google.iq/maps/search/+35.6068,45.3439/@35.6068,45.3439,14z?hl=en","Maplink2")</f>
        <v>Maplink2</v>
      </c>
      <c r="AV2994" s="12" t="str">
        <f>HYPERLINK("http://www.bing.com/maps/?lvl=14&amp;sty=h&amp;cp=35.6068~45.3439&amp;sp=point.35.6068_45.3439","Maplink3")</f>
        <v>Maplink3</v>
      </c>
    </row>
    <row r="2995" spans="1:48" ht="15" customHeight="1" x14ac:dyDescent="0.25">
      <c r="A2995" s="19">
        <v>4575</v>
      </c>
      <c r="B2995" s="20" t="s">
        <v>24</v>
      </c>
      <c r="C2995" s="20" t="s">
        <v>4846</v>
      </c>
      <c r="D2995" s="20" t="s">
        <v>6211</v>
      </c>
      <c r="E2995" s="20" t="s">
        <v>6212</v>
      </c>
      <c r="F2995" s="20">
        <v>35.219579349999997</v>
      </c>
      <c r="G2995" s="20">
        <v>45.498358109999998</v>
      </c>
      <c r="H2995" s="22">
        <v>2</v>
      </c>
      <c r="I2995" s="22">
        <v>12</v>
      </c>
      <c r="J2995" s="21"/>
      <c r="K2995" s="21"/>
      <c r="L2995" s="21"/>
      <c r="M2995" s="21"/>
      <c r="N2995" s="21"/>
      <c r="O2995" s="21"/>
      <c r="P2995" s="21"/>
      <c r="Q2995" s="21"/>
      <c r="R2995" s="21"/>
      <c r="S2995" s="21"/>
      <c r="T2995" s="21"/>
      <c r="U2995" s="21"/>
      <c r="V2995" s="21"/>
      <c r="W2995" s="21"/>
      <c r="X2995" s="21">
        <v>2</v>
      </c>
      <c r="Y2995" s="21"/>
      <c r="Z2995" s="21"/>
      <c r="AA2995" s="21"/>
      <c r="AB2995" s="21"/>
      <c r="AC2995" s="21"/>
      <c r="AD2995" s="21"/>
      <c r="AE2995" s="21"/>
      <c r="AF2995" s="21"/>
      <c r="AG2995" s="21"/>
      <c r="AH2995" s="21">
        <v>2</v>
      </c>
      <c r="AI2995" s="21"/>
      <c r="AJ2995" s="21"/>
      <c r="AK2995" s="21"/>
      <c r="AL2995" s="21"/>
      <c r="AM2995" s="21"/>
      <c r="AN2995" s="21"/>
      <c r="AO2995" s="21"/>
      <c r="AP2995" s="21"/>
      <c r="AQ2995" s="21"/>
      <c r="AR2995" s="21"/>
      <c r="AS2995" s="21">
        <v>2</v>
      </c>
      <c r="AT2995" s="12" t="str">
        <f>HYPERLINK("http://www.openstreetmap.org/?mlat=35.2196&amp;mlon=45.4984&amp;zoom=12#map=12/35.2196/45.4984","Maplink1")</f>
        <v>Maplink1</v>
      </c>
      <c r="AU2995" s="12" t="str">
        <f>HYPERLINK("https://www.google.iq/maps/search/+35.2196,45.4984/@35.2196,45.4984,14z?hl=en","Maplink2")</f>
        <v>Maplink2</v>
      </c>
      <c r="AV2995" s="12" t="str">
        <f>HYPERLINK("http://www.bing.com/maps/?lvl=14&amp;sty=h&amp;cp=35.2196~45.4984&amp;sp=point.35.2196_45.4984","Maplink3")</f>
        <v>Maplink3</v>
      </c>
    </row>
    <row r="2996" spans="1:48" ht="15" customHeight="1" x14ac:dyDescent="0.25">
      <c r="A2996" s="19">
        <v>32067</v>
      </c>
      <c r="B2996" s="20" t="s">
        <v>24</v>
      </c>
      <c r="C2996" s="20" t="s">
        <v>4846</v>
      </c>
      <c r="D2996" s="20" t="s">
        <v>5156</v>
      </c>
      <c r="E2996" s="20" t="s">
        <v>5157</v>
      </c>
      <c r="F2996" s="20">
        <v>35.555970000000002</v>
      </c>
      <c r="G2996" s="20">
        <v>45.348689999999998</v>
      </c>
      <c r="H2996" s="22">
        <v>190</v>
      </c>
      <c r="I2996" s="22">
        <v>1140</v>
      </c>
      <c r="J2996" s="21">
        <v>41</v>
      </c>
      <c r="K2996" s="21">
        <v>2</v>
      </c>
      <c r="L2996" s="21">
        <v>33</v>
      </c>
      <c r="M2996" s="21"/>
      <c r="N2996" s="21"/>
      <c r="O2996" s="21">
        <v>16</v>
      </c>
      <c r="P2996" s="21"/>
      <c r="Q2996" s="21"/>
      <c r="R2996" s="21">
        <v>63</v>
      </c>
      <c r="S2996" s="21"/>
      <c r="T2996" s="21"/>
      <c r="U2996" s="21"/>
      <c r="V2996" s="21">
        <v>10</v>
      </c>
      <c r="W2996" s="21"/>
      <c r="X2996" s="21">
        <v>25</v>
      </c>
      <c r="Y2996" s="21"/>
      <c r="Z2996" s="21"/>
      <c r="AA2996" s="21"/>
      <c r="AB2996" s="21"/>
      <c r="AC2996" s="21"/>
      <c r="AD2996" s="21"/>
      <c r="AE2996" s="21"/>
      <c r="AF2996" s="21"/>
      <c r="AG2996" s="21"/>
      <c r="AH2996" s="21">
        <v>190</v>
      </c>
      <c r="AI2996" s="21"/>
      <c r="AJ2996" s="21"/>
      <c r="AK2996" s="21"/>
      <c r="AL2996" s="21">
        <v>18</v>
      </c>
      <c r="AM2996" s="21">
        <v>42</v>
      </c>
      <c r="AN2996" s="21">
        <v>17</v>
      </c>
      <c r="AO2996" s="21">
        <v>19</v>
      </c>
      <c r="AP2996" s="21">
        <v>8</v>
      </c>
      <c r="AQ2996" s="21">
        <v>5</v>
      </c>
      <c r="AR2996" s="21">
        <v>6</v>
      </c>
      <c r="AS2996" s="21">
        <v>75</v>
      </c>
      <c r="AT2996" s="12" t="str">
        <f>HYPERLINK("http://www.openstreetmap.org/?mlat=35.556&amp;mlon=45.3487&amp;zoom=12#map=12/35.556/45.3487","Maplink1")</f>
        <v>Maplink1</v>
      </c>
      <c r="AU2996" s="12" t="str">
        <f>HYPERLINK("https://www.google.iq/maps/search/+35.556,45.3487/@35.556,45.3487,14z?hl=en","Maplink2")</f>
        <v>Maplink2</v>
      </c>
      <c r="AV2996" s="12" t="str">
        <f>HYPERLINK("http://www.bing.com/maps/?lvl=14&amp;sty=h&amp;cp=35.556~45.3487&amp;sp=point.35.556_45.3487","Maplink3")</f>
        <v>Maplink3</v>
      </c>
    </row>
    <row r="2997" spans="1:48" ht="15" customHeight="1" x14ac:dyDescent="0.25">
      <c r="A2997" s="19">
        <v>33379</v>
      </c>
      <c r="B2997" s="20" t="s">
        <v>24</v>
      </c>
      <c r="C2997" s="20" t="s">
        <v>4846</v>
      </c>
      <c r="D2997" s="20" t="s">
        <v>5905</v>
      </c>
      <c r="E2997" s="20" t="s">
        <v>5906</v>
      </c>
      <c r="F2997" s="20">
        <v>35.563809999999997</v>
      </c>
      <c r="G2997" s="20">
        <v>45.45729</v>
      </c>
      <c r="H2997" s="22">
        <v>34</v>
      </c>
      <c r="I2997" s="22">
        <v>204</v>
      </c>
      <c r="J2997" s="21">
        <v>7</v>
      </c>
      <c r="K2997" s="21">
        <v>9</v>
      </c>
      <c r="L2997" s="21">
        <v>8</v>
      </c>
      <c r="M2997" s="21"/>
      <c r="N2997" s="21"/>
      <c r="O2997" s="21">
        <v>4</v>
      </c>
      <c r="P2997" s="21"/>
      <c r="Q2997" s="21"/>
      <c r="R2997" s="21"/>
      <c r="S2997" s="21"/>
      <c r="T2997" s="21"/>
      <c r="U2997" s="21"/>
      <c r="V2997" s="21"/>
      <c r="W2997" s="21"/>
      <c r="X2997" s="21">
        <v>6</v>
      </c>
      <c r="Y2997" s="21"/>
      <c r="Z2997" s="21"/>
      <c r="AA2997" s="21"/>
      <c r="AB2997" s="21"/>
      <c r="AC2997" s="21"/>
      <c r="AD2997" s="21"/>
      <c r="AE2997" s="21"/>
      <c r="AF2997" s="21"/>
      <c r="AG2997" s="21"/>
      <c r="AH2997" s="21">
        <v>34</v>
      </c>
      <c r="AI2997" s="21"/>
      <c r="AJ2997" s="21"/>
      <c r="AK2997" s="21"/>
      <c r="AL2997" s="21">
        <v>9</v>
      </c>
      <c r="AM2997" s="21">
        <v>16</v>
      </c>
      <c r="AN2997" s="21"/>
      <c r="AO2997" s="21"/>
      <c r="AP2997" s="21">
        <v>4</v>
      </c>
      <c r="AQ2997" s="21">
        <v>4</v>
      </c>
      <c r="AR2997" s="21"/>
      <c r="AS2997" s="21">
        <v>1</v>
      </c>
      <c r="AT2997" s="12" t="str">
        <f>HYPERLINK("http://www.openstreetmap.org/?mlat=35.5638&amp;mlon=45.4573&amp;zoom=12#map=12/35.5638/45.4573","Maplink1")</f>
        <v>Maplink1</v>
      </c>
      <c r="AU2997" s="12" t="str">
        <f>HYPERLINK("https://www.google.iq/maps/search/+35.5638,45.4573/@35.5638,45.4573,14z?hl=en","Maplink2")</f>
        <v>Maplink2</v>
      </c>
      <c r="AV2997" s="12" t="str">
        <f>HYPERLINK("http://www.bing.com/maps/?lvl=14&amp;sty=h&amp;cp=35.5638~45.4573&amp;sp=point.35.5638_45.4573","Maplink3")</f>
        <v>Maplink3</v>
      </c>
    </row>
    <row r="2998" spans="1:48" ht="15" customHeight="1" x14ac:dyDescent="0.25">
      <c r="A2998" s="19">
        <v>24902</v>
      </c>
      <c r="B2998" s="20" t="s">
        <v>24</v>
      </c>
      <c r="C2998" s="20" t="s">
        <v>4846</v>
      </c>
      <c r="D2998" s="20" t="s">
        <v>5158</v>
      </c>
      <c r="E2998" s="20" t="s">
        <v>5159</v>
      </c>
      <c r="F2998" s="20">
        <v>35.569191719999999</v>
      </c>
      <c r="G2998" s="20">
        <v>45.379567870000002</v>
      </c>
      <c r="H2998" s="22">
        <v>34</v>
      </c>
      <c r="I2998" s="22">
        <v>204</v>
      </c>
      <c r="J2998" s="21">
        <v>1</v>
      </c>
      <c r="K2998" s="21"/>
      <c r="L2998" s="21">
        <v>13</v>
      </c>
      <c r="M2998" s="21"/>
      <c r="N2998" s="21"/>
      <c r="O2998" s="21">
        <v>5</v>
      </c>
      <c r="P2998" s="21"/>
      <c r="Q2998" s="21"/>
      <c r="R2998" s="21">
        <v>8</v>
      </c>
      <c r="S2998" s="21"/>
      <c r="T2998" s="21"/>
      <c r="U2998" s="21"/>
      <c r="V2998" s="21">
        <v>1</v>
      </c>
      <c r="W2998" s="21"/>
      <c r="X2998" s="21">
        <v>6</v>
      </c>
      <c r="Y2998" s="21"/>
      <c r="Z2998" s="21"/>
      <c r="AA2998" s="21"/>
      <c r="AB2998" s="21"/>
      <c r="AC2998" s="21"/>
      <c r="AD2998" s="21"/>
      <c r="AE2998" s="21"/>
      <c r="AF2998" s="21"/>
      <c r="AG2998" s="21"/>
      <c r="AH2998" s="21">
        <v>34</v>
      </c>
      <c r="AI2998" s="21"/>
      <c r="AJ2998" s="21"/>
      <c r="AK2998" s="21"/>
      <c r="AL2998" s="21"/>
      <c r="AM2998" s="21">
        <v>5</v>
      </c>
      <c r="AN2998" s="21"/>
      <c r="AO2998" s="21">
        <v>2</v>
      </c>
      <c r="AP2998" s="21">
        <v>2</v>
      </c>
      <c r="AQ2998" s="21">
        <v>2</v>
      </c>
      <c r="AR2998" s="21">
        <v>2</v>
      </c>
      <c r="AS2998" s="21">
        <v>21</v>
      </c>
      <c r="AT2998" s="12" t="str">
        <f>HYPERLINK("http://www.openstreetmap.org/?mlat=35.5692&amp;mlon=45.3796&amp;zoom=12#map=12/35.5692/45.3796","Maplink1")</f>
        <v>Maplink1</v>
      </c>
      <c r="AU2998" s="12" t="str">
        <f>HYPERLINK("https://www.google.iq/maps/search/+35.5692,45.3796/@35.5692,45.3796,14z?hl=en","Maplink2")</f>
        <v>Maplink2</v>
      </c>
      <c r="AV2998" s="12" t="str">
        <f>HYPERLINK("http://www.bing.com/maps/?lvl=14&amp;sty=h&amp;cp=35.5692~45.3796&amp;sp=point.35.5692_45.3796","Maplink3")</f>
        <v>Maplink3</v>
      </c>
    </row>
    <row r="2999" spans="1:48" ht="15" customHeight="1" x14ac:dyDescent="0.25">
      <c r="A2999" s="19">
        <v>5800</v>
      </c>
      <c r="B2999" s="20" t="s">
        <v>24</v>
      </c>
      <c r="C2999" s="20" t="s">
        <v>4846</v>
      </c>
      <c r="D2999" s="20" t="s">
        <v>5160</v>
      </c>
      <c r="E2999" s="20" t="s">
        <v>5161</v>
      </c>
      <c r="F2999" s="20">
        <v>35.528087020000001</v>
      </c>
      <c r="G2999" s="20">
        <v>45.424663700000004</v>
      </c>
      <c r="H2999" s="22">
        <v>50</v>
      </c>
      <c r="I2999" s="22">
        <v>300</v>
      </c>
      <c r="J2999" s="21">
        <v>25</v>
      </c>
      <c r="K2999" s="21"/>
      <c r="L2999" s="21">
        <v>10</v>
      </c>
      <c r="M2999" s="21"/>
      <c r="N2999" s="21"/>
      <c r="O2999" s="21">
        <v>3</v>
      </c>
      <c r="P2999" s="21"/>
      <c r="Q2999" s="21"/>
      <c r="R2999" s="21"/>
      <c r="S2999" s="21"/>
      <c r="T2999" s="21"/>
      <c r="U2999" s="21"/>
      <c r="V2999" s="21">
        <v>6</v>
      </c>
      <c r="W2999" s="21"/>
      <c r="X2999" s="21">
        <v>6</v>
      </c>
      <c r="Y2999" s="21"/>
      <c r="Z2999" s="21"/>
      <c r="AA2999" s="21"/>
      <c r="AB2999" s="21"/>
      <c r="AC2999" s="21"/>
      <c r="AD2999" s="21"/>
      <c r="AE2999" s="21"/>
      <c r="AF2999" s="21"/>
      <c r="AG2999" s="21"/>
      <c r="AH2999" s="21">
        <v>50</v>
      </c>
      <c r="AI2999" s="21"/>
      <c r="AJ2999" s="21"/>
      <c r="AK2999" s="21"/>
      <c r="AL2999" s="21">
        <v>4</v>
      </c>
      <c r="AM2999" s="21">
        <v>15</v>
      </c>
      <c r="AN2999" s="21"/>
      <c r="AO2999" s="21">
        <v>11</v>
      </c>
      <c r="AP2999" s="21">
        <v>7</v>
      </c>
      <c r="AQ2999" s="21">
        <v>10</v>
      </c>
      <c r="AR2999" s="21">
        <v>3</v>
      </c>
      <c r="AS2999" s="21"/>
      <c r="AT2999" s="12" t="str">
        <f>HYPERLINK("http://www.openstreetmap.org/?mlat=35.5281&amp;mlon=45.4247&amp;zoom=12#map=12/35.5281/45.4247","Maplink1")</f>
        <v>Maplink1</v>
      </c>
      <c r="AU2999" s="12" t="str">
        <f>HYPERLINK("https://www.google.iq/maps/search/+35.5281,45.4247/@35.5281,45.4247,14z?hl=en","Maplink2")</f>
        <v>Maplink2</v>
      </c>
      <c r="AV2999" s="12" t="str">
        <f>HYPERLINK("http://www.bing.com/maps/?lvl=14&amp;sty=h&amp;cp=35.5281~45.4247&amp;sp=point.35.5281_45.4247","Maplink3")</f>
        <v>Maplink3</v>
      </c>
    </row>
    <row r="3000" spans="1:48" ht="15" customHeight="1" x14ac:dyDescent="0.25">
      <c r="A3000" s="19">
        <v>32070</v>
      </c>
      <c r="B3000" s="20" t="s">
        <v>24</v>
      </c>
      <c r="C3000" s="20" t="s">
        <v>4846</v>
      </c>
      <c r="D3000" s="20" t="s">
        <v>5162</v>
      </c>
      <c r="E3000" s="20" t="s">
        <v>5163</v>
      </c>
      <c r="F3000" s="20">
        <v>35.559399999999997</v>
      </c>
      <c r="G3000" s="20">
        <v>45.355310000000003</v>
      </c>
      <c r="H3000" s="22">
        <v>118</v>
      </c>
      <c r="I3000" s="22">
        <v>708</v>
      </c>
      <c r="J3000" s="21">
        <v>40</v>
      </c>
      <c r="K3000" s="21"/>
      <c r="L3000" s="21">
        <v>19</v>
      </c>
      <c r="M3000" s="21"/>
      <c r="N3000" s="21"/>
      <c r="O3000" s="21">
        <v>4</v>
      </c>
      <c r="P3000" s="21"/>
      <c r="Q3000" s="21"/>
      <c r="R3000" s="21">
        <v>37</v>
      </c>
      <c r="S3000" s="21"/>
      <c r="T3000" s="21"/>
      <c r="U3000" s="21"/>
      <c r="V3000" s="21"/>
      <c r="W3000" s="21"/>
      <c r="X3000" s="21">
        <v>18</v>
      </c>
      <c r="Y3000" s="21"/>
      <c r="Z3000" s="21"/>
      <c r="AA3000" s="21"/>
      <c r="AB3000" s="21"/>
      <c r="AC3000" s="21"/>
      <c r="AD3000" s="21"/>
      <c r="AE3000" s="21"/>
      <c r="AF3000" s="21"/>
      <c r="AG3000" s="21"/>
      <c r="AH3000" s="21">
        <v>118</v>
      </c>
      <c r="AI3000" s="21"/>
      <c r="AJ3000" s="21"/>
      <c r="AK3000" s="21"/>
      <c r="AL3000" s="21">
        <v>11</v>
      </c>
      <c r="AM3000" s="21">
        <v>14</v>
      </c>
      <c r="AN3000" s="21">
        <v>10</v>
      </c>
      <c r="AO3000" s="21">
        <v>17</v>
      </c>
      <c r="AP3000" s="21">
        <v>7</v>
      </c>
      <c r="AQ3000" s="21">
        <v>10</v>
      </c>
      <c r="AR3000" s="21">
        <v>1</v>
      </c>
      <c r="AS3000" s="21">
        <v>48</v>
      </c>
      <c r="AT3000" s="12" t="str">
        <f>HYPERLINK("http://www.openstreetmap.org/?mlat=35.5594&amp;mlon=45.3553&amp;zoom=12#map=12/35.5594/45.3553","Maplink1")</f>
        <v>Maplink1</v>
      </c>
      <c r="AU3000" s="12" t="str">
        <f>HYPERLINK("https://www.google.iq/maps/search/+35.5594,45.3553/@35.5594,45.3553,14z?hl=en","Maplink2")</f>
        <v>Maplink2</v>
      </c>
      <c r="AV3000" s="12" t="str">
        <f>HYPERLINK("http://www.bing.com/maps/?lvl=14&amp;sty=h&amp;cp=35.5594~45.3553&amp;sp=point.35.5594_45.3553","Maplink3")</f>
        <v>Maplink3</v>
      </c>
    </row>
    <row r="3001" spans="1:48" ht="15" customHeight="1" x14ac:dyDescent="0.25">
      <c r="A3001" s="19">
        <v>31976</v>
      </c>
      <c r="B3001" s="20" t="s">
        <v>24</v>
      </c>
      <c r="C3001" s="20" t="s">
        <v>4846</v>
      </c>
      <c r="D3001" s="20" t="s">
        <v>5164</v>
      </c>
      <c r="E3001" s="20" t="s">
        <v>5165</v>
      </c>
      <c r="F3001" s="20">
        <v>35.525739999999999</v>
      </c>
      <c r="G3001" s="20">
        <v>45.457610000000003</v>
      </c>
      <c r="H3001" s="22">
        <v>17</v>
      </c>
      <c r="I3001" s="22">
        <v>102</v>
      </c>
      <c r="J3001" s="21">
        <v>4</v>
      </c>
      <c r="K3001" s="21"/>
      <c r="L3001" s="21">
        <v>10</v>
      </c>
      <c r="M3001" s="21"/>
      <c r="N3001" s="21"/>
      <c r="O3001" s="21"/>
      <c r="P3001" s="21"/>
      <c r="Q3001" s="21"/>
      <c r="R3001" s="21"/>
      <c r="S3001" s="21"/>
      <c r="T3001" s="21"/>
      <c r="U3001" s="21"/>
      <c r="V3001" s="21">
        <v>3</v>
      </c>
      <c r="W3001" s="21"/>
      <c r="X3001" s="21"/>
      <c r="Y3001" s="21"/>
      <c r="Z3001" s="21"/>
      <c r="AA3001" s="21"/>
      <c r="AB3001" s="21"/>
      <c r="AC3001" s="21"/>
      <c r="AD3001" s="21"/>
      <c r="AE3001" s="21"/>
      <c r="AF3001" s="21"/>
      <c r="AG3001" s="21"/>
      <c r="AH3001" s="21">
        <v>17</v>
      </c>
      <c r="AI3001" s="21"/>
      <c r="AJ3001" s="21"/>
      <c r="AK3001" s="21"/>
      <c r="AL3001" s="21">
        <v>4</v>
      </c>
      <c r="AM3001" s="21">
        <v>5</v>
      </c>
      <c r="AN3001" s="21"/>
      <c r="AO3001" s="21">
        <v>2</v>
      </c>
      <c r="AP3001" s="21">
        <v>2</v>
      </c>
      <c r="AQ3001" s="21"/>
      <c r="AR3001" s="21">
        <v>4</v>
      </c>
      <c r="AS3001" s="21"/>
      <c r="AT3001" s="12" t="str">
        <f>HYPERLINK("http://www.openstreetmap.org/?mlat=35.5257&amp;mlon=45.4576&amp;zoom=12#map=12/35.5257/45.4576","Maplink1")</f>
        <v>Maplink1</v>
      </c>
      <c r="AU3001" s="12" t="str">
        <f>HYPERLINK("https://www.google.iq/maps/search/+35.5257,45.4576/@35.5257,45.4576,14z?hl=en","Maplink2")</f>
        <v>Maplink2</v>
      </c>
      <c r="AV3001" s="12" t="str">
        <f>HYPERLINK("http://www.bing.com/maps/?lvl=14&amp;sty=h&amp;cp=35.5257~45.4576&amp;sp=point.35.5257_45.4576","Maplink3")</f>
        <v>Maplink3</v>
      </c>
    </row>
    <row r="3002" spans="1:48" ht="15" customHeight="1" x14ac:dyDescent="0.25">
      <c r="A3002" s="19">
        <v>31977</v>
      </c>
      <c r="B3002" s="20" t="s">
        <v>24</v>
      </c>
      <c r="C3002" s="20" t="s">
        <v>4846</v>
      </c>
      <c r="D3002" s="20" t="s">
        <v>5166</v>
      </c>
      <c r="E3002" s="20" t="s">
        <v>5167</v>
      </c>
      <c r="F3002" s="20">
        <v>35.528570000000002</v>
      </c>
      <c r="G3002" s="20">
        <v>45.457369999999997</v>
      </c>
      <c r="H3002" s="22">
        <v>21</v>
      </c>
      <c r="I3002" s="22">
        <v>126</v>
      </c>
      <c r="J3002" s="21">
        <v>8</v>
      </c>
      <c r="K3002" s="21"/>
      <c r="L3002" s="21">
        <v>9</v>
      </c>
      <c r="M3002" s="21"/>
      <c r="N3002" s="21"/>
      <c r="O3002" s="21">
        <v>1</v>
      </c>
      <c r="P3002" s="21"/>
      <c r="Q3002" s="21"/>
      <c r="R3002" s="21"/>
      <c r="S3002" s="21"/>
      <c r="T3002" s="21"/>
      <c r="U3002" s="21"/>
      <c r="V3002" s="21"/>
      <c r="W3002" s="21"/>
      <c r="X3002" s="21">
        <v>3</v>
      </c>
      <c r="Y3002" s="21"/>
      <c r="Z3002" s="21"/>
      <c r="AA3002" s="21"/>
      <c r="AB3002" s="21"/>
      <c r="AC3002" s="21"/>
      <c r="AD3002" s="21"/>
      <c r="AE3002" s="21"/>
      <c r="AF3002" s="21"/>
      <c r="AG3002" s="21"/>
      <c r="AH3002" s="21">
        <v>21</v>
      </c>
      <c r="AI3002" s="21"/>
      <c r="AJ3002" s="21"/>
      <c r="AK3002" s="21"/>
      <c r="AL3002" s="21"/>
      <c r="AM3002" s="21">
        <v>8</v>
      </c>
      <c r="AN3002" s="21">
        <v>1</v>
      </c>
      <c r="AO3002" s="21">
        <v>6</v>
      </c>
      <c r="AP3002" s="21">
        <v>2</v>
      </c>
      <c r="AQ3002" s="21">
        <v>3</v>
      </c>
      <c r="AR3002" s="21"/>
      <c r="AS3002" s="21">
        <v>1</v>
      </c>
      <c r="AT3002" s="12" t="str">
        <f>HYPERLINK("http://www.openstreetmap.org/?mlat=35.5286&amp;mlon=45.4574&amp;zoom=12#map=12/35.5286/45.4574","Maplink1")</f>
        <v>Maplink1</v>
      </c>
      <c r="AU3002" s="12" t="str">
        <f>HYPERLINK("https://www.google.iq/maps/search/+35.5286,45.4574/@35.5286,45.4574,14z?hl=en","Maplink2")</f>
        <v>Maplink2</v>
      </c>
      <c r="AV3002" s="12" t="str">
        <f>HYPERLINK("http://www.bing.com/maps/?lvl=14&amp;sty=h&amp;cp=35.5286~45.4574&amp;sp=point.35.5286_45.4574","Maplink3")</f>
        <v>Maplink3</v>
      </c>
    </row>
    <row r="3003" spans="1:48" ht="15" customHeight="1" x14ac:dyDescent="0.25">
      <c r="A3003" s="19">
        <v>21284</v>
      </c>
      <c r="B3003" s="20" t="s">
        <v>24</v>
      </c>
      <c r="C3003" s="20" t="s">
        <v>4846</v>
      </c>
      <c r="D3003" s="20" t="s">
        <v>5840</v>
      </c>
      <c r="E3003" s="20" t="s">
        <v>5841</v>
      </c>
      <c r="F3003" s="20">
        <v>35.555965319999999</v>
      </c>
      <c r="G3003" s="20">
        <v>45.422924940000001</v>
      </c>
      <c r="H3003" s="22">
        <v>38</v>
      </c>
      <c r="I3003" s="22">
        <v>228</v>
      </c>
      <c r="J3003" s="21">
        <v>5</v>
      </c>
      <c r="K3003" s="21">
        <v>4</v>
      </c>
      <c r="L3003" s="21">
        <v>7</v>
      </c>
      <c r="M3003" s="21"/>
      <c r="N3003" s="21"/>
      <c r="O3003" s="21">
        <v>7</v>
      </c>
      <c r="P3003" s="21"/>
      <c r="Q3003" s="21"/>
      <c r="R3003" s="21">
        <v>4</v>
      </c>
      <c r="S3003" s="21"/>
      <c r="T3003" s="21"/>
      <c r="U3003" s="21"/>
      <c r="V3003" s="21">
        <v>8</v>
      </c>
      <c r="W3003" s="21"/>
      <c r="X3003" s="21">
        <v>3</v>
      </c>
      <c r="Y3003" s="21"/>
      <c r="Z3003" s="21"/>
      <c r="AA3003" s="21"/>
      <c r="AB3003" s="21"/>
      <c r="AC3003" s="21"/>
      <c r="AD3003" s="21"/>
      <c r="AE3003" s="21"/>
      <c r="AF3003" s="21"/>
      <c r="AG3003" s="21"/>
      <c r="AH3003" s="21">
        <v>38</v>
      </c>
      <c r="AI3003" s="21"/>
      <c r="AJ3003" s="21"/>
      <c r="AK3003" s="21"/>
      <c r="AL3003" s="21">
        <v>3</v>
      </c>
      <c r="AM3003" s="21">
        <v>2</v>
      </c>
      <c r="AN3003" s="21">
        <v>2</v>
      </c>
      <c r="AO3003" s="21">
        <v>16</v>
      </c>
      <c r="AP3003" s="21">
        <v>2</v>
      </c>
      <c r="AQ3003" s="21">
        <v>1</v>
      </c>
      <c r="AR3003" s="21">
        <v>5</v>
      </c>
      <c r="AS3003" s="21">
        <v>7</v>
      </c>
      <c r="AT3003" s="12" t="str">
        <f>HYPERLINK("http://www.openstreetmap.org/?mlat=35.556&amp;mlon=45.4229&amp;zoom=12#map=12/35.556/45.4229","Maplink1")</f>
        <v>Maplink1</v>
      </c>
      <c r="AU3003" s="12" t="str">
        <f>HYPERLINK("https://www.google.iq/maps/search/+35.556,45.4229/@35.556,45.4229,14z?hl=en","Maplink2")</f>
        <v>Maplink2</v>
      </c>
      <c r="AV3003" s="12" t="str">
        <f>HYPERLINK("http://www.bing.com/maps/?lvl=14&amp;sty=h&amp;cp=35.556~45.4229&amp;sp=point.35.556_45.4229","Maplink3")</f>
        <v>Maplink3</v>
      </c>
    </row>
    <row r="3004" spans="1:48" ht="15" customHeight="1" x14ac:dyDescent="0.25">
      <c r="A3004" s="19">
        <v>31984</v>
      </c>
      <c r="B3004" s="20" t="s">
        <v>24</v>
      </c>
      <c r="C3004" s="20" t="s">
        <v>4846</v>
      </c>
      <c r="D3004" s="20" t="s">
        <v>5168</v>
      </c>
      <c r="E3004" s="20" t="s">
        <v>5169</v>
      </c>
      <c r="F3004" s="20">
        <v>35.570120000000003</v>
      </c>
      <c r="G3004" s="20">
        <v>45.410429999999998</v>
      </c>
      <c r="H3004" s="22">
        <v>10</v>
      </c>
      <c r="I3004" s="22">
        <v>60</v>
      </c>
      <c r="J3004" s="21">
        <v>2</v>
      </c>
      <c r="K3004" s="21"/>
      <c r="L3004" s="21">
        <v>4</v>
      </c>
      <c r="M3004" s="21"/>
      <c r="N3004" s="21"/>
      <c r="O3004" s="21">
        <v>1</v>
      </c>
      <c r="P3004" s="21"/>
      <c r="Q3004" s="21"/>
      <c r="R3004" s="21"/>
      <c r="S3004" s="21"/>
      <c r="T3004" s="21"/>
      <c r="U3004" s="21"/>
      <c r="V3004" s="21">
        <v>1</v>
      </c>
      <c r="W3004" s="21"/>
      <c r="X3004" s="21">
        <v>2</v>
      </c>
      <c r="Y3004" s="21"/>
      <c r="Z3004" s="21"/>
      <c r="AA3004" s="21"/>
      <c r="AB3004" s="21"/>
      <c r="AC3004" s="21"/>
      <c r="AD3004" s="21"/>
      <c r="AE3004" s="21"/>
      <c r="AF3004" s="21"/>
      <c r="AG3004" s="21"/>
      <c r="AH3004" s="21">
        <v>10</v>
      </c>
      <c r="AI3004" s="21"/>
      <c r="AJ3004" s="21"/>
      <c r="AK3004" s="21"/>
      <c r="AL3004" s="21"/>
      <c r="AM3004" s="21">
        <v>3</v>
      </c>
      <c r="AN3004" s="21"/>
      <c r="AO3004" s="21">
        <v>3</v>
      </c>
      <c r="AP3004" s="21">
        <v>4</v>
      </c>
      <c r="AQ3004" s="21"/>
      <c r="AR3004" s="21"/>
      <c r="AS3004" s="21"/>
      <c r="AT3004" s="12" t="str">
        <f>HYPERLINK("http://www.openstreetmap.org/?mlat=35.5701&amp;mlon=45.4104&amp;zoom=12#map=12/35.5701/45.4104","Maplink1")</f>
        <v>Maplink1</v>
      </c>
      <c r="AU3004" s="12" t="str">
        <f>HYPERLINK("https://www.google.iq/maps/search/+35.5701,45.4104/@35.5701,45.4104,14z?hl=en","Maplink2")</f>
        <v>Maplink2</v>
      </c>
      <c r="AV3004" s="12" t="str">
        <f>HYPERLINK("http://www.bing.com/maps/?lvl=14&amp;sty=h&amp;cp=35.5701~45.4104&amp;sp=point.35.5701_45.4104","Maplink3")</f>
        <v>Maplink3</v>
      </c>
    </row>
    <row r="3005" spans="1:48" ht="15" customHeight="1" x14ac:dyDescent="0.25">
      <c r="A3005" s="19">
        <v>24099</v>
      </c>
      <c r="B3005" s="20" t="s">
        <v>24</v>
      </c>
      <c r="C3005" s="20" t="s">
        <v>4846</v>
      </c>
      <c r="D3005" s="20" t="s">
        <v>5170</v>
      </c>
      <c r="E3005" s="20" t="s">
        <v>5171</v>
      </c>
      <c r="F3005" s="20">
        <v>35.547749119999999</v>
      </c>
      <c r="G3005" s="20">
        <v>45.372070630000003</v>
      </c>
      <c r="H3005" s="22">
        <v>44</v>
      </c>
      <c r="I3005" s="22">
        <v>264</v>
      </c>
      <c r="J3005" s="21">
        <v>22</v>
      </c>
      <c r="K3005" s="21"/>
      <c r="L3005" s="21">
        <v>13</v>
      </c>
      <c r="M3005" s="21"/>
      <c r="N3005" s="21"/>
      <c r="O3005" s="21">
        <v>1</v>
      </c>
      <c r="P3005" s="21"/>
      <c r="Q3005" s="21"/>
      <c r="R3005" s="21"/>
      <c r="S3005" s="21"/>
      <c r="T3005" s="21"/>
      <c r="U3005" s="21"/>
      <c r="V3005" s="21">
        <v>3</v>
      </c>
      <c r="W3005" s="21"/>
      <c r="X3005" s="21">
        <v>5</v>
      </c>
      <c r="Y3005" s="21"/>
      <c r="Z3005" s="21"/>
      <c r="AA3005" s="21"/>
      <c r="AB3005" s="21"/>
      <c r="AC3005" s="21"/>
      <c r="AD3005" s="21"/>
      <c r="AE3005" s="21"/>
      <c r="AF3005" s="21"/>
      <c r="AG3005" s="21"/>
      <c r="AH3005" s="21">
        <v>44</v>
      </c>
      <c r="AI3005" s="21"/>
      <c r="AJ3005" s="21"/>
      <c r="AK3005" s="21"/>
      <c r="AL3005" s="21">
        <v>8</v>
      </c>
      <c r="AM3005" s="21">
        <v>18</v>
      </c>
      <c r="AN3005" s="21">
        <v>7</v>
      </c>
      <c r="AO3005" s="21">
        <v>11</v>
      </c>
      <c r="AP3005" s="21"/>
      <c r="AQ3005" s="21"/>
      <c r="AR3005" s="21"/>
      <c r="AS3005" s="21"/>
      <c r="AT3005" s="12" t="str">
        <f>HYPERLINK("http://www.openstreetmap.org/?mlat=35.5477&amp;mlon=45.3721&amp;zoom=12#map=12/35.5477/45.3721","Maplink1")</f>
        <v>Maplink1</v>
      </c>
      <c r="AU3005" s="12" t="str">
        <f>HYPERLINK("https://www.google.iq/maps/search/+35.5477,45.3721/@35.5477,45.3721,14z?hl=en","Maplink2")</f>
        <v>Maplink2</v>
      </c>
      <c r="AV3005" s="12" t="str">
        <f>HYPERLINK("http://www.bing.com/maps/?lvl=14&amp;sty=h&amp;cp=35.5477~45.3721&amp;sp=point.35.5477_45.3721","Maplink3")</f>
        <v>Maplink3</v>
      </c>
    </row>
    <row r="3006" spans="1:48" ht="15" customHeight="1" x14ac:dyDescent="0.25">
      <c r="A3006" s="19">
        <v>31973</v>
      </c>
      <c r="B3006" s="20" t="s">
        <v>24</v>
      </c>
      <c r="C3006" s="20" t="s">
        <v>4846</v>
      </c>
      <c r="D3006" s="20" t="s">
        <v>5172</v>
      </c>
      <c r="E3006" s="20" t="s">
        <v>5173</v>
      </c>
      <c r="F3006" s="20">
        <v>35.527459999999998</v>
      </c>
      <c r="G3006" s="20">
        <v>45.435809999999996</v>
      </c>
      <c r="H3006" s="22">
        <v>27</v>
      </c>
      <c r="I3006" s="22">
        <v>162</v>
      </c>
      <c r="J3006" s="21">
        <v>6</v>
      </c>
      <c r="K3006" s="21"/>
      <c r="L3006" s="21">
        <v>5</v>
      </c>
      <c r="M3006" s="21"/>
      <c r="N3006" s="21"/>
      <c r="O3006" s="21">
        <v>2</v>
      </c>
      <c r="P3006" s="21"/>
      <c r="Q3006" s="21"/>
      <c r="R3006" s="21"/>
      <c r="S3006" s="21"/>
      <c r="T3006" s="21"/>
      <c r="U3006" s="21"/>
      <c r="V3006" s="21">
        <v>3</v>
      </c>
      <c r="W3006" s="21"/>
      <c r="X3006" s="21">
        <v>11</v>
      </c>
      <c r="Y3006" s="21"/>
      <c r="Z3006" s="21"/>
      <c r="AA3006" s="21"/>
      <c r="AB3006" s="21"/>
      <c r="AC3006" s="21"/>
      <c r="AD3006" s="21"/>
      <c r="AE3006" s="21"/>
      <c r="AF3006" s="21"/>
      <c r="AG3006" s="21"/>
      <c r="AH3006" s="21">
        <v>27</v>
      </c>
      <c r="AI3006" s="21"/>
      <c r="AJ3006" s="21"/>
      <c r="AK3006" s="21"/>
      <c r="AL3006" s="21">
        <v>5</v>
      </c>
      <c r="AM3006" s="21">
        <v>11</v>
      </c>
      <c r="AN3006" s="21">
        <v>3</v>
      </c>
      <c r="AO3006" s="21">
        <v>4</v>
      </c>
      <c r="AP3006" s="21"/>
      <c r="AQ3006" s="21">
        <v>3</v>
      </c>
      <c r="AR3006" s="21">
        <v>1</v>
      </c>
      <c r="AS3006" s="21"/>
      <c r="AT3006" s="12" t="str">
        <f>HYPERLINK("http://www.openstreetmap.org/?mlat=35.5275&amp;mlon=45.4358&amp;zoom=12#map=12/35.5275/45.4358","Maplink1")</f>
        <v>Maplink1</v>
      </c>
      <c r="AU3006" s="12" t="str">
        <f>HYPERLINK("https://www.google.iq/maps/search/+35.5275,45.4358/@35.5275,45.4358,14z?hl=en","Maplink2")</f>
        <v>Maplink2</v>
      </c>
      <c r="AV3006" s="12" t="str">
        <f>HYPERLINK("http://www.bing.com/maps/?lvl=14&amp;sty=h&amp;cp=35.5275~45.4358&amp;sp=point.35.5275_45.4358","Maplink3")</f>
        <v>Maplink3</v>
      </c>
    </row>
    <row r="3007" spans="1:48" ht="15" customHeight="1" x14ac:dyDescent="0.25">
      <c r="A3007" s="19">
        <v>33354</v>
      </c>
      <c r="B3007" s="20" t="s">
        <v>24</v>
      </c>
      <c r="C3007" s="20" t="s">
        <v>4846</v>
      </c>
      <c r="D3007" s="20" t="s">
        <v>5842</v>
      </c>
      <c r="E3007" s="20" t="s">
        <v>5843</v>
      </c>
      <c r="F3007" s="20">
        <v>35.560279999999999</v>
      </c>
      <c r="G3007" s="20">
        <v>45.425539999999998</v>
      </c>
      <c r="H3007" s="22">
        <v>17</v>
      </c>
      <c r="I3007" s="22">
        <v>102</v>
      </c>
      <c r="J3007" s="21">
        <v>6</v>
      </c>
      <c r="K3007" s="21">
        <v>3</v>
      </c>
      <c r="L3007" s="21">
        <v>4</v>
      </c>
      <c r="M3007" s="21"/>
      <c r="N3007" s="21"/>
      <c r="O3007" s="21">
        <v>2</v>
      </c>
      <c r="P3007" s="21"/>
      <c r="Q3007" s="21"/>
      <c r="R3007" s="21"/>
      <c r="S3007" s="21"/>
      <c r="T3007" s="21"/>
      <c r="U3007" s="21"/>
      <c r="V3007" s="21"/>
      <c r="W3007" s="21"/>
      <c r="X3007" s="21">
        <v>2</v>
      </c>
      <c r="Y3007" s="21"/>
      <c r="Z3007" s="21"/>
      <c r="AA3007" s="21"/>
      <c r="AB3007" s="21"/>
      <c r="AC3007" s="21"/>
      <c r="AD3007" s="21"/>
      <c r="AE3007" s="21"/>
      <c r="AF3007" s="21"/>
      <c r="AG3007" s="21"/>
      <c r="AH3007" s="21">
        <v>17</v>
      </c>
      <c r="AI3007" s="21"/>
      <c r="AJ3007" s="21"/>
      <c r="AK3007" s="21"/>
      <c r="AL3007" s="21">
        <v>3</v>
      </c>
      <c r="AM3007" s="21"/>
      <c r="AN3007" s="21"/>
      <c r="AO3007" s="21">
        <v>1</v>
      </c>
      <c r="AP3007" s="21">
        <v>4</v>
      </c>
      <c r="AQ3007" s="21"/>
      <c r="AR3007" s="21">
        <v>9</v>
      </c>
      <c r="AS3007" s="21"/>
      <c r="AT3007" s="12" t="str">
        <f>HYPERLINK("http://www.openstreetmap.org/?mlat=35.5603&amp;mlon=45.4255&amp;zoom=12#map=12/35.5603/45.4255","Maplink1")</f>
        <v>Maplink1</v>
      </c>
      <c r="AU3007" s="12" t="str">
        <f>HYPERLINK("https://www.google.iq/maps/search/+35.5603,45.4255/@35.5603,45.4255,14z?hl=en","Maplink2")</f>
        <v>Maplink2</v>
      </c>
      <c r="AV3007" s="12" t="str">
        <f>HYPERLINK("http://www.bing.com/maps/?lvl=14&amp;sty=h&amp;cp=35.5603~45.4255&amp;sp=point.35.5603_45.4255","Maplink3")</f>
        <v>Maplink3</v>
      </c>
    </row>
    <row r="3008" spans="1:48" ht="15" customHeight="1" x14ac:dyDescent="0.25">
      <c r="A3008" s="19">
        <v>21024</v>
      </c>
      <c r="B3008" s="20" t="s">
        <v>24</v>
      </c>
      <c r="C3008" s="20" t="s">
        <v>4846</v>
      </c>
      <c r="D3008" s="20" t="s">
        <v>5174</v>
      </c>
      <c r="E3008" s="20" t="s">
        <v>5175</v>
      </c>
      <c r="F3008" s="20">
        <v>35.565550000000002</v>
      </c>
      <c r="G3008" s="20">
        <v>45.441589999999998</v>
      </c>
      <c r="H3008" s="22">
        <v>65</v>
      </c>
      <c r="I3008" s="22">
        <v>390</v>
      </c>
      <c r="J3008" s="21">
        <v>11</v>
      </c>
      <c r="K3008" s="21">
        <v>6</v>
      </c>
      <c r="L3008" s="21">
        <v>7</v>
      </c>
      <c r="M3008" s="21"/>
      <c r="N3008" s="21"/>
      <c r="O3008" s="21">
        <v>10</v>
      </c>
      <c r="P3008" s="21"/>
      <c r="Q3008" s="21"/>
      <c r="R3008" s="21"/>
      <c r="S3008" s="21"/>
      <c r="T3008" s="21"/>
      <c r="U3008" s="21"/>
      <c r="V3008" s="21">
        <v>6</v>
      </c>
      <c r="W3008" s="21"/>
      <c r="X3008" s="21">
        <v>25</v>
      </c>
      <c r="Y3008" s="21"/>
      <c r="Z3008" s="21"/>
      <c r="AA3008" s="21"/>
      <c r="AB3008" s="21"/>
      <c r="AC3008" s="21"/>
      <c r="AD3008" s="21"/>
      <c r="AE3008" s="21"/>
      <c r="AF3008" s="21"/>
      <c r="AG3008" s="21"/>
      <c r="AH3008" s="21">
        <v>65</v>
      </c>
      <c r="AI3008" s="21"/>
      <c r="AJ3008" s="21"/>
      <c r="AK3008" s="21"/>
      <c r="AL3008" s="21">
        <v>7</v>
      </c>
      <c r="AM3008" s="21">
        <v>17</v>
      </c>
      <c r="AN3008" s="21">
        <v>7</v>
      </c>
      <c r="AO3008" s="21">
        <v>9</v>
      </c>
      <c r="AP3008" s="21">
        <v>2</v>
      </c>
      <c r="AQ3008" s="21">
        <v>12</v>
      </c>
      <c r="AR3008" s="21">
        <v>11</v>
      </c>
      <c r="AS3008" s="21"/>
      <c r="AT3008" s="12" t="str">
        <f>HYPERLINK("http://www.openstreetmap.org/?mlat=35.5656&amp;mlon=45.4416&amp;zoom=12#map=12/35.5656/45.4416","Maplink1")</f>
        <v>Maplink1</v>
      </c>
      <c r="AU3008" s="12" t="str">
        <f>HYPERLINK("https://www.google.iq/maps/search/+35.5656,45.4416/@35.5656,45.4416,14z?hl=en","Maplink2")</f>
        <v>Maplink2</v>
      </c>
      <c r="AV3008" s="12" t="str">
        <f>HYPERLINK("http://www.bing.com/maps/?lvl=14&amp;sty=h&amp;cp=35.5656~45.4416&amp;sp=point.35.5656_45.4416","Maplink3")</f>
        <v>Maplink3</v>
      </c>
    </row>
    <row r="3009" spans="1:48" ht="15" customHeight="1" x14ac:dyDescent="0.25">
      <c r="A3009" s="19">
        <v>31960</v>
      </c>
      <c r="B3009" s="20" t="s">
        <v>24</v>
      </c>
      <c r="C3009" s="20" t="s">
        <v>4846</v>
      </c>
      <c r="D3009" s="20" t="s">
        <v>5176</v>
      </c>
      <c r="E3009" s="20" t="s">
        <v>5177</v>
      </c>
      <c r="F3009" s="20">
        <v>35.578679999999999</v>
      </c>
      <c r="G3009" s="20">
        <v>45.428240000000002</v>
      </c>
      <c r="H3009" s="22">
        <v>34</v>
      </c>
      <c r="I3009" s="22">
        <v>204</v>
      </c>
      <c r="J3009" s="21">
        <v>14</v>
      </c>
      <c r="K3009" s="21">
        <v>1</v>
      </c>
      <c r="L3009" s="21">
        <v>4</v>
      </c>
      <c r="M3009" s="21"/>
      <c r="N3009" s="21"/>
      <c r="O3009" s="21">
        <v>2</v>
      </c>
      <c r="P3009" s="21"/>
      <c r="Q3009" s="21"/>
      <c r="R3009" s="21"/>
      <c r="S3009" s="21"/>
      <c r="T3009" s="21"/>
      <c r="U3009" s="21"/>
      <c r="V3009" s="21"/>
      <c r="W3009" s="21"/>
      <c r="X3009" s="21">
        <v>13</v>
      </c>
      <c r="Y3009" s="21"/>
      <c r="Z3009" s="21"/>
      <c r="AA3009" s="21"/>
      <c r="AB3009" s="21"/>
      <c r="AC3009" s="21"/>
      <c r="AD3009" s="21"/>
      <c r="AE3009" s="21"/>
      <c r="AF3009" s="21"/>
      <c r="AG3009" s="21"/>
      <c r="AH3009" s="21">
        <v>34</v>
      </c>
      <c r="AI3009" s="21"/>
      <c r="AJ3009" s="21"/>
      <c r="AK3009" s="21"/>
      <c r="AL3009" s="21">
        <v>2</v>
      </c>
      <c r="AM3009" s="21">
        <v>8</v>
      </c>
      <c r="AN3009" s="21"/>
      <c r="AO3009" s="21">
        <v>3</v>
      </c>
      <c r="AP3009" s="21">
        <v>9</v>
      </c>
      <c r="AQ3009" s="21">
        <v>4</v>
      </c>
      <c r="AR3009" s="21">
        <v>4</v>
      </c>
      <c r="AS3009" s="21">
        <v>4</v>
      </c>
      <c r="AT3009" s="12" t="str">
        <f>HYPERLINK("http://www.openstreetmap.org/?mlat=35.5787&amp;mlon=45.4282&amp;zoom=12#map=12/35.5787/45.4282","Maplink1")</f>
        <v>Maplink1</v>
      </c>
      <c r="AU3009" s="12" t="str">
        <f>HYPERLINK("https://www.google.iq/maps/search/+35.5787,45.4282/@35.5787,45.4282,14z?hl=en","Maplink2")</f>
        <v>Maplink2</v>
      </c>
      <c r="AV3009" s="12" t="str">
        <f>HYPERLINK("http://www.bing.com/maps/?lvl=14&amp;sty=h&amp;cp=35.5787~45.4282&amp;sp=point.35.5787_45.4282","Maplink3")</f>
        <v>Maplink3</v>
      </c>
    </row>
    <row r="3010" spans="1:48" ht="15" customHeight="1" x14ac:dyDescent="0.25">
      <c r="A3010" s="19">
        <v>31950</v>
      </c>
      <c r="B3010" s="20" t="s">
        <v>24</v>
      </c>
      <c r="C3010" s="20" t="s">
        <v>4846</v>
      </c>
      <c r="D3010" s="20" t="s">
        <v>5178</v>
      </c>
      <c r="E3010" s="20" t="s">
        <v>5179</v>
      </c>
      <c r="F3010" s="20">
        <v>35.529559999999996</v>
      </c>
      <c r="G3010" s="20">
        <v>45.466050000000003</v>
      </c>
      <c r="H3010" s="22">
        <v>21</v>
      </c>
      <c r="I3010" s="22">
        <v>126</v>
      </c>
      <c r="J3010" s="21">
        <v>5</v>
      </c>
      <c r="K3010" s="21">
        <v>1</v>
      </c>
      <c r="L3010" s="21">
        <v>6</v>
      </c>
      <c r="M3010" s="21"/>
      <c r="N3010" s="21"/>
      <c r="O3010" s="21">
        <v>2</v>
      </c>
      <c r="P3010" s="21"/>
      <c r="Q3010" s="21"/>
      <c r="R3010" s="21">
        <v>1</v>
      </c>
      <c r="S3010" s="21"/>
      <c r="T3010" s="21"/>
      <c r="U3010" s="21"/>
      <c r="V3010" s="21">
        <v>2</v>
      </c>
      <c r="W3010" s="21"/>
      <c r="X3010" s="21">
        <v>4</v>
      </c>
      <c r="Y3010" s="21"/>
      <c r="Z3010" s="21"/>
      <c r="AA3010" s="21"/>
      <c r="AB3010" s="21"/>
      <c r="AC3010" s="21"/>
      <c r="AD3010" s="21"/>
      <c r="AE3010" s="21"/>
      <c r="AF3010" s="21"/>
      <c r="AG3010" s="21"/>
      <c r="AH3010" s="21">
        <v>21</v>
      </c>
      <c r="AI3010" s="21"/>
      <c r="AJ3010" s="21"/>
      <c r="AK3010" s="21"/>
      <c r="AL3010" s="21">
        <v>3</v>
      </c>
      <c r="AM3010" s="21"/>
      <c r="AN3010" s="21"/>
      <c r="AO3010" s="21">
        <v>4</v>
      </c>
      <c r="AP3010" s="21">
        <v>1</v>
      </c>
      <c r="AQ3010" s="21">
        <v>5</v>
      </c>
      <c r="AR3010" s="21">
        <v>8</v>
      </c>
      <c r="AS3010" s="21"/>
      <c r="AT3010" s="12" t="str">
        <f>HYPERLINK("http://www.openstreetmap.org/?mlat=35.5296&amp;mlon=45.4661&amp;zoom=12#map=12/35.5296/45.4661","Maplink1")</f>
        <v>Maplink1</v>
      </c>
      <c r="AU3010" s="12" t="str">
        <f>HYPERLINK("https://www.google.iq/maps/search/+35.5296,45.4661/@35.5296,45.4661,14z?hl=en","Maplink2")</f>
        <v>Maplink2</v>
      </c>
      <c r="AV3010" s="12" t="str">
        <f>HYPERLINK("http://www.bing.com/maps/?lvl=14&amp;sty=h&amp;cp=35.5296~45.4661&amp;sp=point.35.5296_45.4661","Maplink3")</f>
        <v>Maplink3</v>
      </c>
    </row>
    <row r="3011" spans="1:48" ht="15" customHeight="1" x14ac:dyDescent="0.25">
      <c r="A3011" s="19">
        <v>25305</v>
      </c>
      <c r="B3011" s="20" t="s">
        <v>24</v>
      </c>
      <c r="C3011" s="20" t="s">
        <v>4846</v>
      </c>
      <c r="D3011" s="20" t="s">
        <v>5844</v>
      </c>
      <c r="E3011" s="20" t="s">
        <v>5845</v>
      </c>
      <c r="F3011" s="20">
        <v>35.545257169999999</v>
      </c>
      <c r="G3011" s="20">
        <v>45.424934460000003</v>
      </c>
      <c r="H3011" s="22">
        <v>48</v>
      </c>
      <c r="I3011" s="22">
        <v>288</v>
      </c>
      <c r="J3011" s="21">
        <v>5</v>
      </c>
      <c r="K3011" s="21">
        <v>9</v>
      </c>
      <c r="L3011" s="21">
        <v>12</v>
      </c>
      <c r="M3011" s="21"/>
      <c r="N3011" s="21"/>
      <c r="O3011" s="21">
        <v>13</v>
      </c>
      <c r="P3011" s="21"/>
      <c r="Q3011" s="21"/>
      <c r="R3011" s="21"/>
      <c r="S3011" s="21"/>
      <c r="T3011" s="21"/>
      <c r="U3011" s="21"/>
      <c r="V3011" s="21">
        <v>5</v>
      </c>
      <c r="W3011" s="21"/>
      <c r="X3011" s="21">
        <v>4</v>
      </c>
      <c r="Y3011" s="21"/>
      <c r="Z3011" s="21"/>
      <c r="AA3011" s="21"/>
      <c r="AB3011" s="21"/>
      <c r="AC3011" s="21"/>
      <c r="AD3011" s="21"/>
      <c r="AE3011" s="21"/>
      <c r="AF3011" s="21"/>
      <c r="AG3011" s="21"/>
      <c r="AH3011" s="21">
        <v>48</v>
      </c>
      <c r="AI3011" s="21"/>
      <c r="AJ3011" s="21"/>
      <c r="AK3011" s="21"/>
      <c r="AL3011" s="21">
        <v>4</v>
      </c>
      <c r="AM3011" s="21">
        <v>5</v>
      </c>
      <c r="AN3011" s="21">
        <v>1</v>
      </c>
      <c r="AO3011" s="21">
        <v>8</v>
      </c>
      <c r="AP3011" s="21">
        <v>6</v>
      </c>
      <c r="AQ3011" s="21">
        <v>11</v>
      </c>
      <c r="AR3011" s="21">
        <v>10</v>
      </c>
      <c r="AS3011" s="21">
        <v>3</v>
      </c>
      <c r="AT3011" s="12" t="str">
        <f>HYPERLINK("http://www.openstreetmap.org/?mlat=35.5453&amp;mlon=45.4249&amp;zoom=12#map=12/35.5453/45.4249","Maplink1")</f>
        <v>Maplink1</v>
      </c>
      <c r="AU3011" s="12" t="str">
        <f>HYPERLINK("https://www.google.iq/maps/search/+35.5453,45.4249/@35.5453,45.4249,14z?hl=en","Maplink2")</f>
        <v>Maplink2</v>
      </c>
      <c r="AV3011" s="12" t="str">
        <f>HYPERLINK("http://www.bing.com/maps/?lvl=14&amp;sty=h&amp;cp=35.5453~45.4249&amp;sp=point.35.5453_45.4249","Maplink3")</f>
        <v>Maplink3</v>
      </c>
    </row>
    <row r="3012" spans="1:48" ht="15" customHeight="1" x14ac:dyDescent="0.25">
      <c r="A3012" s="19">
        <v>29628</v>
      </c>
      <c r="B3012" s="20" t="s">
        <v>24</v>
      </c>
      <c r="C3012" s="20" t="s">
        <v>4846</v>
      </c>
      <c r="D3012" s="20" t="s">
        <v>5180</v>
      </c>
      <c r="E3012" s="20" t="s">
        <v>5181</v>
      </c>
      <c r="F3012" s="20">
        <v>35.538020000000003</v>
      </c>
      <c r="G3012" s="20">
        <v>45.434339999999999</v>
      </c>
      <c r="H3012" s="22">
        <v>107</v>
      </c>
      <c r="I3012" s="22">
        <v>642</v>
      </c>
      <c r="J3012" s="21">
        <v>30</v>
      </c>
      <c r="K3012" s="21">
        <v>7</v>
      </c>
      <c r="L3012" s="21">
        <v>23</v>
      </c>
      <c r="M3012" s="21"/>
      <c r="N3012" s="21"/>
      <c r="O3012" s="21">
        <v>15</v>
      </c>
      <c r="P3012" s="21"/>
      <c r="Q3012" s="21"/>
      <c r="R3012" s="21"/>
      <c r="S3012" s="21"/>
      <c r="T3012" s="21"/>
      <c r="U3012" s="21"/>
      <c r="V3012" s="21">
        <v>10</v>
      </c>
      <c r="W3012" s="21"/>
      <c r="X3012" s="21">
        <v>22</v>
      </c>
      <c r="Y3012" s="21"/>
      <c r="Z3012" s="21"/>
      <c r="AA3012" s="21"/>
      <c r="AB3012" s="21"/>
      <c r="AC3012" s="21"/>
      <c r="AD3012" s="21"/>
      <c r="AE3012" s="21"/>
      <c r="AF3012" s="21"/>
      <c r="AG3012" s="21"/>
      <c r="AH3012" s="21">
        <v>107</v>
      </c>
      <c r="AI3012" s="21"/>
      <c r="AJ3012" s="21"/>
      <c r="AK3012" s="21"/>
      <c r="AL3012" s="21">
        <v>6</v>
      </c>
      <c r="AM3012" s="21">
        <v>23</v>
      </c>
      <c r="AN3012" s="21">
        <v>20</v>
      </c>
      <c r="AO3012" s="21">
        <v>23</v>
      </c>
      <c r="AP3012" s="21">
        <v>15</v>
      </c>
      <c r="AQ3012" s="21">
        <v>15</v>
      </c>
      <c r="AR3012" s="21">
        <v>5</v>
      </c>
      <c r="AS3012" s="21"/>
      <c r="AT3012" s="12" t="str">
        <f>HYPERLINK("http://www.openstreetmap.org/?mlat=35.538&amp;mlon=45.4343&amp;zoom=12#map=12/35.538/45.4343","Maplink1")</f>
        <v>Maplink1</v>
      </c>
      <c r="AU3012" s="12" t="str">
        <f>HYPERLINK("https://www.google.iq/maps/search/+35.538,45.4343/@35.538,45.4343,14z?hl=en","Maplink2")</f>
        <v>Maplink2</v>
      </c>
      <c r="AV3012" s="12" t="str">
        <f>HYPERLINK("http://www.bing.com/maps/?lvl=14&amp;sty=h&amp;cp=35.538~45.4343&amp;sp=point.35.538_45.4343","Maplink3")</f>
        <v>Maplink3</v>
      </c>
    </row>
    <row r="3013" spans="1:48" ht="15" customHeight="1" x14ac:dyDescent="0.25">
      <c r="A3013" s="19">
        <v>5809</v>
      </c>
      <c r="B3013" s="20" t="s">
        <v>24</v>
      </c>
      <c r="C3013" s="20" t="s">
        <v>4846</v>
      </c>
      <c r="D3013" s="20" t="s">
        <v>5182</v>
      </c>
      <c r="E3013" s="20" t="s">
        <v>5183</v>
      </c>
      <c r="F3013" s="20">
        <v>35.59495424</v>
      </c>
      <c r="G3013" s="20">
        <v>45.231766569999998</v>
      </c>
      <c r="H3013" s="22">
        <v>365</v>
      </c>
      <c r="I3013" s="22">
        <v>2190</v>
      </c>
      <c r="J3013" s="21">
        <v>48</v>
      </c>
      <c r="K3013" s="21">
        <v>8</v>
      </c>
      <c r="L3013" s="21">
        <v>7</v>
      </c>
      <c r="M3013" s="21"/>
      <c r="N3013" s="21"/>
      <c r="O3013" s="21">
        <v>15</v>
      </c>
      <c r="P3013" s="21"/>
      <c r="Q3013" s="21"/>
      <c r="R3013" s="21">
        <v>70</v>
      </c>
      <c r="S3013" s="21"/>
      <c r="T3013" s="21"/>
      <c r="U3013" s="21"/>
      <c r="V3013" s="21">
        <v>100</v>
      </c>
      <c r="W3013" s="21"/>
      <c r="X3013" s="21">
        <v>117</v>
      </c>
      <c r="Y3013" s="21"/>
      <c r="Z3013" s="21"/>
      <c r="AA3013" s="21"/>
      <c r="AB3013" s="21"/>
      <c r="AC3013" s="21"/>
      <c r="AD3013" s="21"/>
      <c r="AE3013" s="21"/>
      <c r="AF3013" s="21"/>
      <c r="AG3013" s="21"/>
      <c r="AH3013" s="21">
        <v>365</v>
      </c>
      <c r="AI3013" s="21"/>
      <c r="AJ3013" s="21"/>
      <c r="AK3013" s="21"/>
      <c r="AL3013" s="21">
        <v>10</v>
      </c>
      <c r="AM3013" s="21">
        <v>53</v>
      </c>
      <c r="AN3013" s="21">
        <v>115</v>
      </c>
      <c r="AO3013" s="21">
        <v>13</v>
      </c>
      <c r="AP3013" s="21">
        <v>10</v>
      </c>
      <c r="AQ3013" s="21">
        <v>9</v>
      </c>
      <c r="AR3013" s="21"/>
      <c r="AS3013" s="21">
        <v>155</v>
      </c>
      <c r="AT3013" s="12" t="str">
        <f>HYPERLINK("http://www.openstreetmap.org/?mlat=35.595&amp;mlon=45.2318&amp;zoom=12#map=12/35.595/45.2318","Maplink1")</f>
        <v>Maplink1</v>
      </c>
      <c r="AU3013" s="12" t="str">
        <f>HYPERLINK("https://www.google.iq/maps/search/+35.595,45.2318/@35.595,45.2318,14z?hl=en","Maplink2")</f>
        <v>Maplink2</v>
      </c>
      <c r="AV3013" s="12" t="str">
        <f>HYPERLINK("http://www.bing.com/maps/?lvl=14&amp;sty=h&amp;cp=35.595~45.2318&amp;sp=point.35.595_45.2318","Maplink3")</f>
        <v>Maplink3</v>
      </c>
    </row>
    <row r="3014" spans="1:48" ht="15" customHeight="1" x14ac:dyDescent="0.25">
      <c r="A3014" s="19">
        <v>4732</v>
      </c>
      <c r="B3014" s="20" t="s">
        <v>24</v>
      </c>
      <c r="C3014" s="20" t="s">
        <v>4846</v>
      </c>
      <c r="D3014" s="20" t="s">
        <v>5184</v>
      </c>
      <c r="E3014" s="20" t="s">
        <v>5185</v>
      </c>
      <c r="F3014" s="20">
        <v>35.31241</v>
      </c>
      <c r="G3014" s="20">
        <v>45.366509999999998</v>
      </c>
      <c r="H3014" s="22">
        <v>3</v>
      </c>
      <c r="I3014" s="22">
        <v>18</v>
      </c>
      <c r="J3014" s="21"/>
      <c r="K3014" s="21"/>
      <c r="L3014" s="21"/>
      <c r="M3014" s="21"/>
      <c r="N3014" s="21"/>
      <c r="O3014" s="21"/>
      <c r="P3014" s="21"/>
      <c r="Q3014" s="21"/>
      <c r="R3014" s="21"/>
      <c r="S3014" s="21"/>
      <c r="T3014" s="21"/>
      <c r="U3014" s="21"/>
      <c r="V3014" s="21">
        <v>1</v>
      </c>
      <c r="W3014" s="21"/>
      <c r="X3014" s="21">
        <v>2</v>
      </c>
      <c r="Y3014" s="21"/>
      <c r="Z3014" s="21"/>
      <c r="AA3014" s="21"/>
      <c r="AB3014" s="21"/>
      <c r="AC3014" s="21"/>
      <c r="AD3014" s="21"/>
      <c r="AE3014" s="21"/>
      <c r="AF3014" s="21"/>
      <c r="AG3014" s="21"/>
      <c r="AH3014" s="21">
        <v>3</v>
      </c>
      <c r="AI3014" s="21"/>
      <c r="AJ3014" s="21"/>
      <c r="AK3014" s="21"/>
      <c r="AL3014" s="21"/>
      <c r="AM3014" s="21">
        <v>1</v>
      </c>
      <c r="AN3014" s="21"/>
      <c r="AO3014" s="21"/>
      <c r="AP3014" s="21">
        <v>1</v>
      </c>
      <c r="AQ3014" s="21">
        <v>1</v>
      </c>
      <c r="AR3014" s="21"/>
      <c r="AS3014" s="21"/>
      <c r="AT3014" s="12" t="str">
        <f>HYPERLINK("http://www.openstreetmap.org/?mlat=35.3124&amp;mlon=45.3665&amp;zoom=12#map=12/35.3124/45.3665","Maplink1")</f>
        <v>Maplink1</v>
      </c>
      <c r="AU3014" s="12" t="str">
        <f>HYPERLINK("https://www.google.iq/maps/search/+35.3124,45.3665/@35.3124,45.3665,14z?hl=en","Maplink2")</f>
        <v>Maplink2</v>
      </c>
      <c r="AV3014" s="12" t="str">
        <f>HYPERLINK("http://www.bing.com/maps/?lvl=14&amp;sty=h&amp;cp=35.3124~45.3665&amp;sp=point.35.3124_45.3665","Maplink3")</f>
        <v>Maplink3</v>
      </c>
    </row>
    <row r="3015" spans="1:48" ht="15" customHeight="1" x14ac:dyDescent="0.25">
      <c r="A3015" s="19">
        <v>21033</v>
      </c>
      <c r="B3015" s="20" t="s">
        <v>24</v>
      </c>
      <c r="C3015" s="20" t="s">
        <v>4846</v>
      </c>
      <c r="D3015" s="20" t="s">
        <v>5186</v>
      </c>
      <c r="E3015" s="20" t="s">
        <v>5187</v>
      </c>
      <c r="F3015" s="20">
        <v>35.596649999999997</v>
      </c>
      <c r="G3015" s="20">
        <v>45.396259999999998</v>
      </c>
      <c r="H3015" s="22">
        <v>89</v>
      </c>
      <c r="I3015" s="22">
        <v>534</v>
      </c>
      <c r="J3015" s="21">
        <v>23</v>
      </c>
      <c r="K3015" s="21"/>
      <c r="L3015" s="21">
        <v>11</v>
      </c>
      <c r="M3015" s="21"/>
      <c r="N3015" s="21"/>
      <c r="O3015" s="21">
        <v>2</v>
      </c>
      <c r="P3015" s="21"/>
      <c r="Q3015" s="21"/>
      <c r="R3015" s="21">
        <v>35</v>
      </c>
      <c r="S3015" s="21"/>
      <c r="T3015" s="21"/>
      <c r="U3015" s="21"/>
      <c r="V3015" s="21">
        <v>3</v>
      </c>
      <c r="W3015" s="21"/>
      <c r="X3015" s="21">
        <v>15</v>
      </c>
      <c r="Y3015" s="21"/>
      <c r="Z3015" s="21"/>
      <c r="AA3015" s="21"/>
      <c r="AB3015" s="21"/>
      <c r="AC3015" s="21"/>
      <c r="AD3015" s="21"/>
      <c r="AE3015" s="21"/>
      <c r="AF3015" s="21"/>
      <c r="AG3015" s="21"/>
      <c r="AH3015" s="21">
        <v>89</v>
      </c>
      <c r="AI3015" s="21"/>
      <c r="AJ3015" s="21"/>
      <c r="AK3015" s="21"/>
      <c r="AL3015" s="21">
        <v>5</v>
      </c>
      <c r="AM3015" s="21">
        <v>14</v>
      </c>
      <c r="AN3015" s="21">
        <v>3</v>
      </c>
      <c r="AO3015" s="21">
        <v>11</v>
      </c>
      <c r="AP3015" s="21">
        <v>5</v>
      </c>
      <c r="AQ3015" s="21">
        <v>6</v>
      </c>
      <c r="AR3015" s="21"/>
      <c r="AS3015" s="21">
        <v>45</v>
      </c>
      <c r="AT3015" s="12" t="str">
        <f>HYPERLINK("http://www.openstreetmap.org/?mlat=35.5966&amp;mlon=45.3963&amp;zoom=12#map=12/35.5966/45.3963","Maplink1")</f>
        <v>Maplink1</v>
      </c>
      <c r="AU3015" s="12" t="str">
        <f>HYPERLINK("https://www.google.iq/maps/search/+35.5966,45.3963/@35.5966,45.3963,14z?hl=en","Maplink2")</f>
        <v>Maplink2</v>
      </c>
      <c r="AV3015" s="12" t="str">
        <f>HYPERLINK("http://www.bing.com/maps/?lvl=14&amp;sty=h&amp;cp=35.5966~45.3963&amp;sp=point.35.5966_45.3963","Maplink3")</f>
        <v>Maplink3</v>
      </c>
    </row>
    <row r="3016" spans="1:48" ht="15" customHeight="1" x14ac:dyDescent="0.25">
      <c r="A3016" s="19">
        <v>5056</v>
      </c>
      <c r="B3016" s="20" t="s">
        <v>24</v>
      </c>
      <c r="C3016" s="20" t="s">
        <v>4846</v>
      </c>
      <c r="D3016" s="20" t="s">
        <v>4635</v>
      </c>
      <c r="E3016" s="20" t="s">
        <v>4636</v>
      </c>
      <c r="F3016" s="20">
        <v>35.39311</v>
      </c>
      <c r="G3016" s="20">
        <v>45.379089999999998</v>
      </c>
      <c r="H3016" s="22">
        <v>7</v>
      </c>
      <c r="I3016" s="22">
        <v>42</v>
      </c>
      <c r="J3016" s="21"/>
      <c r="K3016" s="21"/>
      <c r="L3016" s="21">
        <v>2</v>
      </c>
      <c r="M3016" s="21"/>
      <c r="N3016" s="21"/>
      <c r="O3016" s="21">
        <v>1</v>
      </c>
      <c r="P3016" s="21"/>
      <c r="Q3016" s="21"/>
      <c r="R3016" s="21"/>
      <c r="S3016" s="21"/>
      <c r="T3016" s="21"/>
      <c r="U3016" s="21"/>
      <c r="V3016" s="21">
        <v>2</v>
      </c>
      <c r="W3016" s="21"/>
      <c r="X3016" s="21">
        <v>2</v>
      </c>
      <c r="Y3016" s="21"/>
      <c r="Z3016" s="21"/>
      <c r="AA3016" s="21"/>
      <c r="AB3016" s="21"/>
      <c r="AC3016" s="21"/>
      <c r="AD3016" s="21"/>
      <c r="AE3016" s="21"/>
      <c r="AF3016" s="21"/>
      <c r="AG3016" s="21"/>
      <c r="AH3016" s="21">
        <v>7</v>
      </c>
      <c r="AI3016" s="21"/>
      <c r="AJ3016" s="21"/>
      <c r="AK3016" s="21"/>
      <c r="AL3016" s="21"/>
      <c r="AM3016" s="21"/>
      <c r="AN3016" s="21">
        <v>2</v>
      </c>
      <c r="AO3016" s="21"/>
      <c r="AP3016" s="21">
        <v>2</v>
      </c>
      <c r="AQ3016" s="21">
        <v>2</v>
      </c>
      <c r="AR3016" s="21">
        <v>1</v>
      </c>
      <c r="AS3016" s="21"/>
      <c r="AT3016" s="12" t="str">
        <f>HYPERLINK("http://www.openstreetmap.org/?mlat=35.3931&amp;mlon=45.3791&amp;zoom=12#map=12/35.3931/45.3791","Maplink1")</f>
        <v>Maplink1</v>
      </c>
      <c r="AU3016" s="12" t="str">
        <f>HYPERLINK("https://www.google.iq/maps/search/+35.3931,45.3791/@35.3931,45.3791,14z?hl=en","Maplink2")</f>
        <v>Maplink2</v>
      </c>
      <c r="AV3016" s="12" t="str">
        <f>HYPERLINK("http://www.bing.com/maps/?lvl=14&amp;sty=h&amp;cp=35.3931~45.3791&amp;sp=point.35.3931_45.3791","Maplink3")</f>
        <v>Maplink3</v>
      </c>
    </row>
    <row r="3017" spans="1:48" ht="15" customHeight="1" x14ac:dyDescent="0.25">
      <c r="A3017" s="19">
        <v>25795</v>
      </c>
      <c r="B3017" s="20" t="s">
        <v>24</v>
      </c>
      <c r="C3017" s="20" t="s">
        <v>4846</v>
      </c>
      <c r="D3017" s="20" t="s">
        <v>5188</v>
      </c>
      <c r="E3017" s="20" t="s">
        <v>5189</v>
      </c>
      <c r="F3017" s="20">
        <v>35.654412000000001</v>
      </c>
      <c r="G3017" s="20">
        <v>45.406472999999998</v>
      </c>
      <c r="H3017" s="22">
        <v>14</v>
      </c>
      <c r="I3017" s="22">
        <v>84</v>
      </c>
      <c r="J3017" s="21"/>
      <c r="K3017" s="21"/>
      <c r="L3017" s="21"/>
      <c r="M3017" s="21"/>
      <c r="N3017" s="21"/>
      <c r="O3017" s="21"/>
      <c r="P3017" s="21"/>
      <c r="Q3017" s="21"/>
      <c r="R3017" s="21">
        <v>3</v>
      </c>
      <c r="S3017" s="21"/>
      <c r="T3017" s="21"/>
      <c r="U3017" s="21"/>
      <c r="V3017" s="21">
        <v>7</v>
      </c>
      <c r="W3017" s="21"/>
      <c r="X3017" s="21">
        <v>4</v>
      </c>
      <c r="Y3017" s="21"/>
      <c r="Z3017" s="21"/>
      <c r="AA3017" s="21"/>
      <c r="AB3017" s="21"/>
      <c r="AC3017" s="21"/>
      <c r="AD3017" s="21"/>
      <c r="AE3017" s="21"/>
      <c r="AF3017" s="21"/>
      <c r="AG3017" s="21"/>
      <c r="AH3017" s="21">
        <v>14</v>
      </c>
      <c r="AI3017" s="21"/>
      <c r="AJ3017" s="21"/>
      <c r="AK3017" s="21"/>
      <c r="AL3017" s="21"/>
      <c r="AM3017" s="21"/>
      <c r="AN3017" s="21">
        <v>7</v>
      </c>
      <c r="AO3017" s="21"/>
      <c r="AP3017" s="21"/>
      <c r="AQ3017" s="21"/>
      <c r="AR3017" s="21"/>
      <c r="AS3017" s="21">
        <v>7</v>
      </c>
      <c r="AT3017" s="12" t="str">
        <f>HYPERLINK("http://www.openstreetmap.org/?mlat=35.6544&amp;mlon=45.4065&amp;zoom=12#map=12/35.6544/45.4065","Maplink1")</f>
        <v>Maplink1</v>
      </c>
      <c r="AU3017" s="12" t="str">
        <f>HYPERLINK("https://www.google.iq/maps/search/+35.6544,45.4065/@35.6544,45.4065,14z?hl=en","Maplink2")</f>
        <v>Maplink2</v>
      </c>
      <c r="AV3017" s="12" t="str">
        <f>HYPERLINK("http://www.bing.com/maps/?lvl=14&amp;sty=h&amp;cp=35.6544~45.4065&amp;sp=point.35.6544_45.4065","Maplink3")</f>
        <v>Maplink3</v>
      </c>
    </row>
    <row r="3018" spans="1:48" ht="15" customHeight="1" x14ac:dyDescent="0.25">
      <c r="A3018" s="19">
        <v>21029</v>
      </c>
      <c r="B3018" s="20" t="s">
        <v>24</v>
      </c>
      <c r="C3018" s="20" t="s">
        <v>4846</v>
      </c>
      <c r="D3018" s="20" t="s">
        <v>5190</v>
      </c>
      <c r="E3018" s="20" t="s">
        <v>5191</v>
      </c>
      <c r="F3018" s="20">
        <v>35.572004139999997</v>
      </c>
      <c r="G3018" s="20">
        <v>45.450293879999997</v>
      </c>
      <c r="H3018" s="22">
        <v>12</v>
      </c>
      <c r="I3018" s="22">
        <v>72</v>
      </c>
      <c r="J3018" s="21">
        <v>4</v>
      </c>
      <c r="K3018" s="21"/>
      <c r="L3018" s="21">
        <v>5</v>
      </c>
      <c r="M3018" s="21"/>
      <c r="N3018" s="21"/>
      <c r="O3018" s="21"/>
      <c r="P3018" s="21"/>
      <c r="Q3018" s="21"/>
      <c r="R3018" s="21"/>
      <c r="S3018" s="21"/>
      <c r="T3018" s="21"/>
      <c r="U3018" s="21"/>
      <c r="V3018" s="21">
        <v>2</v>
      </c>
      <c r="W3018" s="21"/>
      <c r="X3018" s="21">
        <v>1</v>
      </c>
      <c r="Y3018" s="21"/>
      <c r="Z3018" s="21"/>
      <c r="AA3018" s="21"/>
      <c r="AB3018" s="21"/>
      <c r="AC3018" s="21"/>
      <c r="AD3018" s="21"/>
      <c r="AE3018" s="21"/>
      <c r="AF3018" s="21"/>
      <c r="AG3018" s="21"/>
      <c r="AH3018" s="21">
        <v>12</v>
      </c>
      <c r="AI3018" s="21"/>
      <c r="AJ3018" s="21"/>
      <c r="AK3018" s="21"/>
      <c r="AL3018" s="21">
        <v>1</v>
      </c>
      <c r="AM3018" s="21">
        <v>1</v>
      </c>
      <c r="AN3018" s="21">
        <v>1</v>
      </c>
      <c r="AO3018" s="21">
        <v>2</v>
      </c>
      <c r="AP3018" s="21">
        <v>2</v>
      </c>
      <c r="AQ3018" s="21">
        <v>1</v>
      </c>
      <c r="AR3018" s="21">
        <v>2</v>
      </c>
      <c r="AS3018" s="21">
        <v>2</v>
      </c>
      <c r="AT3018" s="12" t="str">
        <f>HYPERLINK("http://www.openstreetmap.org/?mlat=35.572&amp;mlon=45.4503&amp;zoom=12#map=12/35.572/45.4503","Maplink1")</f>
        <v>Maplink1</v>
      </c>
      <c r="AU3018" s="12" t="str">
        <f>HYPERLINK("https://www.google.iq/maps/search/+35.572,45.4503/@35.572,45.4503,14z?hl=en","Maplink2")</f>
        <v>Maplink2</v>
      </c>
      <c r="AV3018" s="12" t="str">
        <f>HYPERLINK("http://www.bing.com/maps/?lvl=14&amp;sty=h&amp;cp=35.572~45.4503&amp;sp=point.35.572_45.4503","Maplink3")</f>
        <v>Maplink3</v>
      </c>
    </row>
    <row r="3019" spans="1:48" ht="15" customHeight="1" x14ac:dyDescent="0.25">
      <c r="A3019" s="19">
        <v>25523</v>
      </c>
      <c r="B3019" s="20" t="s">
        <v>24</v>
      </c>
      <c r="C3019" s="20" t="s">
        <v>4846</v>
      </c>
      <c r="D3019" s="20" t="s">
        <v>5192</v>
      </c>
      <c r="E3019" s="20" t="s">
        <v>5193</v>
      </c>
      <c r="F3019" s="20">
        <v>35.427785280000002</v>
      </c>
      <c r="G3019" s="20">
        <v>45.44945938</v>
      </c>
      <c r="H3019" s="22">
        <v>28</v>
      </c>
      <c r="I3019" s="22">
        <v>168</v>
      </c>
      <c r="J3019" s="21">
        <v>10</v>
      </c>
      <c r="K3019" s="21">
        <v>6</v>
      </c>
      <c r="L3019" s="21">
        <v>4</v>
      </c>
      <c r="M3019" s="21"/>
      <c r="N3019" s="21"/>
      <c r="O3019" s="21">
        <v>3</v>
      </c>
      <c r="P3019" s="21"/>
      <c r="Q3019" s="21"/>
      <c r="R3019" s="21"/>
      <c r="S3019" s="21"/>
      <c r="T3019" s="21"/>
      <c r="U3019" s="21"/>
      <c r="V3019" s="21">
        <v>5</v>
      </c>
      <c r="W3019" s="21"/>
      <c r="X3019" s="21"/>
      <c r="Y3019" s="21"/>
      <c r="Z3019" s="21"/>
      <c r="AA3019" s="21"/>
      <c r="AB3019" s="21"/>
      <c r="AC3019" s="21"/>
      <c r="AD3019" s="21"/>
      <c r="AE3019" s="21"/>
      <c r="AF3019" s="21"/>
      <c r="AG3019" s="21"/>
      <c r="AH3019" s="21">
        <v>28</v>
      </c>
      <c r="AI3019" s="21"/>
      <c r="AJ3019" s="21"/>
      <c r="AK3019" s="21"/>
      <c r="AL3019" s="21">
        <v>3</v>
      </c>
      <c r="AM3019" s="21">
        <v>7</v>
      </c>
      <c r="AN3019" s="21">
        <v>10</v>
      </c>
      <c r="AO3019" s="21">
        <v>7</v>
      </c>
      <c r="AP3019" s="21">
        <v>1</v>
      </c>
      <c r="AQ3019" s="21"/>
      <c r="AR3019" s="21"/>
      <c r="AS3019" s="21"/>
      <c r="AT3019" s="12" t="str">
        <f>HYPERLINK("http://www.openstreetmap.org/?mlat=35.4278&amp;mlon=45.4495&amp;zoom=12#map=12/35.4278/45.4495","Maplink1")</f>
        <v>Maplink1</v>
      </c>
      <c r="AU3019" s="12" t="str">
        <f>HYPERLINK("https://www.google.iq/maps/search/+35.4278,45.4495/@35.4278,45.4495,14z?hl=en","Maplink2")</f>
        <v>Maplink2</v>
      </c>
      <c r="AV3019" s="12" t="str">
        <f>HYPERLINK("http://www.bing.com/maps/?lvl=14&amp;sty=h&amp;cp=35.4278~45.4495&amp;sp=point.35.4278_45.4495","Maplink3")</f>
        <v>Maplink3</v>
      </c>
    </row>
    <row r="3020" spans="1:48" ht="15" customHeight="1" x14ac:dyDescent="0.25">
      <c r="A3020" s="19">
        <v>33351</v>
      </c>
      <c r="B3020" s="20" t="s">
        <v>24</v>
      </c>
      <c r="C3020" s="20" t="s">
        <v>4846</v>
      </c>
      <c r="D3020" s="20" t="s">
        <v>5846</v>
      </c>
      <c r="E3020" s="20" t="s">
        <v>5847</v>
      </c>
      <c r="F3020" s="20">
        <v>35.553719999999998</v>
      </c>
      <c r="G3020" s="20">
        <v>45.427790000000002</v>
      </c>
      <c r="H3020" s="22">
        <v>6</v>
      </c>
      <c r="I3020" s="22">
        <v>36</v>
      </c>
      <c r="J3020" s="21">
        <v>2</v>
      </c>
      <c r="K3020" s="21"/>
      <c r="L3020" s="21">
        <v>1</v>
      </c>
      <c r="M3020" s="21"/>
      <c r="N3020" s="21"/>
      <c r="O3020" s="21"/>
      <c r="P3020" s="21"/>
      <c r="Q3020" s="21"/>
      <c r="R3020" s="21"/>
      <c r="S3020" s="21"/>
      <c r="T3020" s="21"/>
      <c r="U3020" s="21"/>
      <c r="V3020" s="21">
        <v>3</v>
      </c>
      <c r="W3020" s="21"/>
      <c r="X3020" s="21"/>
      <c r="Y3020" s="21"/>
      <c r="Z3020" s="21"/>
      <c r="AA3020" s="21"/>
      <c r="AB3020" s="21"/>
      <c r="AC3020" s="21"/>
      <c r="AD3020" s="21"/>
      <c r="AE3020" s="21"/>
      <c r="AF3020" s="21"/>
      <c r="AG3020" s="21"/>
      <c r="AH3020" s="21">
        <v>6</v>
      </c>
      <c r="AI3020" s="21"/>
      <c r="AJ3020" s="21"/>
      <c r="AK3020" s="21"/>
      <c r="AL3020" s="21"/>
      <c r="AM3020" s="21">
        <v>1</v>
      </c>
      <c r="AN3020" s="21">
        <v>1</v>
      </c>
      <c r="AO3020" s="21"/>
      <c r="AP3020" s="21"/>
      <c r="AQ3020" s="21">
        <v>4</v>
      </c>
      <c r="AR3020" s="21"/>
      <c r="AS3020" s="21"/>
      <c r="AT3020" s="12" t="str">
        <f>HYPERLINK("http://www.openstreetmap.org/?mlat=35.5537&amp;mlon=45.4278&amp;zoom=12#map=12/35.5537/45.4278","Maplink1")</f>
        <v>Maplink1</v>
      </c>
      <c r="AU3020" s="12" t="str">
        <f>HYPERLINK("https://www.google.iq/maps/search/+35.5537,45.4278/@35.5537,45.4278,14z?hl=en","Maplink2")</f>
        <v>Maplink2</v>
      </c>
      <c r="AV3020" s="12" t="str">
        <f>HYPERLINK("http://www.bing.com/maps/?lvl=14&amp;sty=h&amp;cp=35.5537~45.4278&amp;sp=point.35.5537_45.4278","Maplink3")</f>
        <v>Maplink3</v>
      </c>
    </row>
    <row r="3021" spans="1:48" ht="15" customHeight="1" x14ac:dyDescent="0.25">
      <c r="A3021" s="19">
        <v>5930</v>
      </c>
      <c r="B3021" s="20" t="s">
        <v>24</v>
      </c>
      <c r="C3021" s="20" t="s">
        <v>4846</v>
      </c>
      <c r="D3021" s="20" t="s">
        <v>5194</v>
      </c>
      <c r="E3021" s="20" t="s">
        <v>5195</v>
      </c>
      <c r="F3021" s="20">
        <v>35.5343206115</v>
      </c>
      <c r="G3021" s="20">
        <v>45.429437164500001</v>
      </c>
      <c r="H3021" s="22">
        <v>159</v>
      </c>
      <c r="I3021" s="22">
        <v>954</v>
      </c>
      <c r="J3021" s="21">
        <v>60</v>
      </c>
      <c r="K3021" s="21">
        <v>14</v>
      </c>
      <c r="L3021" s="21">
        <v>37</v>
      </c>
      <c r="M3021" s="21"/>
      <c r="N3021" s="21"/>
      <c r="O3021" s="21">
        <v>1</v>
      </c>
      <c r="P3021" s="21"/>
      <c r="Q3021" s="21"/>
      <c r="R3021" s="21">
        <v>2</v>
      </c>
      <c r="S3021" s="21"/>
      <c r="T3021" s="21"/>
      <c r="U3021" s="21"/>
      <c r="V3021" s="21">
        <v>19</v>
      </c>
      <c r="W3021" s="21"/>
      <c r="X3021" s="21">
        <v>26</v>
      </c>
      <c r="Y3021" s="21"/>
      <c r="Z3021" s="21"/>
      <c r="AA3021" s="21"/>
      <c r="AB3021" s="21"/>
      <c r="AC3021" s="21"/>
      <c r="AD3021" s="21"/>
      <c r="AE3021" s="21"/>
      <c r="AF3021" s="21"/>
      <c r="AG3021" s="21"/>
      <c r="AH3021" s="21">
        <v>159</v>
      </c>
      <c r="AI3021" s="21"/>
      <c r="AJ3021" s="21"/>
      <c r="AK3021" s="21"/>
      <c r="AL3021" s="21">
        <v>3</v>
      </c>
      <c r="AM3021" s="21">
        <v>23</v>
      </c>
      <c r="AN3021" s="21">
        <v>39</v>
      </c>
      <c r="AO3021" s="21">
        <v>38</v>
      </c>
      <c r="AP3021" s="21">
        <v>22</v>
      </c>
      <c r="AQ3021" s="21">
        <v>29</v>
      </c>
      <c r="AR3021" s="21"/>
      <c r="AS3021" s="21">
        <v>5</v>
      </c>
      <c r="AT3021" s="12" t="str">
        <f>HYPERLINK("http://www.openstreetmap.org/?mlat=35.5343&amp;mlon=45.4294&amp;zoom=12#map=12/35.5343/45.4294","Maplink1")</f>
        <v>Maplink1</v>
      </c>
      <c r="AU3021" s="12" t="str">
        <f>HYPERLINK("https://www.google.iq/maps/search/+35.5343,45.4294/@35.5343,45.4294,14z?hl=en","Maplink2")</f>
        <v>Maplink2</v>
      </c>
      <c r="AV3021" s="12" t="str">
        <f>HYPERLINK("http://www.bing.com/maps/?lvl=14&amp;sty=h&amp;cp=35.5343~45.4294&amp;sp=point.35.5343_45.4294","Maplink3")</f>
        <v>Maplink3</v>
      </c>
    </row>
    <row r="3022" spans="1:48" ht="15" customHeight="1" x14ac:dyDescent="0.25">
      <c r="A3022" s="19">
        <v>32071</v>
      </c>
      <c r="B3022" s="20" t="s">
        <v>24</v>
      </c>
      <c r="C3022" s="20" t="s">
        <v>4846</v>
      </c>
      <c r="D3022" s="20" t="s">
        <v>5196</v>
      </c>
      <c r="E3022" s="20" t="s">
        <v>5197</v>
      </c>
      <c r="F3022" s="20">
        <v>35.553669999999997</v>
      </c>
      <c r="G3022" s="20">
        <v>45.361780000000003</v>
      </c>
      <c r="H3022" s="22">
        <v>168</v>
      </c>
      <c r="I3022" s="22">
        <v>1008</v>
      </c>
      <c r="J3022" s="21">
        <v>40</v>
      </c>
      <c r="K3022" s="21">
        <v>6</v>
      </c>
      <c r="L3022" s="21">
        <v>44</v>
      </c>
      <c r="M3022" s="21"/>
      <c r="N3022" s="21"/>
      <c r="O3022" s="21">
        <v>11</v>
      </c>
      <c r="P3022" s="21"/>
      <c r="Q3022" s="21"/>
      <c r="R3022" s="21">
        <v>22</v>
      </c>
      <c r="S3022" s="21"/>
      <c r="T3022" s="21"/>
      <c r="U3022" s="21"/>
      <c r="V3022" s="21">
        <v>14</v>
      </c>
      <c r="W3022" s="21"/>
      <c r="X3022" s="21">
        <v>31</v>
      </c>
      <c r="Y3022" s="21"/>
      <c r="Z3022" s="21"/>
      <c r="AA3022" s="21"/>
      <c r="AB3022" s="21"/>
      <c r="AC3022" s="21"/>
      <c r="AD3022" s="21"/>
      <c r="AE3022" s="21"/>
      <c r="AF3022" s="21"/>
      <c r="AG3022" s="21"/>
      <c r="AH3022" s="21">
        <v>168</v>
      </c>
      <c r="AI3022" s="21"/>
      <c r="AJ3022" s="21"/>
      <c r="AK3022" s="21"/>
      <c r="AL3022" s="21">
        <v>17</v>
      </c>
      <c r="AM3022" s="21">
        <v>42</v>
      </c>
      <c r="AN3022" s="21">
        <v>39</v>
      </c>
      <c r="AO3022" s="21">
        <v>33</v>
      </c>
      <c r="AP3022" s="21">
        <v>6</v>
      </c>
      <c r="AQ3022" s="21">
        <v>8</v>
      </c>
      <c r="AR3022" s="21">
        <v>1</v>
      </c>
      <c r="AS3022" s="21">
        <v>22</v>
      </c>
      <c r="AT3022" s="12" t="str">
        <f>HYPERLINK("http://www.openstreetmap.org/?mlat=35.5537&amp;mlon=45.3618&amp;zoom=12#map=12/35.5537/45.3618","Maplink1")</f>
        <v>Maplink1</v>
      </c>
      <c r="AU3022" s="12" t="str">
        <f>HYPERLINK("https://www.google.iq/maps/search/+35.5537,45.3618/@35.5537,45.3618,14z?hl=en","Maplink2")</f>
        <v>Maplink2</v>
      </c>
      <c r="AV3022" s="12" t="str">
        <f>HYPERLINK("http://www.bing.com/maps/?lvl=14&amp;sty=h&amp;cp=35.5537~45.3618&amp;sp=point.35.5537_45.3618","Maplink3")</f>
        <v>Maplink3</v>
      </c>
    </row>
    <row r="3023" spans="1:48" ht="15" customHeight="1" x14ac:dyDescent="0.25">
      <c r="A3023" s="19">
        <v>5813</v>
      </c>
      <c r="B3023" s="20" t="s">
        <v>24</v>
      </c>
      <c r="C3023" s="20" t="s">
        <v>4846</v>
      </c>
      <c r="D3023" s="20" t="s">
        <v>5198</v>
      </c>
      <c r="E3023" s="20" t="s">
        <v>5199</v>
      </c>
      <c r="F3023" s="20">
        <v>35.576714010000003</v>
      </c>
      <c r="G3023" s="20">
        <v>45.418217009999999</v>
      </c>
      <c r="H3023" s="22">
        <v>91</v>
      </c>
      <c r="I3023" s="22">
        <v>546</v>
      </c>
      <c r="J3023" s="21">
        <v>30</v>
      </c>
      <c r="K3023" s="21">
        <v>1</v>
      </c>
      <c r="L3023" s="21">
        <v>40</v>
      </c>
      <c r="M3023" s="21"/>
      <c r="N3023" s="21"/>
      <c r="O3023" s="21">
        <v>8</v>
      </c>
      <c r="P3023" s="21"/>
      <c r="Q3023" s="21"/>
      <c r="R3023" s="21"/>
      <c r="S3023" s="21"/>
      <c r="T3023" s="21"/>
      <c r="U3023" s="21"/>
      <c r="V3023" s="21">
        <v>5</v>
      </c>
      <c r="W3023" s="21"/>
      <c r="X3023" s="21">
        <v>7</v>
      </c>
      <c r="Y3023" s="21"/>
      <c r="Z3023" s="21"/>
      <c r="AA3023" s="21"/>
      <c r="AB3023" s="21"/>
      <c r="AC3023" s="21"/>
      <c r="AD3023" s="21"/>
      <c r="AE3023" s="21"/>
      <c r="AF3023" s="21"/>
      <c r="AG3023" s="21"/>
      <c r="AH3023" s="21">
        <v>91</v>
      </c>
      <c r="AI3023" s="21"/>
      <c r="AJ3023" s="21"/>
      <c r="AK3023" s="21"/>
      <c r="AL3023" s="21">
        <v>8</v>
      </c>
      <c r="AM3023" s="21">
        <v>21</v>
      </c>
      <c r="AN3023" s="21">
        <v>8</v>
      </c>
      <c r="AO3023" s="21">
        <v>17</v>
      </c>
      <c r="AP3023" s="21">
        <v>14</v>
      </c>
      <c r="AQ3023" s="21">
        <v>10</v>
      </c>
      <c r="AR3023" s="21">
        <v>6</v>
      </c>
      <c r="AS3023" s="21">
        <v>7</v>
      </c>
      <c r="AT3023" s="12" t="str">
        <f>HYPERLINK("http://www.openstreetmap.org/?mlat=35.5767&amp;mlon=45.4182&amp;zoom=12#map=12/35.5767/45.4182","Maplink1")</f>
        <v>Maplink1</v>
      </c>
      <c r="AU3023" s="12" t="str">
        <f>HYPERLINK("https://www.google.iq/maps/search/+35.5767,45.4182/@35.5767,45.4182,14z?hl=en","Maplink2")</f>
        <v>Maplink2</v>
      </c>
      <c r="AV3023" s="12" t="str">
        <f>HYPERLINK("http://www.bing.com/maps/?lvl=14&amp;sty=h&amp;cp=35.5767~45.4182&amp;sp=point.35.5767_45.4182","Maplink3")</f>
        <v>Maplink3</v>
      </c>
    </row>
    <row r="3024" spans="1:48" ht="15" customHeight="1" x14ac:dyDescent="0.25">
      <c r="A3024" s="19">
        <v>31866</v>
      </c>
      <c r="B3024" s="20" t="s">
        <v>24</v>
      </c>
      <c r="C3024" s="20" t="s">
        <v>4846</v>
      </c>
      <c r="D3024" s="20" t="s">
        <v>5200</v>
      </c>
      <c r="E3024" s="20" t="s">
        <v>5201</v>
      </c>
      <c r="F3024" s="20">
        <v>35.416260000000001</v>
      </c>
      <c r="G3024" s="20">
        <v>45.461419999999997</v>
      </c>
      <c r="H3024" s="22">
        <v>28</v>
      </c>
      <c r="I3024" s="22">
        <v>168</v>
      </c>
      <c r="J3024" s="21">
        <v>8</v>
      </c>
      <c r="K3024" s="21">
        <v>2</v>
      </c>
      <c r="L3024" s="21">
        <v>4</v>
      </c>
      <c r="M3024" s="21"/>
      <c r="N3024" s="21"/>
      <c r="O3024" s="21">
        <v>2</v>
      </c>
      <c r="P3024" s="21"/>
      <c r="Q3024" s="21"/>
      <c r="R3024" s="21"/>
      <c r="S3024" s="21"/>
      <c r="T3024" s="21"/>
      <c r="U3024" s="21"/>
      <c r="V3024" s="21"/>
      <c r="W3024" s="21"/>
      <c r="X3024" s="21">
        <v>12</v>
      </c>
      <c r="Y3024" s="21"/>
      <c r="Z3024" s="21"/>
      <c r="AA3024" s="21"/>
      <c r="AB3024" s="21"/>
      <c r="AC3024" s="21"/>
      <c r="AD3024" s="21"/>
      <c r="AE3024" s="21"/>
      <c r="AF3024" s="21"/>
      <c r="AG3024" s="21"/>
      <c r="AH3024" s="21">
        <v>28</v>
      </c>
      <c r="AI3024" s="21"/>
      <c r="AJ3024" s="21"/>
      <c r="AK3024" s="21"/>
      <c r="AL3024" s="21"/>
      <c r="AM3024" s="21"/>
      <c r="AN3024" s="21">
        <v>21</v>
      </c>
      <c r="AO3024" s="21">
        <v>6</v>
      </c>
      <c r="AP3024" s="21">
        <v>1</v>
      </c>
      <c r="AQ3024" s="21"/>
      <c r="AR3024" s="21"/>
      <c r="AS3024" s="21"/>
      <c r="AT3024" s="12" t="str">
        <f>HYPERLINK("http://www.openstreetmap.org/?mlat=35.4163&amp;mlon=45.4614&amp;zoom=12#map=12/35.4163/45.4614","Maplink1")</f>
        <v>Maplink1</v>
      </c>
      <c r="AU3024" s="12" t="str">
        <f>HYPERLINK("https://www.google.iq/maps/search/+35.4163,45.4614/@35.4163,45.4614,14z?hl=en","Maplink2")</f>
        <v>Maplink2</v>
      </c>
      <c r="AV3024" s="12" t="str">
        <f>HYPERLINK("http://www.bing.com/maps/?lvl=14&amp;sty=h&amp;cp=35.4163~45.4614&amp;sp=point.35.4163_45.4614","Maplink3")</f>
        <v>Maplink3</v>
      </c>
    </row>
    <row r="3025" spans="1:48" ht="15" customHeight="1" x14ac:dyDescent="0.25">
      <c r="A3025" s="19">
        <v>31990</v>
      </c>
      <c r="B3025" s="20" t="s">
        <v>24</v>
      </c>
      <c r="C3025" s="20" t="s">
        <v>4846</v>
      </c>
      <c r="D3025" s="20" t="s">
        <v>5202</v>
      </c>
      <c r="E3025" s="20" t="s">
        <v>5203</v>
      </c>
      <c r="F3025" s="20">
        <v>35.588120000000004</v>
      </c>
      <c r="G3025" s="20">
        <v>45.421419999999998</v>
      </c>
      <c r="H3025" s="22">
        <v>87</v>
      </c>
      <c r="I3025" s="22">
        <v>522</v>
      </c>
      <c r="J3025" s="21">
        <v>37</v>
      </c>
      <c r="K3025" s="21"/>
      <c r="L3025" s="21">
        <v>27</v>
      </c>
      <c r="M3025" s="21"/>
      <c r="N3025" s="21"/>
      <c r="O3025" s="21">
        <v>6</v>
      </c>
      <c r="P3025" s="21"/>
      <c r="Q3025" s="21"/>
      <c r="R3025" s="21"/>
      <c r="S3025" s="21"/>
      <c r="T3025" s="21"/>
      <c r="U3025" s="21"/>
      <c r="V3025" s="21">
        <v>6</v>
      </c>
      <c r="W3025" s="21"/>
      <c r="X3025" s="21">
        <v>11</v>
      </c>
      <c r="Y3025" s="21"/>
      <c r="Z3025" s="21"/>
      <c r="AA3025" s="21"/>
      <c r="AB3025" s="21"/>
      <c r="AC3025" s="21"/>
      <c r="AD3025" s="21"/>
      <c r="AE3025" s="21"/>
      <c r="AF3025" s="21"/>
      <c r="AG3025" s="21"/>
      <c r="AH3025" s="21">
        <v>87</v>
      </c>
      <c r="AI3025" s="21"/>
      <c r="AJ3025" s="21"/>
      <c r="AK3025" s="21"/>
      <c r="AL3025" s="21">
        <v>5</v>
      </c>
      <c r="AM3025" s="21">
        <v>12</v>
      </c>
      <c r="AN3025" s="21">
        <v>13</v>
      </c>
      <c r="AO3025" s="21">
        <v>13</v>
      </c>
      <c r="AP3025" s="21">
        <v>22</v>
      </c>
      <c r="AQ3025" s="21">
        <v>18</v>
      </c>
      <c r="AR3025" s="21">
        <v>3</v>
      </c>
      <c r="AS3025" s="21">
        <v>1</v>
      </c>
      <c r="AT3025" s="12" t="str">
        <f>HYPERLINK("http://www.openstreetmap.org/?mlat=35.5881&amp;mlon=45.4214&amp;zoom=12#map=12/35.5881/45.4214","Maplink1")</f>
        <v>Maplink1</v>
      </c>
      <c r="AU3025" s="12" t="str">
        <f>HYPERLINK("https://www.google.iq/maps/search/+35.5881,45.4214/@35.5881,45.4214,14z?hl=en","Maplink2")</f>
        <v>Maplink2</v>
      </c>
      <c r="AV3025" s="12" t="str">
        <f>HYPERLINK("http://www.bing.com/maps/?lvl=14&amp;sty=h&amp;cp=35.5881~45.4214&amp;sp=point.35.5881_45.4214","Maplink3")</f>
        <v>Maplink3</v>
      </c>
    </row>
    <row r="3026" spans="1:48" ht="15" customHeight="1" x14ac:dyDescent="0.25">
      <c r="A3026" s="19">
        <v>32004</v>
      </c>
      <c r="B3026" s="20" t="s">
        <v>24</v>
      </c>
      <c r="C3026" s="20" t="s">
        <v>4846</v>
      </c>
      <c r="D3026" s="20" t="s">
        <v>5204</v>
      </c>
      <c r="E3026" s="20" t="s">
        <v>5205</v>
      </c>
      <c r="F3026" s="20">
        <v>35.598210000000002</v>
      </c>
      <c r="G3026" s="20">
        <v>45.41695</v>
      </c>
      <c r="H3026" s="22">
        <v>32</v>
      </c>
      <c r="I3026" s="22">
        <v>192</v>
      </c>
      <c r="J3026" s="21">
        <v>21</v>
      </c>
      <c r="K3026" s="21"/>
      <c r="L3026" s="21">
        <v>6</v>
      </c>
      <c r="M3026" s="21"/>
      <c r="N3026" s="21"/>
      <c r="O3026" s="21"/>
      <c r="P3026" s="21"/>
      <c r="Q3026" s="21"/>
      <c r="R3026" s="21"/>
      <c r="S3026" s="21"/>
      <c r="T3026" s="21"/>
      <c r="U3026" s="21"/>
      <c r="V3026" s="21">
        <v>2</v>
      </c>
      <c r="W3026" s="21"/>
      <c r="X3026" s="21">
        <v>3</v>
      </c>
      <c r="Y3026" s="21"/>
      <c r="Z3026" s="21"/>
      <c r="AA3026" s="21"/>
      <c r="AB3026" s="21"/>
      <c r="AC3026" s="21"/>
      <c r="AD3026" s="21"/>
      <c r="AE3026" s="21"/>
      <c r="AF3026" s="21"/>
      <c r="AG3026" s="21"/>
      <c r="AH3026" s="21">
        <v>32</v>
      </c>
      <c r="AI3026" s="21"/>
      <c r="AJ3026" s="21"/>
      <c r="AK3026" s="21"/>
      <c r="AL3026" s="21">
        <v>4</v>
      </c>
      <c r="AM3026" s="21">
        <v>12</v>
      </c>
      <c r="AN3026" s="21">
        <v>4</v>
      </c>
      <c r="AO3026" s="21">
        <v>6</v>
      </c>
      <c r="AP3026" s="21">
        <v>4</v>
      </c>
      <c r="AQ3026" s="21">
        <v>2</v>
      </c>
      <c r="AR3026" s="21"/>
      <c r="AS3026" s="21"/>
      <c r="AT3026" s="12" t="str">
        <f>HYPERLINK("http://www.openstreetmap.org/?mlat=35.5982&amp;mlon=45.417&amp;zoom=12#map=12/35.5982/45.417","Maplink1")</f>
        <v>Maplink1</v>
      </c>
      <c r="AU3026" s="12" t="str">
        <f>HYPERLINK("https://www.google.iq/maps/search/+35.5982,45.417/@35.5982,45.417,14z?hl=en","Maplink2")</f>
        <v>Maplink2</v>
      </c>
      <c r="AV3026" s="12" t="str">
        <f>HYPERLINK("http://www.bing.com/maps/?lvl=14&amp;sty=h&amp;cp=35.5982~45.417&amp;sp=point.35.5982_45.417","Maplink3")</f>
        <v>Maplink3</v>
      </c>
    </row>
    <row r="3027" spans="1:48" ht="15" customHeight="1" x14ac:dyDescent="0.25">
      <c r="A3027" s="19">
        <v>22177</v>
      </c>
      <c r="B3027" s="20" t="s">
        <v>25</v>
      </c>
      <c r="C3027" s="20" t="s">
        <v>5206</v>
      </c>
      <c r="D3027" s="20" t="s">
        <v>5207</v>
      </c>
      <c r="E3027" s="20" t="s">
        <v>5208</v>
      </c>
      <c r="F3027" s="20">
        <v>30.973159370000001</v>
      </c>
      <c r="G3027" s="20">
        <v>46.722673620000002</v>
      </c>
      <c r="H3027" s="22">
        <v>2</v>
      </c>
      <c r="I3027" s="22">
        <v>12</v>
      </c>
      <c r="J3027" s="21"/>
      <c r="K3027" s="21"/>
      <c r="L3027" s="21"/>
      <c r="M3027" s="21"/>
      <c r="N3027" s="21"/>
      <c r="O3027" s="21"/>
      <c r="P3027" s="21"/>
      <c r="Q3027" s="21"/>
      <c r="R3027" s="21"/>
      <c r="S3027" s="21"/>
      <c r="T3027" s="21"/>
      <c r="U3027" s="21"/>
      <c r="V3027" s="21">
        <v>2</v>
      </c>
      <c r="W3027" s="21"/>
      <c r="X3027" s="21"/>
      <c r="Y3027" s="21"/>
      <c r="Z3027" s="21"/>
      <c r="AA3027" s="21"/>
      <c r="AB3027" s="21"/>
      <c r="AC3027" s="21"/>
      <c r="AD3027" s="21"/>
      <c r="AE3027" s="21"/>
      <c r="AF3027" s="21"/>
      <c r="AG3027" s="21"/>
      <c r="AH3027" s="21">
        <v>2</v>
      </c>
      <c r="AI3027" s="21"/>
      <c r="AJ3027" s="21"/>
      <c r="AK3027" s="21"/>
      <c r="AL3027" s="21"/>
      <c r="AM3027" s="21"/>
      <c r="AN3027" s="21">
        <v>2</v>
      </c>
      <c r="AO3027" s="21"/>
      <c r="AP3027" s="21"/>
      <c r="AQ3027" s="21"/>
      <c r="AR3027" s="21"/>
      <c r="AS3027" s="21"/>
      <c r="AT3027" s="12" t="str">
        <f>HYPERLINK("http://www.openstreetmap.org/?mlat=30.9732&amp;mlon=46.7227&amp;zoom=12#map=12/30.9732/46.7227","Maplink1")</f>
        <v>Maplink1</v>
      </c>
      <c r="AU3027" s="12" t="str">
        <f>HYPERLINK("https://www.google.iq/maps/search/+30.9732,46.7227/@30.9732,46.7227,14z?hl=en","Maplink2")</f>
        <v>Maplink2</v>
      </c>
      <c r="AV3027" s="12" t="str">
        <f>HYPERLINK("http://www.bing.com/maps/?lvl=14&amp;sty=h&amp;cp=30.9732~46.7227&amp;sp=point.30.9732_46.7227","Maplink3")</f>
        <v>Maplink3</v>
      </c>
    </row>
    <row r="3028" spans="1:48" ht="15" customHeight="1" x14ac:dyDescent="0.25">
      <c r="A3028" s="19">
        <v>8881</v>
      </c>
      <c r="B3028" s="20" t="s">
        <v>25</v>
      </c>
      <c r="C3028" s="20" t="s">
        <v>5206</v>
      </c>
      <c r="D3028" s="20" t="s">
        <v>5209</v>
      </c>
      <c r="E3028" s="20" t="s">
        <v>5210</v>
      </c>
      <c r="F3028" s="20">
        <v>30.960129284800001</v>
      </c>
      <c r="G3028" s="20">
        <v>46.846534257800002</v>
      </c>
      <c r="H3028" s="22">
        <v>2</v>
      </c>
      <c r="I3028" s="22">
        <v>12</v>
      </c>
      <c r="J3028" s="21"/>
      <c r="K3028" s="21"/>
      <c r="L3028" s="21"/>
      <c r="M3028" s="21"/>
      <c r="N3028" s="21"/>
      <c r="O3028" s="21"/>
      <c r="P3028" s="21"/>
      <c r="Q3028" s="21"/>
      <c r="R3028" s="21"/>
      <c r="S3028" s="21"/>
      <c r="T3028" s="21"/>
      <c r="U3028" s="21"/>
      <c r="V3028" s="21">
        <v>2</v>
      </c>
      <c r="W3028" s="21"/>
      <c r="X3028" s="21"/>
      <c r="Y3028" s="21"/>
      <c r="Z3028" s="21"/>
      <c r="AA3028" s="21"/>
      <c r="AB3028" s="21"/>
      <c r="AC3028" s="21"/>
      <c r="AD3028" s="21"/>
      <c r="AE3028" s="21"/>
      <c r="AF3028" s="21"/>
      <c r="AG3028" s="21"/>
      <c r="AH3028" s="21">
        <v>2</v>
      </c>
      <c r="AI3028" s="21"/>
      <c r="AJ3028" s="21"/>
      <c r="AK3028" s="21"/>
      <c r="AL3028" s="21"/>
      <c r="AM3028" s="21">
        <v>2</v>
      </c>
      <c r="AN3028" s="21"/>
      <c r="AO3028" s="21"/>
      <c r="AP3028" s="21"/>
      <c r="AQ3028" s="21"/>
      <c r="AR3028" s="21"/>
      <c r="AS3028" s="21"/>
      <c r="AT3028" s="12" t="str">
        <f>HYPERLINK("http://www.openstreetmap.org/?mlat=30.9601&amp;mlon=46.8465&amp;zoom=12#map=12/30.9601/46.8465","Maplink1")</f>
        <v>Maplink1</v>
      </c>
      <c r="AU3028" s="12" t="str">
        <f>HYPERLINK("https://www.google.iq/maps/search/+30.9601,46.8465/@30.9601,46.8465,14z?hl=en","Maplink2")</f>
        <v>Maplink2</v>
      </c>
      <c r="AV3028" s="12" t="str">
        <f>HYPERLINK("http://www.bing.com/maps/?lvl=14&amp;sty=h&amp;cp=30.9601~46.8465&amp;sp=point.30.9601_46.8465","Maplink3")</f>
        <v>Maplink3</v>
      </c>
    </row>
    <row r="3029" spans="1:48" ht="15" customHeight="1" x14ac:dyDescent="0.25">
      <c r="A3029" s="19">
        <v>10297</v>
      </c>
      <c r="B3029" s="20" t="s">
        <v>25</v>
      </c>
      <c r="C3029" s="20" t="s">
        <v>5211</v>
      </c>
      <c r="D3029" s="20" t="s">
        <v>3738</v>
      </c>
      <c r="E3029" s="20" t="s">
        <v>129</v>
      </c>
      <c r="F3029" s="20">
        <v>31.713078840000001</v>
      </c>
      <c r="G3029" s="20">
        <v>46.114472540000001</v>
      </c>
      <c r="H3029" s="22">
        <v>9</v>
      </c>
      <c r="I3029" s="22">
        <v>54</v>
      </c>
      <c r="J3029" s="21"/>
      <c r="K3029" s="21"/>
      <c r="L3029" s="21"/>
      <c r="M3029" s="21"/>
      <c r="N3029" s="21"/>
      <c r="O3029" s="21"/>
      <c r="P3029" s="21"/>
      <c r="Q3029" s="21"/>
      <c r="R3029" s="21">
        <v>5</v>
      </c>
      <c r="S3029" s="21"/>
      <c r="T3029" s="21"/>
      <c r="U3029" s="21"/>
      <c r="V3029" s="21">
        <v>4</v>
      </c>
      <c r="W3029" s="21"/>
      <c r="X3029" s="21"/>
      <c r="Y3029" s="21"/>
      <c r="Z3029" s="21"/>
      <c r="AA3029" s="21"/>
      <c r="AB3029" s="21"/>
      <c r="AC3029" s="21"/>
      <c r="AD3029" s="21"/>
      <c r="AE3029" s="21"/>
      <c r="AF3029" s="21"/>
      <c r="AG3029" s="21"/>
      <c r="AH3029" s="21">
        <v>9</v>
      </c>
      <c r="AI3029" s="21"/>
      <c r="AJ3029" s="21"/>
      <c r="AK3029" s="21"/>
      <c r="AL3029" s="21"/>
      <c r="AM3029" s="21">
        <v>9</v>
      </c>
      <c r="AN3029" s="21"/>
      <c r="AO3029" s="21"/>
      <c r="AP3029" s="21"/>
      <c r="AQ3029" s="21"/>
      <c r="AR3029" s="21"/>
      <c r="AS3029" s="21"/>
      <c r="AT3029" s="12" t="str">
        <f>HYPERLINK("http://www.openstreetmap.org/?mlat=31.7131&amp;mlon=46.1145&amp;zoom=12#map=12/31.7131/46.1145","Maplink1")</f>
        <v>Maplink1</v>
      </c>
      <c r="AU3029" s="12" t="str">
        <f>HYPERLINK("https://www.google.iq/maps/search/+31.7131,46.1145/@31.7131,46.1145,14z?hl=en","Maplink2")</f>
        <v>Maplink2</v>
      </c>
      <c r="AV3029" s="12" t="str">
        <f>HYPERLINK("http://www.bing.com/maps/?lvl=14&amp;sty=h&amp;cp=31.7131~46.1145&amp;sp=point.31.7131_46.1145","Maplink3")</f>
        <v>Maplink3</v>
      </c>
    </row>
    <row r="3030" spans="1:48" ht="15" customHeight="1" x14ac:dyDescent="0.25">
      <c r="A3030" s="19">
        <v>24722</v>
      </c>
      <c r="B3030" s="20" t="s">
        <v>25</v>
      </c>
      <c r="C3030" s="20" t="s">
        <v>5211</v>
      </c>
      <c r="D3030" s="20" t="s">
        <v>4260</v>
      </c>
      <c r="E3030" s="20" t="s">
        <v>318</v>
      </c>
      <c r="F3030" s="20">
        <v>31.711045249400001</v>
      </c>
      <c r="G3030" s="20">
        <v>46.118603551900001</v>
      </c>
      <c r="H3030" s="22">
        <v>18</v>
      </c>
      <c r="I3030" s="22">
        <v>108</v>
      </c>
      <c r="J3030" s="21"/>
      <c r="K3030" s="21"/>
      <c r="L3030" s="21"/>
      <c r="M3030" s="21"/>
      <c r="N3030" s="21"/>
      <c r="O3030" s="21"/>
      <c r="P3030" s="21"/>
      <c r="Q3030" s="21"/>
      <c r="R3030" s="21"/>
      <c r="S3030" s="21"/>
      <c r="T3030" s="21"/>
      <c r="U3030" s="21"/>
      <c r="V3030" s="21">
        <v>18</v>
      </c>
      <c r="W3030" s="21"/>
      <c r="X3030" s="21"/>
      <c r="Y3030" s="21"/>
      <c r="Z3030" s="21"/>
      <c r="AA3030" s="21"/>
      <c r="AB3030" s="21"/>
      <c r="AC3030" s="21">
        <v>6</v>
      </c>
      <c r="AD3030" s="21"/>
      <c r="AE3030" s="21"/>
      <c r="AF3030" s="21"/>
      <c r="AG3030" s="21"/>
      <c r="AH3030" s="21">
        <v>12</v>
      </c>
      <c r="AI3030" s="21"/>
      <c r="AJ3030" s="21"/>
      <c r="AK3030" s="21"/>
      <c r="AL3030" s="21"/>
      <c r="AM3030" s="21">
        <v>18</v>
      </c>
      <c r="AN3030" s="21"/>
      <c r="AO3030" s="21"/>
      <c r="AP3030" s="21"/>
      <c r="AQ3030" s="21"/>
      <c r="AR3030" s="21"/>
      <c r="AS3030" s="21"/>
      <c r="AT3030" s="12" t="str">
        <f>HYPERLINK("http://www.openstreetmap.org/?mlat=31.711&amp;mlon=46.1186&amp;zoom=12#map=12/31.711/46.1186","Maplink1")</f>
        <v>Maplink1</v>
      </c>
      <c r="AU3030" s="12" t="str">
        <f>HYPERLINK("https://www.google.iq/maps/search/+31.711,46.1186/@31.711,46.1186,14z?hl=en","Maplink2")</f>
        <v>Maplink2</v>
      </c>
      <c r="AV3030" s="12" t="str">
        <f>HYPERLINK("http://www.bing.com/maps/?lvl=14&amp;sty=h&amp;cp=31.711~46.1186&amp;sp=point.31.711_46.1186","Maplink3")</f>
        <v>Maplink3</v>
      </c>
    </row>
    <row r="3031" spans="1:48" ht="15" customHeight="1" x14ac:dyDescent="0.25">
      <c r="A3031" s="19">
        <v>21965</v>
      </c>
      <c r="B3031" s="20" t="s">
        <v>25</v>
      </c>
      <c r="C3031" s="20" t="s">
        <v>5211</v>
      </c>
      <c r="D3031" s="20" t="s">
        <v>5212</v>
      </c>
      <c r="E3031" s="20" t="s">
        <v>5213</v>
      </c>
      <c r="F3031" s="20">
        <v>31.721113989999999</v>
      </c>
      <c r="G3031" s="20">
        <v>46.104738089999998</v>
      </c>
      <c r="H3031" s="22">
        <v>18</v>
      </c>
      <c r="I3031" s="22">
        <v>108</v>
      </c>
      <c r="J3031" s="21"/>
      <c r="K3031" s="21"/>
      <c r="L3031" s="21"/>
      <c r="M3031" s="21"/>
      <c r="N3031" s="21"/>
      <c r="O3031" s="21"/>
      <c r="P3031" s="21"/>
      <c r="Q3031" s="21"/>
      <c r="R3031" s="21"/>
      <c r="S3031" s="21"/>
      <c r="T3031" s="21"/>
      <c r="U3031" s="21"/>
      <c r="V3031" s="21">
        <v>12</v>
      </c>
      <c r="W3031" s="21"/>
      <c r="X3031" s="21">
        <v>6</v>
      </c>
      <c r="Y3031" s="21"/>
      <c r="Z3031" s="21"/>
      <c r="AA3031" s="21"/>
      <c r="AB3031" s="21"/>
      <c r="AC3031" s="21">
        <v>6</v>
      </c>
      <c r="AD3031" s="21"/>
      <c r="AE3031" s="21"/>
      <c r="AF3031" s="21"/>
      <c r="AG3031" s="21"/>
      <c r="AH3031" s="21">
        <v>12</v>
      </c>
      <c r="AI3031" s="21"/>
      <c r="AJ3031" s="21"/>
      <c r="AK3031" s="21"/>
      <c r="AL3031" s="21"/>
      <c r="AM3031" s="21">
        <v>12</v>
      </c>
      <c r="AN3031" s="21">
        <v>6</v>
      </c>
      <c r="AO3031" s="21"/>
      <c r="AP3031" s="21"/>
      <c r="AQ3031" s="21"/>
      <c r="AR3031" s="21"/>
      <c r="AS3031" s="21"/>
      <c r="AT3031" s="12" t="str">
        <f>HYPERLINK("http://www.openstreetmap.org/?mlat=31.7211&amp;mlon=46.1047&amp;zoom=12#map=12/31.7211/46.1047","Maplink1")</f>
        <v>Maplink1</v>
      </c>
      <c r="AU3031" s="12" t="str">
        <f>HYPERLINK("https://www.google.iq/maps/search/+31.7211,46.1047/@31.7211,46.1047,14z?hl=en","Maplink2")</f>
        <v>Maplink2</v>
      </c>
      <c r="AV3031" s="12" t="str">
        <f>HYPERLINK("http://www.bing.com/maps/?lvl=14&amp;sty=h&amp;cp=31.7211~46.1047&amp;sp=point.31.7211_46.1047","Maplink3")</f>
        <v>Maplink3</v>
      </c>
    </row>
    <row r="3032" spans="1:48" ht="15" customHeight="1" x14ac:dyDescent="0.25">
      <c r="A3032" s="19">
        <v>9096</v>
      </c>
      <c r="B3032" s="20" t="s">
        <v>25</v>
      </c>
      <c r="C3032" s="20" t="s">
        <v>5211</v>
      </c>
      <c r="D3032" s="20" t="s">
        <v>5214</v>
      </c>
      <c r="E3032" s="20" t="s">
        <v>5215</v>
      </c>
      <c r="F3032" s="20">
        <v>31.53697987</v>
      </c>
      <c r="G3032" s="20">
        <v>46.124014549999998</v>
      </c>
      <c r="H3032" s="22">
        <v>33</v>
      </c>
      <c r="I3032" s="22">
        <v>198</v>
      </c>
      <c r="J3032" s="21">
        <v>1</v>
      </c>
      <c r="K3032" s="21"/>
      <c r="L3032" s="21"/>
      <c r="M3032" s="21"/>
      <c r="N3032" s="21"/>
      <c r="O3032" s="21"/>
      <c r="P3032" s="21"/>
      <c r="Q3032" s="21"/>
      <c r="R3032" s="21"/>
      <c r="S3032" s="21"/>
      <c r="T3032" s="21"/>
      <c r="U3032" s="21"/>
      <c r="V3032" s="21">
        <v>28</v>
      </c>
      <c r="W3032" s="21"/>
      <c r="X3032" s="21">
        <v>4</v>
      </c>
      <c r="Y3032" s="21"/>
      <c r="Z3032" s="21"/>
      <c r="AA3032" s="21"/>
      <c r="AB3032" s="21"/>
      <c r="AC3032" s="21">
        <v>18</v>
      </c>
      <c r="AD3032" s="21">
        <v>5</v>
      </c>
      <c r="AE3032" s="21"/>
      <c r="AF3032" s="21"/>
      <c r="AG3032" s="21"/>
      <c r="AH3032" s="21">
        <v>10</v>
      </c>
      <c r="AI3032" s="21"/>
      <c r="AJ3032" s="21"/>
      <c r="AK3032" s="21"/>
      <c r="AL3032" s="21"/>
      <c r="AM3032" s="21">
        <v>18</v>
      </c>
      <c r="AN3032" s="21">
        <v>15</v>
      </c>
      <c r="AO3032" s="21"/>
      <c r="AP3032" s="21"/>
      <c r="AQ3032" s="21"/>
      <c r="AR3032" s="21"/>
      <c r="AS3032" s="21"/>
      <c r="AT3032" s="12" t="str">
        <f>HYPERLINK("http://www.openstreetmap.org/?mlat=31.537&amp;mlon=46.124&amp;zoom=12#map=12/31.537/46.124","Maplink1")</f>
        <v>Maplink1</v>
      </c>
      <c r="AU3032" s="12" t="str">
        <f>HYPERLINK("https://www.google.iq/maps/search/+31.537,46.124/@31.537,46.124,14z?hl=en","Maplink2")</f>
        <v>Maplink2</v>
      </c>
      <c r="AV3032" s="12" t="str">
        <f>HYPERLINK("http://www.bing.com/maps/?lvl=14&amp;sty=h&amp;cp=31.537~46.124&amp;sp=point.31.537_46.124","Maplink3")</f>
        <v>Maplink3</v>
      </c>
    </row>
    <row r="3033" spans="1:48" ht="15" customHeight="1" x14ac:dyDescent="0.25">
      <c r="A3033" s="19">
        <v>9040</v>
      </c>
      <c r="B3033" s="20" t="s">
        <v>25</v>
      </c>
      <c r="C3033" s="20" t="s">
        <v>5211</v>
      </c>
      <c r="D3033" s="20" t="s">
        <v>5216</v>
      </c>
      <c r="E3033" s="20" t="s">
        <v>5217</v>
      </c>
      <c r="F3033" s="20">
        <v>31.858996909999998</v>
      </c>
      <c r="G3033" s="20">
        <v>46.07834399</v>
      </c>
      <c r="H3033" s="22">
        <v>25</v>
      </c>
      <c r="I3033" s="22">
        <v>150</v>
      </c>
      <c r="J3033" s="21">
        <v>1</v>
      </c>
      <c r="K3033" s="21"/>
      <c r="L3033" s="21"/>
      <c r="M3033" s="21"/>
      <c r="N3033" s="21"/>
      <c r="O3033" s="21"/>
      <c r="P3033" s="21"/>
      <c r="Q3033" s="21"/>
      <c r="R3033" s="21">
        <v>3</v>
      </c>
      <c r="S3033" s="21"/>
      <c r="T3033" s="21"/>
      <c r="U3033" s="21"/>
      <c r="V3033" s="21">
        <v>19</v>
      </c>
      <c r="W3033" s="21"/>
      <c r="X3033" s="21">
        <v>2</v>
      </c>
      <c r="Y3033" s="21"/>
      <c r="Z3033" s="21"/>
      <c r="AA3033" s="21"/>
      <c r="AB3033" s="21"/>
      <c r="AC3033" s="21">
        <v>6</v>
      </c>
      <c r="AD3033" s="21">
        <v>6</v>
      </c>
      <c r="AE3033" s="21"/>
      <c r="AF3033" s="21"/>
      <c r="AG3033" s="21">
        <v>2</v>
      </c>
      <c r="AH3033" s="21">
        <v>11</v>
      </c>
      <c r="AI3033" s="21"/>
      <c r="AJ3033" s="21"/>
      <c r="AK3033" s="21"/>
      <c r="AL3033" s="21">
        <v>10</v>
      </c>
      <c r="AM3033" s="21">
        <v>1</v>
      </c>
      <c r="AN3033" s="21">
        <v>14</v>
      </c>
      <c r="AO3033" s="21"/>
      <c r="AP3033" s="21"/>
      <c r="AQ3033" s="21"/>
      <c r="AR3033" s="21"/>
      <c r="AS3033" s="21"/>
      <c r="AT3033" s="12" t="str">
        <f>HYPERLINK("http://www.openstreetmap.org/?mlat=31.859&amp;mlon=46.0783&amp;zoom=12#map=12/31.859/46.0783","Maplink1")</f>
        <v>Maplink1</v>
      </c>
      <c r="AU3033" s="12" t="str">
        <f>HYPERLINK("https://www.google.iq/maps/search/+31.859,46.0783/@31.859,46.0783,14z?hl=en","Maplink2")</f>
        <v>Maplink2</v>
      </c>
      <c r="AV3033" s="12" t="str">
        <f>HYPERLINK("http://www.bing.com/maps/?lvl=14&amp;sty=h&amp;cp=31.859~46.0783&amp;sp=point.31.859_46.0783","Maplink3")</f>
        <v>Maplink3</v>
      </c>
    </row>
    <row r="3034" spans="1:48" ht="15" customHeight="1" x14ac:dyDescent="0.25">
      <c r="A3034" s="19">
        <v>8889</v>
      </c>
      <c r="B3034" s="20" t="s">
        <v>25</v>
      </c>
      <c r="C3034" s="20" t="s">
        <v>5211</v>
      </c>
      <c r="D3034" s="20" t="s">
        <v>5218</v>
      </c>
      <c r="E3034" s="20" t="s">
        <v>5219</v>
      </c>
      <c r="F3034" s="20">
        <v>31.7154665885</v>
      </c>
      <c r="G3034" s="20">
        <v>46.1093990639</v>
      </c>
      <c r="H3034" s="22">
        <v>25</v>
      </c>
      <c r="I3034" s="22">
        <v>150</v>
      </c>
      <c r="J3034" s="21"/>
      <c r="K3034" s="21"/>
      <c r="L3034" s="21"/>
      <c r="M3034" s="21"/>
      <c r="N3034" s="21"/>
      <c r="O3034" s="21"/>
      <c r="P3034" s="21"/>
      <c r="Q3034" s="21"/>
      <c r="R3034" s="21">
        <v>7</v>
      </c>
      <c r="S3034" s="21"/>
      <c r="T3034" s="21"/>
      <c r="U3034" s="21"/>
      <c r="V3034" s="21">
        <v>18</v>
      </c>
      <c r="W3034" s="21"/>
      <c r="X3034" s="21"/>
      <c r="Y3034" s="21"/>
      <c r="Z3034" s="21"/>
      <c r="AA3034" s="21"/>
      <c r="AB3034" s="21"/>
      <c r="AC3034" s="21">
        <v>10</v>
      </c>
      <c r="AD3034" s="21"/>
      <c r="AE3034" s="21"/>
      <c r="AF3034" s="21"/>
      <c r="AG3034" s="21"/>
      <c r="AH3034" s="21">
        <v>15</v>
      </c>
      <c r="AI3034" s="21"/>
      <c r="AJ3034" s="21"/>
      <c r="AK3034" s="21"/>
      <c r="AL3034" s="21"/>
      <c r="AM3034" s="21"/>
      <c r="AN3034" s="21">
        <v>14</v>
      </c>
      <c r="AO3034" s="21">
        <v>11</v>
      </c>
      <c r="AP3034" s="21"/>
      <c r="AQ3034" s="21"/>
      <c r="AR3034" s="21"/>
      <c r="AS3034" s="21"/>
      <c r="AT3034" s="12" t="str">
        <f>HYPERLINK("http://www.openstreetmap.org/?mlat=31.7155&amp;mlon=46.1094&amp;zoom=12#map=12/31.7155/46.1094","Maplink1")</f>
        <v>Maplink1</v>
      </c>
      <c r="AU3034" s="12" t="str">
        <f>HYPERLINK("https://www.google.iq/maps/search/+31.7155,46.1094/@31.7155,46.1094,14z?hl=en","Maplink2")</f>
        <v>Maplink2</v>
      </c>
      <c r="AV3034" s="12" t="str">
        <f>HYPERLINK("http://www.bing.com/maps/?lvl=14&amp;sty=h&amp;cp=31.7155~46.1094&amp;sp=point.31.7155_46.1094","Maplink3")</f>
        <v>Maplink3</v>
      </c>
    </row>
    <row r="3035" spans="1:48" ht="15" customHeight="1" x14ac:dyDescent="0.25">
      <c r="A3035" s="19">
        <v>10250</v>
      </c>
      <c r="B3035" s="20" t="s">
        <v>25</v>
      </c>
      <c r="C3035" s="20" t="s">
        <v>5220</v>
      </c>
      <c r="D3035" s="20" t="s">
        <v>5221</v>
      </c>
      <c r="E3035" s="20" t="s">
        <v>5222</v>
      </c>
      <c r="F3035" s="20">
        <v>31.41168622</v>
      </c>
      <c r="G3035" s="20">
        <v>46.185905980000001</v>
      </c>
      <c r="H3035" s="22">
        <v>2</v>
      </c>
      <c r="I3035" s="22">
        <v>12</v>
      </c>
      <c r="J3035" s="21"/>
      <c r="K3035" s="21"/>
      <c r="L3035" s="21"/>
      <c r="M3035" s="21"/>
      <c r="N3035" s="21"/>
      <c r="O3035" s="21"/>
      <c r="P3035" s="21"/>
      <c r="Q3035" s="21"/>
      <c r="R3035" s="21"/>
      <c r="S3035" s="21"/>
      <c r="T3035" s="21"/>
      <c r="U3035" s="21"/>
      <c r="V3035" s="21">
        <v>2</v>
      </c>
      <c r="W3035" s="21"/>
      <c r="X3035" s="21"/>
      <c r="Y3035" s="21"/>
      <c r="Z3035" s="21"/>
      <c r="AA3035" s="21"/>
      <c r="AB3035" s="21"/>
      <c r="AC3035" s="21"/>
      <c r="AD3035" s="21"/>
      <c r="AE3035" s="21"/>
      <c r="AF3035" s="21"/>
      <c r="AG3035" s="21"/>
      <c r="AH3035" s="21">
        <v>2</v>
      </c>
      <c r="AI3035" s="21"/>
      <c r="AJ3035" s="21"/>
      <c r="AK3035" s="21"/>
      <c r="AL3035" s="21"/>
      <c r="AM3035" s="21"/>
      <c r="AN3035" s="21"/>
      <c r="AO3035" s="21">
        <v>2</v>
      </c>
      <c r="AP3035" s="21"/>
      <c r="AQ3035" s="21"/>
      <c r="AR3035" s="21"/>
      <c r="AS3035" s="21"/>
      <c r="AT3035" s="12" t="str">
        <f>HYPERLINK("http://www.openstreetmap.org/?mlat=31.4117&amp;mlon=46.1859&amp;zoom=12#map=12/31.4117/46.1859","Maplink1")</f>
        <v>Maplink1</v>
      </c>
      <c r="AU3035" s="12" t="str">
        <f>HYPERLINK("https://www.google.iq/maps/search/+31.4117,46.1859/@31.4117,46.1859,14z?hl=en","Maplink2")</f>
        <v>Maplink2</v>
      </c>
      <c r="AV3035" s="12" t="str">
        <f>HYPERLINK("http://www.bing.com/maps/?lvl=14&amp;sty=h&amp;cp=31.4117~46.1859&amp;sp=point.31.4117_46.1859","Maplink3")</f>
        <v>Maplink3</v>
      </c>
    </row>
    <row r="3036" spans="1:48" ht="15" customHeight="1" x14ac:dyDescent="0.25">
      <c r="A3036" s="19">
        <v>9880</v>
      </c>
      <c r="B3036" s="20" t="s">
        <v>25</v>
      </c>
      <c r="C3036" s="20" t="s">
        <v>5220</v>
      </c>
      <c r="D3036" s="20" t="s">
        <v>5223</v>
      </c>
      <c r="E3036" s="20" t="s">
        <v>5224</v>
      </c>
      <c r="F3036" s="20">
        <v>31.448579840000001</v>
      </c>
      <c r="G3036" s="20">
        <v>46.173043239999998</v>
      </c>
      <c r="H3036" s="22">
        <v>2</v>
      </c>
      <c r="I3036" s="22">
        <v>12</v>
      </c>
      <c r="J3036" s="21"/>
      <c r="K3036" s="21"/>
      <c r="L3036" s="21"/>
      <c r="M3036" s="21"/>
      <c r="N3036" s="21"/>
      <c r="O3036" s="21"/>
      <c r="P3036" s="21"/>
      <c r="Q3036" s="21"/>
      <c r="R3036" s="21"/>
      <c r="S3036" s="21"/>
      <c r="T3036" s="21"/>
      <c r="U3036" s="21"/>
      <c r="V3036" s="21">
        <v>2</v>
      </c>
      <c r="W3036" s="21"/>
      <c r="X3036" s="21"/>
      <c r="Y3036" s="21"/>
      <c r="Z3036" s="21"/>
      <c r="AA3036" s="21"/>
      <c r="AB3036" s="21"/>
      <c r="AC3036" s="21"/>
      <c r="AD3036" s="21"/>
      <c r="AE3036" s="21"/>
      <c r="AF3036" s="21"/>
      <c r="AG3036" s="21"/>
      <c r="AH3036" s="21">
        <v>2</v>
      </c>
      <c r="AI3036" s="21"/>
      <c r="AJ3036" s="21"/>
      <c r="AK3036" s="21"/>
      <c r="AL3036" s="21"/>
      <c r="AM3036" s="21">
        <v>2</v>
      </c>
      <c r="AN3036" s="21"/>
      <c r="AO3036" s="21"/>
      <c r="AP3036" s="21"/>
      <c r="AQ3036" s="21"/>
      <c r="AR3036" s="21"/>
      <c r="AS3036" s="21"/>
      <c r="AT3036" s="12" t="str">
        <f>HYPERLINK("http://www.openstreetmap.org/?mlat=31.4486&amp;mlon=46.173&amp;zoom=12#map=12/31.4486/46.173","Maplink1")</f>
        <v>Maplink1</v>
      </c>
      <c r="AU3036" s="12" t="str">
        <f>HYPERLINK("https://www.google.iq/maps/search/+31.4486,46.173/@31.4486,46.173,14z?hl=en","Maplink2")</f>
        <v>Maplink2</v>
      </c>
      <c r="AV3036" s="12" t="str">
        <f>HYPERLINK("http://www.bing.com/maps/?lvl=14&amp;sty=h&amp;cp=31.4486~46.173&amp;sp=point.31.4486_46.173","Maplink3")</f>
        <v>Maplink3</v>
      </c>
    </row>
    <row r="3037" spans="1:48" ht="15" customHeight="1" x14ac:dyDescent="0.25">
      <c r="A3037" s="19">
        <v>24538</v>
      </c>
      <c r="B3037" s="20" t="s">
        <v>25</v>
      </c>
      <c r="C3037" s="20" t="s">
        <v>5220</v>
      </c>
      <c r="D3037" s="20" t="s">
        <v>5225</v>
      </c>
      <c r="E3037" s="20" t="s">
        <v>5226</v>
      </c>
      <c r="F3037" s="20">
        <v>31.402873639999999</v>
      </c>
      <c r="G3037" s="20">
        <v>46.166205339999998</v>
      </c>
      <c r="H3037" s="22">
        <v>2</v>
      </c>
      <c r="I3037" s="22">
        <v>12</v>
      </c>
      <c r="J3037" s="21">
        <v>2</v>
      </c>
      <c r="K3037" s="21"/>
      <c r="L3037" s="21"/>
      <c r="M3037" s="21"/>
      <c r="N3037" s="21"/>
      <c r="O3037" s="21"/>
      <c r="P3037" s="21"/>
      <c r="Q3037" s="21"/>
      <c r="R3037" s="21"/>
      <c r="S3037" s="21"/>
      <c r="T3037" s="21"/>
      <c r="U3037" s="21"/>
      <c r="V3037" s="21"/>
      <c r="W3037" s="21"/>
      <c r="X3037" s="21"/>
      <c r="Y3037" s="21"/>
      <c r="Z3037" s="21"/>
      <c r="AA3037" s="21"/>
      <c r="AB3037" s="21"/>
      <c r="AC3037" s="21"/>
      <c r="AD3037" s="21"/>
      <c r="AE3037" s="21"/>
      <c r="AF3037" s="21"/>
      <c r="AG3037" s="21"/>
      <c r="AH3037" s="21">
        <v>2</v>
      </c>
      <c r="AI3037" s="21"/>
      <c r="AJ3037" s="21"/>
      <c r="AK3037" s="21"/>
      <c r="AL3037" s="21"/>
      <c r="AM3037" s="21"/>
      <c r="AN3037" s="21">
        <v>2</v>
      </c>
      <c r="AO3037" s="21"/>
      <c r="AP3037" s="21"/>
      <c r="AQ3037" s="21"/>
      <c r="AR3037" s="21"/>
      <c r="AS3037" s="21"/>
      <c r="AT3037" s="12" t="str">
        <f>HYPERLINK("http://www.openstreetmap.org/?mlat=31.4029&amp;mlon=46.1662&amp;zoom=12#map=12/31.4029/46.1662","Maplink1")</f>
        <v>Maplink1</v>
      </c>
      <c r="AU3037" s="12" t="str">
        <f>HYPERLINK("https://www.google.iq/maps/search/+31.4029,46.1662/@31.4029,46.1662,14z?hl=en","Maplink2")</f>
        <v>Maplink2</v>
      </c>
      <c r="AV3037" s="12" t="str">
        <f>HYPERLINK("http://www.bing.com/maps/?lvl=14&amp;sty=h&amp;cp=31.4029~46.1662&amp;sp=point.31.4029_46.1662","Maplink3")</f>
        <v>Maplink3</v>
      </c>
    </row>
    <row r="3038" spans="1:48" ht="15" customHeight="1" x14ac:dyDescent="0.25">
      <c r="A3038" s="19">
        <v>21209</v>
      </c>
      <c r="B3038" s="20" t="s">
        <v>25</v>
      </c>
      <c r="C3038" s="20" t="s">
        <v>5220</v>
      </c>
      <c r="D3038" s="20" t="s">
        <v>5227</v>
      </c>
      <c r="E3038" s="20" t="s">
        <v>5228</v>
      </c>
      <c r="F3038" s="20">
        <v>31.410351550000001</v>
      </c>
      <c r="G3038" s="20">
        <v>46.160054070000001</v>
      </c>
      <c r="H3038" s="22">
        <v>2</v>
      </c>
      <c r="I3038" s="22">
        <v>12</v>
      </c>
      <c r="J3038" s="21"/>
      <c r="K3038" s="21"/>
      <c r="L3038" s="21"/>
      <c r="M3038" s="21"/>
      <c r="N3038" s="21"/>
      <c r="O3038" s="21"/>
      <c r="P3038" s="21"/>
      <c r="Q3038" s="21"/>
      <c r="R3038" s="21"/>
      <c r="S3038" s="21"/>
      <c r="T3038" s="21"/>
      <c r="U3038" s="21"/>
      <c r="V3038" s="21">
        <v>2</v>
      </c>
      <c r="W3038" s="21"/>
      <c r="X3038" s="21"/>
      <c r="Y3038" s="21"/>
      <c r="Z3038" s="21"/>
      <c r="AA3038" s="21"/>
      <c r="AB3038" s="21"/>
      <c r="AC3038" s="21"/>
      <c r="AD3038" s="21"/>
      <c r="AE3038" s="21"/>
      <c r="AF3038" s="21"/>
      <c r="AG3038" s="21"/>
      <c r="AH3038" s="21">
        <v>2</v>
      </c>
      <c r="AI3038" s="21"/>
      <c r="AJ3038" s="21"/>
      <c r="AK3038" s="21"/>
      <c r="AL3038" s="21"/>
      <c r="AM3038" s="21"/>
      <c r="AN3038" s="21">
        <v>2</v>
      </c>
      <c r="AO3038" s="21"/>
      <c r="AP3038" s="21"/>
      <c r="AQ3038" s="21"/>
      <c r="AR3038" s="21"/>
      <c r="AS3038" s="21"/>
      <c r="AT3038" s="12" t="str">
        <f>HYPERLINK("http://www.openstreetmap.org/?mlat=31.4104&amp;mlon=46.1601&amp;zoom=12#map=12/31.4104/46.1601","Maplink1")</f>
        <v>Maplink1</v>
      </c>
      <c r="AU3038" s="12" t="str">
        <f>HYPERLINK("https://www.google.iq/maps/search/+31.4104,46.1601/@31.4104,46.1601,14z?hl=en","Maplink2")</f>
        <v>Maplink2</v>
      </c>
      <c r="AV3038" s="12" t="str">
        <f>HYPERLINK("http://www.bing.com/maps/?lvl=14&amp;sty=h&amp;cp=31.4104~46.1601&amp;sp=point.31.4104_46.1601","Maplink3")</f>
        <v>Maplink3</v>
      </c>
    </row>
    <row r="3039" spans="1:48" ht="15" customHeight="1" x14ac:dyDescent="0.25">
      <c r="A3039" s="19">
        <v>9848</v>
      </c>
      <c r="B3039" s="20" t="s">
        <v>25</v>
      </c>
      <c r="C3039" s="20" t="s">
        <v>5220</v>
      </c>
      <c r="D3039" s="20" t="s">
        <v>5229</v>
      </c>
      <c r="E3039" s="20" t="s">
        <v>5230</v>
      </c>
      <c r="F3039" s="20">
        <v>31.410631299999999</v>
      </c>
      <c r="G3039" s="20">
        <v>46.18256306</v>
      </c>
      <c r="H3039" s="22">
        <v>3</v>
      </c>
      <c r="I3039" s="22">
        <v>18</v>
      </c>
      <c r="J3039" s="21"/>
      <c r="K3039" s="21"/>
      <c r="L3039" s="21"/>
      <c r="M3039" s="21"/>
      <c r="N3039" s="21"/>
      <c r="O3039" s="21"/>
      <c r="P3039" s="21"/>
      <c r="Q3039" s="21"/>
      <c r="R3039" s="21"/>
      <c r="S3039" s="21"/>
      <c r="T3039" s="21"/>
      <c r="U3039" s="21"/>
      <c r="V3039" s="21">
        <v>3</v>
      </c>
      <c r="W3039" s="21"/>
      <c r="X3039" s="21"/>
      <c r="Y3039" s="21"/>
      <c r="Z3039" s="21"/>
      <c r="AA3039" s="21"/>
      <c r="AB3039" s="21"/>
      <c r="AC3039" s="21"/>
      <c r="AD3039" s="21"/>
      <c r="AE3039" s="21"/>
      <c r="AF3039" s="21"/>
      <c r="AG3039" s="21"/>
      <c r="AH3039" s="21">
        <v>3</v>
      </c>
      <c r="AI3039" s="21"/>
      <c r="AJ3039" s="21"/>
      <c r="AK3039" s="21"/>
      <c r="AL3039" s="21"/>
      <c r="AM3039" s="21"/>
      <c r="AN3039" s="21">
        <v>3</v>
      </c>
      <c r="AO3039" s="21"/>
      <c r="AP3039" s="21"/>
      <c r="AQ3039" s="21"/>
      <c r="AR3039" s="21"/>
      <c r="AS3039" s="21"/>
      <c r="AT3039" s="12" t="str">
        <f>HYPERLINK("http://www.openstreetmap.org/?mlat=31.4106&amp;mlon=46.1826&amp;zoom=12#map=12/31.4106/46.1826","Maplink1")</f>
        <v>Maplink1</v>
      </c>
      <c r="AU3039" s="12" t="str">
        <f>HYPERLINK("https://www.google.iq/maps/search/+31.4106,46.1826/@31.4106,46.1826,14z?hl=en","Maplink2")</f>
        <v>Maplink2</v>
      </c>
      <c r="AV3039" s="12" t="str">
        <f>HYPERLINK("http://www.bing.com/maps/?lvl=14&amp;sty=h&amp;cp=31.4106~46.1826&amp;sp=point.31.4106_46.1826","Maplink3")</f>
        <v>Maplink3</v>
      </c>
    </row>
    <row r="3040" spans="1:48" ht="15" customHeight="1" x14ac:dyDescent="0.25">
      <c r="A3040" s="19">
        <v>9822</v>
      </c>
      <c r="B3040" s="20" t="s">
        <v>25</v>
      </c>
      <c r="C3040" s="20" t="s">
        <v>5220</v>
      </c>
      <c r="D3040" s="20" t="s">
        <v>5231</v>
      </c>
      <c r="E3040" s="20" t="s">
        <v>5232</v>
      </c>
      <c r="F3040" s="20">
        <v>31.401793479199998</v>
      </c>
      <c r="G3040" s="20">
        <v>46.167607333500001</v>
      </c>
      <c r="H3040" s="22">
        <v>1</v>
      </c>
      <c r="I3040" s="22">
        <v>6</v>
      </c>
      <c r="J3040" s="21"/>
      <c r="K3040" s="21"/>
      <c r="L3040" s="21"/>
      <c r="M3040" s="21"/>
      <c r="N3040" s="21"/>
      <c r="O3040" s="21"/>
      <c r="P3040" s="21"/>
      <c r="Q3040" s="21"/>
      <c r="R3040" s="21"/>
      <c r="S3040" s="21"/>
      <c r="T3040" s="21"/>
      <c r="U3040" s="21"/>
      <c r="V3040" s="21">
        <v>1</v>
      </c>
      <c r="W3040" s="21"/>
      <c r="X3040" s="21"/>
      <c r="Y3040" s="21"/>
      <c r="Z3040" s="21"/>
      <c r="AA3040" s="21"/>
      <c r="AB3040" s="21"/>
      <c r="AC3040" s="21">
        <v>1</v>
      </c>
      <c r="AD3040" s="21"/>
      <c r="AE3040" s="21"/>
      <c r="AF3040" s="21"/>
      <c r="AG3040" s="21"/>
      <c r="AH3040" s="21"/>
      <c r="AI3040" s="21"/>
      <c r="AJ3040" s="21"/>
      <c r="AK3040" s="21"/>
      <c r="AL3040" s="21">
        <v>1</v>
      </c>
      <c r="AM3040" s="21"/>
      <c r="AN3040" s="21"/>
      <c r="AO3040" s="21"/>
      <c r="AP3040" s="21"/>
      <c r="AQ3040" s="21"/>
      <c r="AR3040" s="21"/>
      <c r="AS3040" s="21"/>
      <c r="AT3040" s="12" t="str">
        <f>HYPERLINK("http://www.openstreetmap.org/?mlat=31.4018&amp;mlon=46.1676&amp;zoom=12#map=12/31.4018/46.1676","Maplink1")</f>
        <v>Maplink1</v>
      </c>
      <c r="AU3040" s="12" t="str">
        <f>HYPERLINK("https://www.google.iq/maps/search/+31.4018,46.1676/@31.4018,46.1676,14z?hl=en","Maplink2")</f>
        <v>Maplink2</v>
      </c>
      <c r="AV3040" s="12" t="str">
        <f>HYPERLINK("http://www.bing.com/maps/?lvl=14&amp;sty=h&amp;cp=31.4018~46.1676&amp;sp=point.31.4018_46.1676","Maplink3")</f>
        <v>Maplink3</v>
      </c>
    </row>
    <row r="3041" spans="1:48" ht="15" customHeight="1" x14ac:dyDescent="0.25">
      <c r="A3041" s="19">
        <v>9188</v>
      </c>
      <c r="B3041" s="20" t="s">
        <v>25</v>
      </c>
      <c r="C3041" s="20" t="s">
        <v>5220</v>
      </c>
      <c r="D3041" s="20" t="s">
        <v>5233</v>
      </c>
      <c r="E3041" s="20" t="s">
        <v>5234</v>
      </c>
      <c r="F3041" s="20">
        <v>31.442600779700001</v>
      </c>
      <c r="G3041" s="20">
        <v>46.173362326400003</v>
      </c>
      <c r="H3041" s="22">
        <v>2</v>
      </c>
      <c r="I3041" s="22">
        <v>12</v>
      </c>
      <c r="J3041" s="21"/>
      <c r="K3041" s="21"/>
      <c r="L3041" s="21"/>
      <c r="M3041" s="21"/>
      <c r="N3041" s="21"/>
      <c r="O3041" s="21"/>
      <c r="P3041" s="21"/>
      <c r="Q3041" s="21"/>
      <c r="R3041" s="21"/>
      <c r="S3041" s="21"/>
      <c r="T3041" s="21"/>
      <c r="U3041" s="21"/>
      <c r="V3041" s="21">
        <v>2</v>
      </c>
      <c r="W3041" s="21"/>
      <c r="X3041" s="21"/>
      <c r="Y3041" s="21"/>
      <c r="Z3041" s="21"/>
      <c r="AA3041" s="21"/>
      <c r="AB3041" s="21"/>
      <c r="AC3041" s="21"/>
      <c r="AD3041" s="21"/>
      <c r="AE3041" s="21"/>
      <c r="AF3041" s="21"/>
      <c r="AG3041" s="21"/>
      <c r="AH3041" s="21">
        <v>2</v>
      </c>
      <c r="AI3041" s="21"/>
      <c r="AJ3041" s="21"/>
      <c r="AK3041" s="21"/>
      <c r="AL3041" s="21"/>
      <c r="AM3041" s="21">
        <v>2</v>
      </c>
      <c r="AN3041" s="21"/>
      <c r="AO3041" s="21"/>
      <c r="AP3041" s="21"/>
      <c r="AQ3041" s="21"/>
      <c r="AR3041" s="21"/>
      <c r="AS3041" s="21"/>
      <c r="AT3041" s="12" t="str">
        <f>HYPERLINK("http://www.openstreetmap.org/?mlat=31.4426&amp;mlon=46.1734&amp;zoom=12#map=12/31.4426/46.1734","Maplink1")</f>
        <v>Maplink1</v>
      </c>
      <c r="AU3041" s="12" t="str">
        <f>HYPERLINK("https://www.google.iq/maps/search/+31.4426,46.1734/@31.4426,46.1734,14z?hl=en","Maplink2")</f>
        <v>Maplink2</v>
      </c>
      <c r="AV3041" s="12" t="str">
        <f>HYPERLINK("http://www.bing.com/maps/?lvl=14&amp;sty=h&amp;cp=31.4426~46.1734&amp;sp=point.31.4426_46.1734","Maplink3")</f>
        <v>Maplink3</v>
      </c>
    </row>
    <row r="3042" spans="1:48" ht="15" customHeight="1" x14ac:dyDescent="0.25">
      <c r="A3042" s="19">
        <v>10286</v>
      </c>
      <c r="B3042" s="20" t="s">
        <v>25</v>
      </c>
      <c r="C3042" s="20" t="s">
        <v>5220</v>
      </c>
      <c r="D3042" s="20" t="s">
        <v>5235</v>
      </c>
      <c r="E3042" s="20" t="s">
        <v>1416</v>
      </c>
      <c r="F3042" s="20">
        <v>31.396294704399999</v>
      </c>
      <c r="G3042" s="20">
        <v>46.172131562600001</v>
      </c>
      <c r="H3042" s="22">
        <v>1</v>
      </c>
      <c r="I3042" s="22">
        <v>6</v>
      </c>
      <c r="J3042" s="21">
        <v>1</v>
      </c>
      <c r="K3042" s="21"/>
      <c r="L3042" s="21"/>
      <c r="M3042" s="21"/>
      <c r="N3042" s="21"/>
      <c r="O3042" s="21"/>
      <c r="P3042" s="21"/>
      <c r="Q3042" s="21"/>
      <c r="R3042" s="21"/>
      <c r="S3042" s="21"/>
      <c r="T3042" s="21"/>
      <c r="U3042" s="21"/>
      <c r="V3042" s="21"/>
      <c r="W3042" s="21"/>
      <c r="X3042" s="21"/>
      <c r="Y3042" s="21"/>
      <c r="Z3042" s="21"/>
      <c r="AA3042" s="21"/>
      <c r="AB3042" s="21"/>
      <c r="AC3042" s="21"/>
      <c r="AD3042" s="21"/>
      <c r="AE3042" s="21"/>
      <c r="AF3042" s="21"/>
      <c r="AG3042" s="21"/>
      <c r="AH3042" s="21">
        <v>1</v>
      </c>
      <c r="AI3042" s="21"/>
      <c r="AJ3042" s="21"/>
      <c r="AK3042" s="21"/>
      <c r="AL3042" s="21"/>
      <c r="AM3042" s="21">
        <v>1</v>
      </c>
      <c r="AN3042" s="21"/>
      <c r="AO3042" s="21"/>
      <c r="AP3042" s="21"/>
      <c r="AQ3042" s="21"/>
      <c r="AR3042" s="21"/>
      <c r="AS3042" s="21"/>
      <c r="AT3042" s="12" t="str">
        <f>HYPERLINK("http://www.openstreetmap.org/?mlat=31.3963&amp;mlon=46.1721&amp;zoom=12#map=12/31.3963/46.1721","Maplink1")</f>
        <v>Maplink1</v>
      </c>
      <c r="AU3042" s="12" t="str">
        <f>HYPERLINK("https://www.google.iq/maps/search/+31.3963,46.1721/@31.3963,46.1721,14z?hl=en","Maplink2")</f>
        <v>Maplink2</v>
      </c>
      <c r="AV3042" s="12" t="str">
        <f>HYPERLINK("http://www.bing.com/maps/?lvl=14&amp;sty=h&amp;cp=31.3963~46.1721&amp;sp=point.31.3963_46.1721","Maplink3")</f>
        <v>Maplink3</v>
      </c>
    </row>
    <row r="3043" spans="1:48" ht="15" customHeight="1" x14ac:dyDescent="0.25">
      <c r="A3043" s="19">
        <v>8888</v>
      </c>
      <c r="B3043" s="20" t="s">
        <v>25</v>
      </c>
      <c r="C3043" s="20" t="s">
        <v>5220</v>
      </c>
      <c r="D3043" s="20" t="s">
        <v>5236</v>
      </c>
      <c r="E3043" s="20" t="s">
        <v>5237</v>
      </c>
      <c r="F3043" s="20">
        <v>31.497529149999998</v>
      </c>
      <c r="G3043" s="20">
        <v>46.374650250000002</v>
      </c>
      <c r="H3043" s="22">
        <v>3</v>
      </c>
      <c r="I3043" s="22">
        <v>18</v>
      </c>
      <c r="J3043" s="21">
        <v>1</v>
      </c>
      <c r="K3043" s="21"/>
      <c r="L3043" s="21"/>
      <c r="M3043" s="21"/>
      <c r="N3043" s="21"/>
      <c r="O3043" s="21"/>
      <c r="P3043" s="21"/>
      <c r="Q3043" s="21"/>
      <c r="R3043" s="21"/>
      <c r="S3043" s="21"/>
      <c r="T3043" s="21"/>
      <c r="U3043" s="21"/>
      <c r="V3043" s="21">
        <v>2</v>
      </c>
      <c r="W3043" s="21"/>
      <c r="X3043" s="21"/>
      <c r="Y3043" s="21"/>
      <c r="Z3043" s="21"/>
      <c r="AA3043" s="21"/>
      <c r="AB3043" s="21"/>
      <c r="AC3043" s="21"/>
      <c r="AD3043" s="21">
        <v>3</v>
      </c>
      <c r="AE3043" s="21"/>
      <c r="AF3043" s="21"/>
      <c r="AG3043" s="21"/>
      <c r="AH3043" s="21"/>
      <c r="AI3043" s="21"/>
      <c r="AJ3043" s="21"/>
      <c r="AK3043" s="21"/>
      <c r="AL3043" s="21"/>
      <c r="AM3043" s="21"/>
      <c r="AN3043" s="21">
        <v>3</v>
      </c>
      <c r="AO3043" s="21"/>
      <c r="AP3043" s="21"/>
      <c r="AQ3043" s="21"/>
      <c r="AR3043" s="21"/>
      <c r="AS3043" s="21"/>
      <c r="AT3043" s="12" t="str">
        <f>HYPERLINK("http://www.openstreetmap.org/?mlat=31.4975&amp;mlon=46.3747&amp;zoom=12#map=12/31.4975/46.3747","Maplink1")</f>
        <v>Maplink1</v>
      </c>
      <c r="AU3043" s="12" t="str">
        <f>HYPERLINK("https://www.google.iq/maps/search/+31.4975,46.3747/@31.4975,46.3747,14z?hl=en","Maplink2")</f>
        <v>Maplink2</v>
      </c>
      <c r="AV3043" s="12" t="str">
        <f>HYPERLINK("http://www.bing.com/maps/?lvl=14&amp;sty=h&amp;cp=31.4975~46.3747&amp;sp=point.31.4975_46.3747","Maplink3")</f>
        <v>Maplink3</v>
      </c>
    </row>
    <row r="3044" spans="1:48" ht="15" customHeight="1" x14ac:dyDescent="0.25">
      <c r="A3044" s="19">
        <v>8886</v>
      </c>
      <c r="B3044" s="20" t="s">
        <v>25</v>
      </c>
      <c r="C3044" s="20" t="s">
        <v>5220</v>
      </c>
      <c r="D3044" s="20" t="s">
        <v>5238</v>
      </c>
      <c r="E3044" s="20" t="s">
        <v>5239</v>
      </c>
      <c r="F3044" s="20">
        <v>31.29637688</v>
      </c>
      <c r="G3044" s="20">
        <v>46.240817700000001</v>
      </c>
      <c r="H3044" s="22">
        <v>5</v>
      </c>
      <c r="I3044" s="22">
        <v>30</v>
      </c>
      <c r="J3044" s="21"/>
      <c r="K3044" s="21"/>
      <c r="L3044" s="21"/>
      <c r="M3044" s="21"/>
      <c r="N3044" s="21"/>
      <c r="O3044" s="21"/>
      <c r="P3044" s="21"/>
      <c r="Q3044" s="21"/>
      <c r="R3044" s="21"/>
      <c r="S3044" s="21"/>
      <c r="T3044" s="21"/>
      <c r="U3044" s="21"/>
      <c r="V3044" s="21">
        <v>5</v>
      </c>
      <c r="W3044" s="21"/>
      <c r="X3044" s="21"/>
      <c r="Y3044" s="21"/>
      <c r="Z3044" s="21"/>
      <c r="AA3044" s="21"/>
      <c r="AB3044" s="21"/>
      <c r="AC3044" s="21">
        <v>1</v>
      </c>
      <c r="AD3044" s="21"/>
      <c r="AE3044" s="21"/>
      <c r="AF3044" s="21"/>
      <c r="AG3044" s="21"/>
      <c r="AH3044" s="21">
        <v>4</v>
      </c>
      <c r="AI3044" s="21"/>
      <c r="AJ3044" s="21"/>
      <c r="AK3044" s="21"/>
      <c r="AL3044" s="21"/>
      <c r="AM3044" s="21"/>
      <c r="AN3044" s="21">
        <v>5</v>
      </c>
      <c r="AO3044" s="21"/>
      <c r="AP3044" s="21"/>
      <c r="AQ3044" s="21"/>
      <c r="AR3044" s="21"/>
      <c r="AS3044" s="21"/>
      <c r="AT3044" s="12" t="str">
        <f>HYPERLINK("http://www.openstreetmap.org/?mlat=31.2964&amp;mlon=46.2408&amp;zoom=12#map=12/31.2964/46.2408","Maplink1")</f>
        <v>Maplink1</v>
      </c>
      <c r="AU3044" s="12" t="str">
        <f>HYPERLINK("https://www.google.iq/maps/search/+31.2964,46.2408/@31.2964,46.2408,14z?hl=en","Maplink2")</f>
        <v>Maplink2</v>
      </c>
      <c r="AV3044" s="12" t="str">
        <f>HYPERLINK("http://www.bing.com/maps/?lvl=14&amp;sty=h&amp;cp=31.2964~46.2408&amp;sp=point.31.2964_46.2408","Maplink3")</f>
        <v>Maplink3</v>
      </c>
    </row>
    <row r="3045" spans="1:48" ht="15" customHeight="1" x14ac:dyDescent="0.25">
      <c r="A3045" s="19">
        <v>24494</v>
      </c>
      <c r="B3045" s="20" t="s">
        <v>25</v>
      </c>
      <c r="C3045" s="20" t="s">
        <v>5240</v>
      </c>
      <c r="D3045" s="20" t="s">
        <v>5241</v>
      </c>
      <c r="E3045" s="20" t="s">
        <v>5242</v>
      </c>
      <c r="F3045" s="20">
        <v>31.0261345752</v>
      </c>
      <c r="G3045" s="20">
        <v>46.217025105200001</v>
      </c>
      <c r="H3045" s="22">
        <v>4</v>
      </c>
      <c r="I3045" s="22">
        <v>24</v>
      </c>
      <c r="J3045" s="21"/>
      <c r="K3045" s="21"/>
      <c r="L3045" s="21"/>
      <c r="M3045" s="21"/>
      <c r="N3045" s="21"/>
      <c r="O3045" s="21"/>
      <c r="P3045" s="21"/>
      <c r="Q3045" s="21"/>
      <c r="R3045" s="21"/>
      <c r="S3045" s="21"/>
      <c r="T3045" s="21"/>
      <c r="U3045" s="21"/>
      <c r="V3045" s="21">
        <v>4</v>
      </c>
      <c r="W3045" s="21"/>
      <c r="X3045" s="21"/>
      <c r="Y3045" s="21"/>
      <c r="Z3045" s="21"/>
      <c r="AA3045" s="21"/>
      <c r="AB3045" s="21"/>
      <c r="AC3045" s="21"/>
      <c r="AD3045" s="21"/>
      <c r="AE3045" s="21"/>
      <c r="AF3045" s="21"/>
      <c r="AG3045" s="21"/>
      <c r="AH3045" s="21">
        <v>4</v>
      </c>
      <c r="AI3045" s="21"/>
      <c r="AJ3045" s="21"/>
      <c r="AK3045" s="21"/>
      <c r="AL3045" s="21"/>
      <c r="AM3045" s="21">
        <v>4</v>
      </c>
      <c r="AN3045" s="21"/>
      <c r="AO3045" s="21"/>
      <c r="AP3045" s="21"/>
      <c r="AQ3045" s="21"/>
      <c r="AR3045" s="21"/>
      <c r="AS3045" s="21"/>
      <c r="AT3045" s="12" t="str">
        <f>HYPERLINK("http://www.openstreetmap.org/?mlat=31.0261&amp;mlon=46.217&amp;zoom=12#map=12/31.0261/46.217","Maplink1")</f>
        <v>Maplink1</v>
      </c>
      <c r="AU3045" s="12" t="str">
        <f>HYPERLINK("https://www.google.iq/maps/search/+31.0261,46.217/@31.0261,46.217,14z?hl=en","Maplink2")</f>
        <v>Maplink2</v>
      </c>
      <c r="AV3045" s="12" t="str">
        <f>HYPERLINK("http://www.bing.com/maps/?lvl=14&amp;sty=h&amp;cp=31.0261~46.217&amp;sp=point.31.0261_46.217","Maplink3")</f>
        <v>Maplink3</v>
      </c>
    </row>
    <row r="3046" spans="1:48" ht="15" customHeight="1" x14ac:dyDescent="0.25">
      <c r="A3046" s="19">
        <v>25529</v>
      </c>
      <c r="B3046" s="20" t="s">
        <v>25</v>
      </c>
      <c r="C3046" s="20" t="s">
        <v>5240</v>
      </c>
      <c r="D3046" s="20" t="s">
        <v>5243</v>
      </c>
      <c r="E3046" s="20" t="s">
        <v>5244</v>
      </c>
      <c r="F3046" s="20">
        <v>31.032910439599998</v>
      </c>
      <c r="G3046" s="20">
        <v>46.269215832100002</v>
      </c>
      <c r="H3046" s="22">
        <v>9</v>
      </c>
      <c r="I3046" s="22">
        <v>54</v>
      </c>
      <c r="J3046" s="21">
        <v>1</v>
      </c>
      <c r="K3046" s="21"/>
      <c r="L3046" s="21"/>
      <c r="M3046" s="21"/>
      <c r="N3046" s="21"/>
      <c r="O3046" s="21"/>
      <c r="P3046" s="21"/>
      <c r="Q3046" s="21"/>
      <c r="R3046" s="21"/>
      <c r="S3046" s="21"/>
      <c r="T3046" s="21"/>
      <c r="U3046" s="21"/>
      <c r="V3046" s="21">
        <v>8</v>
      </c>
      <c r="W3046" s="21"/>
      <c r="X3046" s="21"/>
      <c r="Y3046" s="21"/>
      <c r="Z3046" s="21"/>
      <c r="AA3046" s="21"/>
      <c r="AB3046" s="21"/>
      <c r="AC3046" s="21">
        <v>5</v>
      </c>
      <c r="AD3046" s="21"/>
      <c r="AE3046" s="21"/>
      <c r="AF3046" s="21"/>
      <c r="AG3046" s="21"/>
      <c r="AH3046" s="21">
        <v>4</v>
      </c>
      <c r="AI3046" s="21"/>
      <c r="AJ3046" s="21"/>
      <c r="AK3046" s="21"/>
      <c r="AL3046" s="21"/>
      <c r="AM3046" s="21">
        <v>5</v>
      </c>
      <c r="AN3046" s="21">
        <v>3</v>
      </c>
      <c r="AO3046" s="21"/>
      <c r="AP3046" s="21">
        <v>1</v>
      </c>
      <c r="AQ3046" s="21"/>
      <c r="AR3046" s="21"/>
      <c r="AS3046" s="21"/>
      <c r="AT3046" s="12" t="str">
        <f>HYPERLINK("http://www.openstreetmap.org/?mlat=31.0329&amp;mlon=46.2692&amp;zoom=12#map=12/31.0329/46.2692","Maplink1")</f>
        <v>Maplink1</v>
      </c>
      <c r="AU3046" s="12" t="str">
        <f>HYPERLINK("https://www.google.iq/maps/search/+31.0329,46.2692/@31.0329,46.2692,14z?hl=en","Maplink2")</f>
        <v>Maplink2</v>
      </c>
      <c r="AV3046" s="12" t="str">
        <f>HYPERLINK("http://www.bing.com/maps/?lvl=14&amp;sty=h&amp;cp=31.0329~46.2692&amp;sp=point.31.0329_46.2692","Maplink3")</f>
        <v>Maplink3</v>
      </c>
    </row>
    <row r="3047" spans="1:48" ht="15" customHeight="1" x14ac:dyDescent="0.25">
      <c r="A3047" s="19">
        <v>24415</v>
      </c>
      <c r="B3047" s="20" t="s">
        <v>25</v>
      </c>
      <c r="C3047" s="20" t="s">
        <v>5240</v>
      </c>
      <c r="D3047" s="20" t="s">
        <v>5245</v>
      </c>
      <c r="E3047" s="20" t="s">
        <v>4223</v>
      </c>
      <c r="F3047" s="20">
        <v>31.123197999999999</v>
      </c>
      <c r="G3047" s="20">
        <v>46.233938000000002</v>
      </c>
      <c r="H3047" s="22">
        <v>1</v>
      </c>
      <c r="I3047" s="22">
        <v>6</v>
      </c>
      <c r="J3047" s="21"/>
      <c r="K3047" s="21"/>
      <c r="L3047" s="21"/>
      <c r="M3047" s="21"/>
      <c r="N3047" s="21"/>
      <c r="O3047" s="21"/>
      <c r="P3047" s="21"/>
      <c r="Q3047" s="21"/>
      <c r="R3047" s="21"/>
      <c r="S3047" s="21"/>
      <c r="T3047" s="21"/>
      <c r="U3047" s="21"/>
      <c r="V3047" s="21">
        <v>1</v>
      </c>
      <c r="W3047" s="21"/>
      <c r="X3047" s="21"/>
      <c r="Y3047" s="21"/>
      <c r="Z3047" s="21"/>
      <c r="AA3047" s="21"/>
      <c r="AB3047" s="21"/>
      <c r="AC3047" s="21"/>
      <c r="AD3047" s="21"/>
      <c r="AE3047" s="21"/>
      <c r="AF3047" s="21"/>
      <c r="AG3047" s="21"/>
      <c r="AH3047" s="21">
        <v>1</v>
      </c>
      <c r="AI3047" s="21"/>
      <c r="AJ3047" s="21"/>
      <c r="AK3047" s="21"/>
      <c r="AL3047" s="21"/>
      <c r="AM3047" s="21"/>
      <c r="AN3047" s="21">
        <v>1</v>
      </c>
      <c r="AO3047" s="21"/>
      <c r="AP3047" s="21"/>
      <c r="AQ3047" s="21"/>
      <c r="AR3047" s="21"/>
      <c r="AS3047" s="21"/>
      <c r="AT3047" s="12" t="str">
        <f>HYPERLINK("http://www.openstreetmap.org/?mlat=31.1232&amp;mlon=46.2339&amp;zoom=12#map=12/31.1232/46.2339","Maplink1")</f>
        <v>Maplink1</v>
      </c>
      <c r="AU3047" s="12" t="str">
        <f>HYPERLINK("https://www.google.iq/maps/search/+31.1232,46.2339/@31.1232,46.2339,14z?hl=en","Maplink2")</f>
        <v>Maplink2</v>
      </c>
      <c r="AV3047" s="12" t="str">
        <f>HYPERLINK("http://www.bing.com/maps/?lvl=14&amp;sty=h&amp;cp=31.1232~46.2339&amp;sp=point.31.1232_46.2339","Maplink3")</f>
        <v>Maplink3</v>
      </c>
    </row>
    <row r="3048" spans="1:48" ht="15" customHeight="1" x14ac:dyDescent="0.25">
      <c r="A3048" s="19">
        <v>24884</v>
      </c>
      <c r="B3048" s="20" t="s">
        <v>25</v>
      </c>
      <c r="C3048" s="20" t="s">
        <v>5240</v>
      </c>
      <c r="D3048" s="20" t="s">
        <v>5246</v>
      </c>
      <c r="E3048" s="20" t="s">
        <v>5247</v>
      </c>
      <c r="F3048" s="20">
        <v>31.155426989999999</v>
      </c>
      <c r="G3048" s="20">
        <v>46.246285159999999</v>
      </c>
      <c r="H3048" s="22">
        <v>4</v>
      </c>
      <c r="I3048" s="22">
        <v>24</v>
      </c>
      <c r="J3048" s="21"/>
      <c r="K3048" s="21"/>
      <c r="L3048" s="21"/>
      <c r="M3048" s="21"/>
      <c r="N3048" s="21"/>
      <c r="O3048" s="21"/>
      <c r="P3048" s="21"/>
      <c r="Q3048" s="21"/>
      <c r="R3048" s="21"/>
      <c r="S3048" s="21"/>
      <c r="T3048" s="21"/>
      <c r="U3048" s="21"/>
      <c r="V3048" s="21">
        <v>4</v>
      </c>
      <c r="W3048" s="21"/>
      <c r="X3048" s="21"/>
      <c r="Y3048" s="21"/>
      <c r="Z3048" s="21"/>
      <c r="AA3048" s="21"/>
      <c r="AB3048" s="21"/>
      <c r="AC3048" s="21">
        <v>4</v>
      </c>
      <c r="AD3048" s="21"/>
      <c r="AE3048" s="21"/>
      <c r="AF3048" s="21"/>
      <c r="AG3048" s="21"/>
      <c r="AH3048" s="21"/>
      <c r="AI3048" s="21"/>
      <c r="AJ3048" s="21"/>
      <c r="AK3048" s="21"/>
      <c r="AL3048" s="21"/>
      <c r="AM3048" s="21"/>
      <c r="AN3048" s="21"/>
      <c r="AO3048" s="21">
        <v>4</v>
      </c>
      <c r="AP3048" s="21"/>
      <c r="AQ3048" s="21"/>
      <c r="AR3048" s="21"/>
      <c r="AS3048" s="21"/>
      <c r="AT3048" s="12" t="str">
        <f>HYPERLINK("http://www.openstreetmap.org/?mlat=31.1554&amp;mlon=46.2463&amp;zoom=12#map=12/31.1554/46.2463","Maplink1")</f>
        <v>Maplink1</v>
      </c>
      <c r="AU3048" s="12" t="str">
        <f>HYPERLINK("https://www.google.iq/maps/search/+31.1554,46.2463/@31.1554,46.2463,14z?hl=en","Maplink2")</f>
        <v>Maplink2</v>
      </c>
      <c r="AV3048" s="12" t="str">
        <f>HYPERLINK("http://www.bing.com/maps/?lvl=14&amp;sty=h&amp;cp=31.1554~46.2463&amp;sp=point.31.1554_46.2463","Maplink3")</f>
        <v>Maplink3</v>
      </c>
    </row>
    <row r="3049" spans="1:48" ht="15" customHeight="1" x14ac:dyDescent="0.25">
      <c r="A3049" s="19">
        <v>9728</v>
      </c>
      <c r="B3049" s="20" t="s">
        <v>25</v>
      </c>
      <c r="C3049" s="20" t="s">
        <v>5240</v>
      </c>
      <c r="D3049" s="20" t="s">
        <v>5248</v>
      </c>
      <c r="E3049" s="20" t="s">
        <v>474</v>
      </c>
      <c r="F3049" s="20">
        <v>31.037803371199999</v>
      </c>
      <c r="G3049" s="20">
        <v>46.255956293499999</v>
      </c>
      <c r="H3049" s="22">
        <v>3</v>
      </c>
      <c r="I3049" s="22">
        <v>18</v>
      </c>
      <c r="J3049" s="21">
        <v>3</v>
      </c>
      <c r="K3049" s="21"/>
      <c r="L3049" s="21"/>
      <c r="M3049" s="21"/>
      <c r="N3049" s="21"/>
      <c r="O3049" s="21"/>
      <c r="P3049" s="21"/>
      <c r="Q3049" s="21"/>
      <c r="R3049" s="21"/>
      <c r="S3049" s="21"/>
      <c r="T3049" s="21"/>
      <c r="U3049" s="21"/>
      <c r="V3049" s="21"/>
      <c r="W3049" s="21"/>
      <c r="X3049" s="21"/>
      <c r="Y3049" s="21"/>
      <c r="Z3049" s="21"/>
      <c r="AA3049" s="21"/>
      <c r="AB3049" s="21"/>
      <c r="AC3049" s="21"/>
      <c r="AD3049" s="21"/>
      <c r="AE3049" s="21"/>
      <c r="AF3049" s="21"/>
      <c r="AG3049" s="21"/>
      <c r="AH3049" s="21">
        <v>3</v>
      </c>
      <c r="AI3049" s="21"/>
      <c r="AJ3049" s="21"/>
      <c r="AK3049" s="21"/>
      <c r="AL3049" s="21"/>
      <c r="AM3049" s="21">
        <v>3</v>
      </c>
      <c r="AN3049" s="21"/>
      <c r="AO3049" s="21"/>
      <c r="AP3049" s="21"/>
      <c r="AQ3049" s="21"/>
      <c r="AR3049" s="21"/>
      <c r="AS3049" s="21"/>
      <c r="AT3049" s="12" t="str">
        <f>HYPERLINK("http://www.openstreetmap.org/?mlat=31.0378&amp;mlon=46.256&amp;zoom=12#map=12/31.0378/46.256","Maplink1")</f>
        <v>Maplink1</v>
      </c>
      <c r="AU3049" s="12" t="str">
        <f>HYPERLINK("https://www.google.iq/maps/search/+31.0378,46.256/@31.0378,46.256,14z?hl=en","Maplink2")</f>
        <v>Maplink2</v>
      </c>
      <c r="AV3049" s="12" t="str">
        <f>HYPERLINK("http://www.bing.com/maps/?lvl=14&amp;sty=h&amp;cp=31.0378~46.256&amp;sp=point.31.0378_46.256","Maplink3")</f>
        <v>Maplink3</v>
      </c>
    </row>
    <row r="3050" spans="1:48" ht="15" customHeight="1" x14ac:dyDescent="0.25">
      <c r="A3050" s="19">
        <v>25525</v>
      </c>
      <c r="B3050" s="20" t="s">
        <v>25</v>
      </c>
      <c r="C3050" s="20" t="s">
        <v>5240</v>
      </c>
      <c r="D3050" s="20" t="s">
        <v>5249</v>
      </c>
      <c r="E3050" s="20" t="s">
        <v>5250</v>
      </c>
      <c r="F3050" s="20">
        <v>31.027515520000001</v>
      </c>
      <c r="G3050" s="20">
        <v>46.24017577</v>
      </c>
      <c r="H3050" s="22">
        <v>7</v>
      </c>
      <c r="I3050" s="22">
        <v>42</v>
      </c>
      <c r="J3050" s="21">
        <v>2</v>
      </c>
      <c r="K3050" s="21">
        <v>2</v>
      </c>
      <c r="L3050" s="21"/>
      <c r="M3050" s="21"/>
      <c r="N3050" s="21"/>
      <c r="O3050" s="21"/>
      <c r="P3050" s="21"/>
      <c r="Q3050" s="21"/>
      <c r="R3050" s="21"/>
      <c r="S3050" s="21"/>
      <c r="T3050" s="21"/>
      <c r="U3050" s="21"/>
      <c r="V3050" s="21">
        <v>3</v>
      </c>
      <c r="W3050" s="21"/>
      <c r="X3050" s="21"/>
      <c r="Y3050" s="21"/>
      <c r="Z3050" s="21"/>
      <c r="AA3050" s="21"/>
      <c r="AB3050" s="21"/>
      <c r="AC3050" s="21"/>
      <c r="AD3050" s="21"/>
      <c r="AE3050" s="21"/>
      <c r="AF3050" s="21"/>
      <c r="AG3050" s="21"/>
      <c r="AH3050" s="21">
        <v>7</v>
      </c>
      <c r="AI3050" s="21"/>
      <c r="AJ3050" s="21"/>
      <c r="AK3050" s="21"/>
      <c r="AL3050" s="21"/>
      <c r="AM3050" s="21">
        <v>5</v>
      </c>
      <c r="AN3050" s="21"/>
      <c r="AO3050" s="21">
        <v>2</v>
      </c>
      <c r="AP3050" s="21"/>
      <c r="AQ3050" s="21"/>
      <c r="AR3050" s="21"/>
      <c r="AS3050" s="21"/>
      <c r="AT3050" s="12" t="str">
        <f>HYPERLINK("http://www.openstreetmap.org/?mlat=31.0275&amp;mlon=46.2402&amp;zoom=12#map=12/31.0275/46.2402","Maplink1")</f>
        <v>Maplink1</v>
      </c>
      <c r="AU3050" s="12" t="str">
        <f>HYPERLINK("https://www.google.iq/maps/search/+31.0275,46.2402/@31.0275,46.2402,14z?hl=en","Maplink2")</f>
        <v>Maplink2</v>
      </c>
      <c r="AV3050" s="12" t="str">
        <f>HYPERLINK("http://www.bing.com/maps/?lvl=14&amp;sty=h&amp;cp=31.0275~46.2402&amp;sp=point.31.0275_46.2402","Maplink3")</f>
        <v>Maplink3</v>
      </c>
    </row>
    <row r="3051" spans="1:48" ht="15" customHeight="1" x14ac:dyDescent="0.25">
      <c r="A3051" s="19">
        <v>24740</v>
      </c>
      <c r="B3051" s="20" t="s">
        <v>25</v>
      </c>
      <c r="C3051" s="20" t="s">
        <v>5240</v>
      </c>
      <c r="D3051" s="20" t="s">
        <v>419</v>
      </c>
      <c r="E3051" s="20" t="s">
        <v>420</v>
      </c>
      <c r="F3051" s="20">
        <v>31.037800090000001</v>
      </c>
      <c r="G3051" s="20">
        <v>46.24240537</v>
      </c>
      <c r="H3051" s="22">
        <v>3</v>
      </c>
      <c r="I3051" s="22">
        <v>18</v>
      </c>
      <c r="J3051" s="21">
        <v>1</v>
      </c>
      <c r="K3051" s="21"/>
      <c r="L3051" s="21"/>
      <c r="M3051" s="21"/>
      <c r="N3051" s="21"/>
      <c r="O3051" s="21"/>
      <c r="P3051" s="21"/>
      <c r="Q3051" s="21"/>
      <c r="R3051" s="21"/>
      <c r="S3051" s="21"/>
      <c r="T3051" s="21"/>
      <c r="U3051" s="21"/>
      <c r="V3051" s="21">
        <v>2</v>
      </c>
      <c r="W3051" s="21"/>
      <c r="X3051" s="21"/>
      <c r="Y3051" s="21"/>
      <c r="Z3051" s="21"/>
      <c r="AA3051" s="21"/>
      <c r="AB3051" s="21"/>
      <c r="AC3051" s="21"/>
      <c r="AD3051" s="21"/>
      <c r="AE3051" s="21"/>
      <c r="AF3051" s="21"/>
      <c r="AG3051" s="21"/>
      <c r="AH3051" s="21">
        <v>3</v>
      </c>
      <c r="AI3051" s="21"/>
      <c r="AJ3051" s="21"/>
      <c r="AK3051" s="21"/>
      <c r="AL3051" s="21"/>
      <c r="AM3051" s="21"/>
      <c r="AN3051" s="21"/>
      <c r="AO3051" s="21">
        <v>3</v>
      </c>
      <c r="AP3051" s="21"/>
      <c r="AQ3051" s="21"/>
      <c r="AR3051" s="21"/>
      <c r="AS3051" s="21"/>
      <c r="AT3051" s="12" t="str">
        <f>HYPERLINK("http://www.openstreetmap.org/?mlat=31.0378&amp;mlon=46.2424&amp;zoom=12#map=12/31.0378/46.2424","Maplink1")</f>
        <v>Maplink1</v>
      </c>
      <c r="AU3051" s="12" t="str">
        <f>HYPERLINK("https://www.google.iq/maps/search/+31.0378,46.2424/@31.0378,46.2424,14z?hl=en","Maplink2")</f>
        <v>Maplink2</v>
      </c>
      <c r="AV3051" s="12" t="str">
        <f>HYPERLINK("http://www.bing.com/maps/?lvl=14&amp;sty=h&amp;cp=31.0378~46.2424&amp;sp=point.31.0378_46.2424","Maplink3")</f>
        <v>Maplink3</v>
      </c>
    </row>
    <row r="3052" spans="1:48" ht="15" customHeight="1" x14ac:dyDescent="0.25">
      <c r="A3052" s="19">
        <v>10260</v>
      </c>
      <c r="B3052" s="20" t="s">
        <v>25</v>
      </c>
      <c r="C3052" s="20" t="s">
        <v>5240</v>
      </c>
      <c r="D3052" s="20" t="s">
        <v>5251</v>
      </c>
      <c r="E3052" s="20" t="s">
        <v>5252</v>
      </c>
      <c r="F3052" s="20">
        <v>31.008713950000001</v>
      </c>
      <c r="G3052" s="20">
        <v>46.284805120000001</v>
      </c>
      <c r="H3052" s="22">
        <v>24</v>
      </c>
      <c r="I3052" s="22">
        <v>144</v>
      </c>
      <c r="J3052" s="21">
        <v>4</v>
      </c>
      <c r="K3052" s="21"/>
      <c r="L3052" s="21"/>
      <c r="M3052" s="21"/>
      <c r="N3052" s="21"/>
      <c r="O3052" s="21">
        <v>3</v>
      </c>
      <c r="P3052" s="21"/>
      <c r="Q3052" s="21"/>
      <c r="R3052" s="21">
        <v>12</v>
      </c>
      <c r="S3052" s="21"/>
      <c r="T3052" s="21"/>
      <c r="U3052" s="21"/>
      <c r="V3052" s="21">
        <v>5</v>
      </c>
      <c r="W3052" s="21"/>
      <c r="X3052" s="21"/>
      <c r="Y3052" s="21"/>
      <c r="Z3052" s="21"/>
      <c r="AA3052" s="21"/>
      <c r="AB3052" s="21"/>
      <c r="AC3052" s="21">
        <v>6</v>
      </c>
      <c r="AD3052" s="21">
        <v>3</v>
      </c>
      <c r="AE3052" s="21"/>
      <c r="AF3052" s="21"/>
      <c r="AG3052" s="21"/>
      <c r="AH3052" s="21">
        <v>15</v>
      </c>
      <c r="AI3052" s="21"/>
      <c r="AJ3052" s="21"/>
      <c r="AK3052" s="21"/>
      <c r="AL3052" s="21"/>
      <c r="AM3052" s="21">
        <v>5</v>
      </c>
      <c r="AN3052" s="21">
        <v>15</v>
      </c>
      <c r="AO3052" s="21">
        <v>4</v>
      </c>
      <c r="AP3052" s="21"/>
      <c r="AQ3052" s="21"/>
      <c r="AR3052" s="21"/>
      <c r="AS3052" s="21"/>
      <c r="AT3052" s="12" t="str">
        <f>HYPERLINK("http://www.openstreetmap.org/?mlat=31.0087&amp;mlon=46.2848&amp;zoom=12#map=12/31.0087/46.2848","Maplink1")</f>
        <v>Maplink1</v>
      </c>
      <c r="AU3052" s="12" t="str">
        <f>HYPERLINK("https://www.google.iq/maps/search/+31.0087,46.2848/@31.0087,46.2848,14z?hl=en","Maplink2")</f>
        <v>Maplink2</v>
      </c>
      <c r="AV3052" s="12" t="str">
        <f>HYPERLINK("http://www.bing.com/maps/?lvl=14&amp;sty=h&amp;cp=31.0087~46.2848&amp;sp=point.31.0087_46.2848","Maplink3")</f>
        <v>Maplink3</v>
      </c>
    </row>
    <row r="3053" spans="1:48" ht="15" customHeight="1" x14ac:dyDescent="0.25">
      <c r="A3053" s="19">
        <v>24540</v>
      </c>
      <c r="B3053" s="20" t="s">
        <v>25</v>
      </c>
      <c r="C3053" s="20" t="s">
        <v>5240</v>
      </c>
      <c r="D3053" s="20" t="s">
        <v>5253</v>
      </c>
      <c r="E3053" s="20" t="s">
        <v>5254</v>
      </c>
      <c r="F3053" s="20">
        <v>31.051081119999999</v>
      </c>
      <c r="G3053" s="20">
        <v>46.245293050000001</v>
      </c>
      <c r="H3053" s="22">
        <v>4</v>
      </c>
      <c r="I3053" s="22">
        <v>24</v>
      </c>
      <c r="J3053" s="21">
        <v>4</v>
      </c>
      <c r="K3053" s="21"/>
      <c r="L3053" s="21"/>
      <c r="M3053" s="21"/>
      <c r="N3053" s="21"/>
      <c r="O3053" s="21"/>
      <c r="P3053" s="21"/>
      <c r="Q3053" s="21"/>
      <c r="R3053" s="21"/>
      <c r="S3053" s="21"/>
      <c r="T3053" s="21"/>
      <c r="U3053" s="21"/>
      <c r="V3053" s="21"/>
      <c r="W3053" s="21"/>
      <c r="X3053" s="21"/>
      <c r="Y3053" s="21"/>
      <c r="Z3053" s="21"/>
      <c r="AA3053" s="21"/>
      <c r="AB3053" s="21"/>
      <c r="AC3053" s="21"/>
      <c r="AD3053" s="21"/>
      <c r="AE3053" s="21"/>
      <c r="AF3053" s="21"/>
      <c r="AG3053" s="21"/>
      <c r="AH3053" s="21">
        <v>4</v>
      </c>
      <c r="AI3053" s="21"/>
      <c r="AJ3053" s="21"/>
      <c r="AK3053" s="21"/>
      <c r="AL3053" s="21"/>
      <c r="AM3053" s="21">
        <v>4</v>
      </c>
      <c r="AN3053" s="21"/>
      <c r="AO3053" s="21"/>
      <c r="AP3053" s="21"/>
      <c r="AQ3053" s="21"/>
      <c r="AR3053" s="21"/>
      <c r="AS3053" s="21"/>
      <c r="AT3053" s="12" t="str">
        <f>HYPERLINK("http://www.openstreetmap.org/?mlat=31.0511&amp;mlon=46.2453&amp;zoom=12#map=12/31.0511/46.2453","Maplink1")</f>
        <v>Maplink1</v>
      </c>
      <c r="AU3053" s="12" t="str">
        <f>HYPERLINK("https://www.google.iq/maps/search/+31.0511,46.2453/@31.0511,46.2453,14z?hl=en","Maplink2")</f>
        <v>Maplink2</v>
      </c>
      <c r="AV3053" s="12" t="str">
        <f>HYPERLINK("http://www.bing.com/maps/?lvl=14&amp;sty=h&amp;cp=31.0511~46.2453&amp;sp=point.31.0511_46.2453","Maplink3")</f>
        <v>Maplink3</v>
      </c>
    </row>
    <row r="3054" spans="1:48" ht="15" customHeight="1" x14ac:dyDescent="0.25">
      <c r="A3054" s="19">
        <v>10270</v>
      </c>
      <c r="B3054" s="20" t="s">
        <v>25</v>
      </c>
      <c r="C3054" s="20" t="s">
        <v>5240</v>
      </c>
      <c r="D3054" s="20" t="s">
        <v>5255</v>
      </c>
      <c r="E3054" s="20" t="s">
        <v>5256</v>
      </c>
      <c r="F3054" s="20">
        <v>31.0425186252</v>
      </c>
      <c r="G3054" s="20">
        <v>46.225724244699997</v>
      </c>
      <c r="H3054" s="22">
        <v>5</v>
      </c>
      <c r="I3054" s="22">
        <v>30</v>
      </c>
      <c r="J3054" s="21"/>
      <c r="K3054" s="21"/>
      <c r="L3054" s="21"/>
      <c r="M3054" s="21"/>
      <c r="N3054" s="21"/>
      <c r="O3054" s="21"/>
      <c r="P3054" s="21"/>
      <c r="Q3054" s="21"/>
      <c r="R3054" s="21"/>
      <c r="S3054" s="21"/>
      <c r="T3054" s="21"/>
      <c r="U3054" s="21"/>
      <c r="V3054" s="21">
        <v>5</v>
      </c>
      <c r="W3054" s="21"/>
      <c r="X3054" s="21"/>
      <c r="Y3054" s="21"/>
      <c r="Z3054" s="21"/>
      <c r="AA3054" s="21"/>
      <c r="AB3054" s="21"/>
      <c r="AC3054" s="21"/>
      <c r="AD3054" s="21"/>
      <c r="AE3054" s="21"/>
      <c r="AF3054" s="21"/>
      <c r="AG3054" s="21"/>
      <c r="AH3054" s="21">
        <v>5</v>
      </c>
      <c r="AI3054" s="21"/>
      <c r="AJ3054" s="21"/>
      <c r="AK3054" s="21"/>
      <c r="AL3054" s="21"/>
      <c r="AM3054" s="21">
        <v>5</v>
      </c>
      <c r="AN3054" s="21"/>
      <c r="AO3054" s="21"/>
      <c r="AP3054" s="21"/>
      <c r="AQ3054" s="21"/>
      <c r="AR3054" s="21"/>
      <c r="AS3054" s="21"/>
      <c r="AT3054" s="12" t="str">
        <f>HYPERLINK("http://www.openstreetmap.org/?mlat=31.0425&amp;mlon=46.2257&amp;zoom=12#map=12/31.0425/46.2257","Maplink1")</f>
        <v>Maplink1</v>
      </c>
      <c r="AU3054" s="12" t="str">
        <f>HYPERLINK("https://www.google.iq/maps/search/+31.0425,46.2257/@31.0425,46.2257,14z?hl=en","Maplink2")</f>
        <v>Maplink2</v>
      </c>
      <c r="AV3054" s="12" t="str">
        <f>HYPERLINK("http://www.bing.com/maps/?lvl=14&amp;sty=h&amp;cp=31.0425~46.2257&amp;sp=point.31.0425_46.2257","Maplink3")</f>
        <v>Maplink3</v>
      </c>
    </row>
    <row r="3055" spans="1:48" ht="15" customHeight="1" x14ac:dyDescent="0.25">
      <c r="A3055" s="19">
        <v>10254</v>
      </c>
      <c r="B3055" s="20" t="s">
        <v>25</v>
      </c>
      <c r="C3055" s="20" t="s">
        <v>5240</v>
      </c>
      <c r="D3055" s="20" t="s">
        <v>5257</v>
      </c>
      <c r="E3055" s="20" t="s">
        <v>5258</v>
      </c>
      <c r="F3055" s="20">
        <v>31.040133619999999</v>
      </c>
      <c r="G3055" s="20">
        <v>46.262652549999999</v>
      </c>
      <c r="H3055" s="22">
        <v>7</v>
      </c>
      <c r="I3055" s="22">
        <v>42</v>
      </c>
      <c r="J3055" s="21">
        <v>1</v>
      </c>
      <c r="K3055" s="21"/>
      <c r="L3055" s="21"/>
      <c r="M3055" s="21"/>
      <c r="N3055" s="21"/>
      <c r="O3055" s="21"/>
      <c r="P3055" s="21"/>
      <c r="Q3055" s="21"/>
      <c r="R3055" s="21">
        <v>2</v>
      </c>
      <c r="S3055" s="21"/>
      <c r="T3055" s="21"/>
      <c r="U3055" s="21"/>
      <c r="V3055" s="21">
        <v>4</v>
      </c>
      <c r="W3055" s="21"/>
      <c r="X3055" s="21"/>
      <c r="Y3055" s="21"/>
      <c r="Z3055" s="21"/>
      <c r="AA3055" s="21"/>
      <c r="AB3055" s="21"/>
      <c r="AC3055" s="21"/>
      <c r="AD3055" s="21"/>
      <c r="AE3055" s="21">
        <v>1</v>
      </c>
      <c r="AF3055" s="21"/>
      <c r="AG3055" s="21"/>
      <c r="AH3055" s="21">
        <v>6</v>
      </c>
      <c r="AI3055" s="21"/>
      <c r="AJ3055" s="21"/>
      <c r="AK3055" s="21"/>
      <c r="AL3055" s="21"/>
      <c r="AM3055" s="21"/>
      <c r="AN3055" s="21">
        <v>7</v>
      </c>
      <c r="AO3055" s="21"/>
      <c r="AP3055" s="21"/>
      <c r="AQ3055" s="21"/>
      <c r="AR3055" s="21"/>
      <c r="AS3055" s="21"/>
      <c r="AT3055" s="12" t="str">
        <f>HYPERLINK("http://www.openstreetmap.org/?mlat=31.0401&amp;mlon=46.2627&amp;zoom=12#map=12/31.0401/46.2627","Maplink1")</f>
        <v>Maplink1</v>
      </c>
      <c r="AU3055" s="12" t="str">
        <f>HYPERLINK("https://www.google.iq/maps/search/+31.0401,46.2627/@31.0401,46.2627,14z?hl=en","Maplink2")</f>
        <v>Maplink2</v>
      </c>
      <c r="AV3055" s="12" t="str">
        <f>HYPERLINK("http://www.bing.com/maps/?lvl=14&amp;sty=h&amp;cp=31.0401~46.2627&amp;sp=point.31.0401_46.2627","Maplink3")</f>
        <v>Maplink3</v>
      </c>
    </row>
    <row r="3056" spans="1:48" ht="15" customHeight="1" x14ac:dyDescent="0.25">
      <c r="A3056" s="19">
        <v>10272</v>
      </c>
      <c r="B3056" s="20" t="s">
        <v>25</v>
      </c>
      <c r="C3056" s="20" t="s">
        <v>5240</v>
      </c>
      <c r="D3056" s="20" t="s">
        <v>5259</v>
      </c>
      <c r="E3056" s="20" t="s">
        <v>5260</v>
      </c>
      <c r="F3056" s="20">
        <v>31.03475023</v>
      </c>
      <c r="G3056" s="20">
        <v>46.239514309999997</v>
      </c>
      <c r="H3056" s="22">
        <v>8</v>
      </c>
      <c r="I3056" s="22">
        <v>48</v>
      </c>
      <c r="J3056" s="21">
        <v>3</v>
      </c>
      <c r="K3056" s="21"/>
      <c r="L3056" s="21"/>
      <c r="M3056" s="21"/>
      <c r="N3056" s="21"/>
      <c r="O3056" s="21"/>
      <c r="P3056" s="21"/>
      <c r="Q3056" s="21"/>
      <c r="R3056" s="21"/>
      <c r="S3056" s="21"/>
      <c r="T3056" s="21"/>
      <c r="U3056" s="21"/>
      <c r="V3056" s="21">
        <v>5</v>
      </c>
      <c r="W3056" s="21"/>
      <c r="X3056" s="21"/>
      <c r="Y3056" s="21"/>
      <c r="Z3056" s="21"/>
      <c r="AA3056" s="21"/>
      <c r="AB3056" s="21"/>
      <c r="AC3056" s="21"/>
      <c r="AD3056" s="21">
        <v>3</v>
      </c>
      <c r="AE3056" s="21"/>
      <c r="AF3056" s="21"/>
      <c r="AG3056" s="21"/>
      <c r="AH3056" s="21">
        <v>5</v>
      </c>
      <c r="AI3056" s="21"/>
      <c r="AJ3056" s="21"/>
      <c r="AK3056" s="21"/>
      <c r="AL3056" s="21">
        <v>3</v>
      </c>
      <c r="AM3056" s="21">
        <v>3</v>
      </c>
      <c r="AN3056" s="21"/>
      <c r="AO3056" s="21">
        <v>2</v>
      </c>
      <c r="AP3056" s="21"/>
      <c r="AQ3056" s="21"/>
      <c r="AR3056" s="21"/>
      <c r="AS3056" s="21"/>
      <c r="AT3056" s="12" t="str">
        <f>HYPERLINK("http://www.openstreetmap.org/?mlat=31.0348&amp;mlon=46.2395&amp;zoom=12#map=12/31.0348/46.2395","Maplink1")</f>
        <v>Maplink1</v>
      </c>
      <c r="AU3056" s="12" t="str">
        <f>HYPERLINK("https://www.google.iq/maps/search/+31.0348,46.2395/@31.0348,46.2395,14z?hl=en","Maplink2")</f>
        <v>Maplink2</v>
      </c>
      <c r="AV3056" s="12" t="str">
        <f>HYPERLINK("http://www.bing.com/maps/?lvl=14&amp;sty=h&amp;cp=31.0348~46.2395&amp;sp=point.31.0348_46.2395","Maplink3")</f>
        <v>Maplink3</v>
      </c>
    </row>
    <row r="3057" spans="1:48" ht="15" customHeight="1" x14ac:dyDescent="0.25">
      <c r="A3057" s="19">
        <v>10281</v>
      </c>
      <c r="B3057" s="20" t="s">
        <v>25</v>
      </c>
      <c r="C3057" s="20" t="s">
        <v>5240</v>
      </c>
      <c r="D3057" s="20" t="s">
        <v>5261</v>
      </c>
      <c r="E3057" s="20" t="s">
        <v>5262</v>
      </c>
      <c r="F3057" s="20">
        <v>31.030253170000002</v>
      </c>
      <c r="G3057" s="20">
        <v>46.246131439999999</v>
      </c>
      <c r="H3057" s="22">
        <v>8</v>
      </c>
      <c r="I3057" s="22">
        <v>48</v>
      </c>
      <c r="J3057" s="21">
        <v>5</v>
      </c>
      <c r="K3057" s="21"/>
      <c r="L3057" s="21"/>
      <c r="M3057" s="21"/>
      <c r="N3057" s="21"/>
      <c r="O3057" s="21"/>
      <c r="P3057" s="21"/>
      <c r="Q3057" s="21"/>
      <c r="R3057" s="21"/>
      <c r="S3057" s="21"/>
      <c r="T3057" s="21"/>
      <c r="U3057" s="21"/>
      <c r="V3057" s="21">
        <v>3</v>
      </c>
      <c r="W3057" s="21"/>
      <c r="X3057" s="21"/>
      <c r="Y3057" s="21"/>
      <c r="Z3057" s="21"/>
      <c r="AA3057" s="21"/>
      <c r="AB3057" s="21"/>
      <c r="AC3057" s="21"/>
      <c r="AD3057" s="21">
        <v>5</v>
      </c>
      <c r="AE3057" s="21"/>
      <c r="AF3057" s="21"/>
      <c r="AG3057" s="21"/>
      <c r="AH3057" s="21">
        <v>3</v>
      </c>
      <c r="AI3057" s="21"/>
      <c r="AJ3057" s="21"/>
      <c r="AK3057" s="21"/>
      <c r="AL3057" s="21"/>
      <c r="AM3057" s="21">
        <v>8</v>
      </c>
      <c r="AN3057" s="21"/>
      <c r="AO3057" s="21"/>
      <c r="AP3057" s="21"/>
      <c r="AQ3057" s="21"/>
      <c r="AR3057" s="21"/>
      <c r="AS3057" s="21"/>
      <c r="AT3057" s="12" t="str">
        <f>HYPERLINK("http://www.openstreetmap.org/?mlat=31.0303&amp;mlon=46.2461&amp;zoom=12#map=12/31.0303/46.2461","Maplink1")</f>
        <v>Maplink1</v>
      </c>
      <c r="AU3057" s="12" t="str">
        <f>HYPERLINK("https://www.google.iq/maps/search/+31.0303,46.2461/@31.0303,46.2461,14z?hl=en","Maplink2")</f>
        <v>Maplink2</v>
      </c>
      <c r="AV3057" s="12" t="str">
        <f>HYPERLINK("http://www.bing.com/maps/?lvl=14&amp;sty=h&amp;cp=31.0303~46.2461&amp;sp=point.31.0303_46.2461","Maplink3")</f>
        <v>Maplink3</v>
      </c>
    </row>
    <row r="3058" spans="1:48" ht="15" customHeight="1" x14ac:dyDescent="0.25">
      <c r="A3058" s="19">
        <v>24741</v>
      </c>
      <c r="B3058" s="20" t="s">
        <v>25</v>
      </c>
      <c r="C3058" s="20" t="s">
        <v>5240</v>
      </c>
      <c r="D3058" s="20" t="s">
        <v>5263</v>
      </c>
      <c r="E3058" s="20" t="s">
        <v>3703</v>
      </c>
      <c r="F3058" s="20">
        <v>31.044725790000001</v>
      </c>
      <c r="G3058" s="20">
        <v>46.24948303</v>
      </c>
      <c r="H3058" s="22">
        <v>2</v>
      </c>
      <c r="I3058" s="22">
        <v>12</v>
      </c>
      <c r="J3058" s="21"/>
      <c r="K3058" s="21"/>
      <c r="L3058" s="21"/>
      <c r="M3058" s="21"/>
      <c r="N3058" s="21"/>
      <c r="O3058" s="21"/>
      <c r="P3058" s="21"/>
      <c r="Q3058" s="21"/>
      <c r="R3058" s="21"/>
      <c r="S3058" s="21"/>
      <c r="T3058" s="21"/>
      <c r="U3058" s="21"/>
      <c r="V3058" s="21">
        <v>2</v>
      </c>
      <c r="W3058" s="21"/>
      <c r="X3058" s="21"/>
      <c r="Y3058" s="21"/>
      <c r="Z3058" s="21"/>
      <c r="AA3058" s="21"/>
      <c r="AB3058" s="21"/>
      <c r="AC3058" s="21"/>
      <c r="AD3058" s="21"/>
      <c r="AE3058" s="21"/>
      <c r="AF3058" s="21"/>
      <c r="AG3058" s="21"/>
      <c r="AH3058" s="21">
        <v>2</v>
      </c>
      <c r="AI3058" s="21"/>
      <c r="AJ3058" s="21"/>
      <c r="AK3058" s="21"/>
      <c r="AL3058" s="21"/>
      <c r="AM3058" s="21"/>
      <c r="AN3058" s="21"/>
      <c r="AO3058" s="21">
        <v>2</v>
      </c>
      <c r="AP3058" s="21"/>
      <c r="AQ3058" s="21"/>
      <c r="AR3058" s="21"/>
      <c r="AS3058" s="21"/>
      <c r="AT3058" s="12" t="str">
        <f>HYPERLINK("http://www.openstreetmap.org/?mlat=31.0447&amp;mlon=46.2495&amp;zoom=12#map=12/31.0447/46.2495","Maplink1")</f>
        <v>Maplink1</v>
      </c>
      <c r="AU3058" s="12" t="str">
        <f>HYPERLINK("https://www.google.iq/maps/search/+31.0447,46.2495/@31.0447,46.2495,14z?hl=en","Maplink2")</f>
        <v>Maplink2</v>
      </c>
      <c r="AV3058" s="12" t="str">
        <f>HYPERLINK("http://www.bing.com/maps/?lvl=14&amp;sty=h&amp;cp=31.0447~46.2495&amp;sp=point.31.0447_46.2495","Maplink3")</f>
        <v>Maplink3</v>
      </c>
    </row>
    <row r="3059" spans="1:48" ht="15" customHeight="1" x14ac:dyDescent="0.25">
      <c r="A3059" s="19">
        <v>24820</v>
      </c>
      <c r="B3059" s="20" t="s">
        <v>25</v>
      </c>
      <c r="C3059" s="20" t="s">
        <v>5240</v>
      </c>
      <c r="D3059" s="20" t="s">
        <v>5264</v>
      </c>
      <c r="E3059" s="20" t="s">
        <v>5265</v>
      </c>
      <c r="F3059" s="20">
        <v>31.131859739999999</v>
      </c>
      <c r="G3059" s="20">
        <v>46.436955159999997</v>
      </c>
      <c r="H3059" s="22">
        <v>4</v>
      </c>
      <c r="I3059" s="22">
        <v>24</v>
      </c>
      <c r="J3059" s="21">
        <v>4</v>
      </c>
      <c r="K3059" s="21"/>
      <c r="L3059" s="21"/>
      <c r="M3059" s="21"/>
      <c r="N3059" s="21"/>
      <c r="O3059" s="21"/>
      <c r="P3059" s="21"/>
      <c r="Q3059" s="21"/>
      <c r="R3059" s="21"/>
      <c r="S3059" s="21"/>
      <c r="T3059" s="21"/>
      <c r="U3059" s="21"/>
      <c r="V3059" s="21"/>
      <c r="W3059" s="21"/>
      <c r="X3059" s="21"/>
      <c r="Y3059" s="21"/>
      <c r="Z3059" s="21"/>
      <c r="AA3059" s="21"/>
      <c r="AB3059" s="21"/>
      <c r="AC3059" s="21"/>
      <c r="AD3059" s="21"/>
      <c r="AE3059" s="21"/>
      <c r="AF3059" s="21"/>
      <c r="AG3059" s="21"/>
      <c r="AH3059" s="21">
        <v>4</v>
      </c>
      <c r="AI3059" s="21"/>
      <c r="AJ3059" s="21"/>
      <c r="AK3059" s="21"/>
      <c r="AL3059" s="21"/>
      <c r="AM3059" s="21"/>
      <c r="AN3059" s="21"/>
      <c r="AO3059" s="21">
        <v>4</v>
      </c>
      <c r="AP3059" s="21"/>
      <c r="AQ3059" s="21"/>
      <c r="AR3059" s="21"/>
      <c r="AS3059" s="21"/>
      <c r="AT3059" s="12" t="str">
        <f>HYPERLINK("http://www.openstreetmap.org/?mlat=31.1319&amp;mlon=46.437&amp;zoom=12#map=12/31.1319/46.437","Maplink1")</f>
        <v>Maplink1</v>
      </c>
      <c r="AU3059" s="12" t="str">
        <f>HYPERLINK("https://www.google.iq/maps/search/+31.1319,46.437/@31.1319,46.437,14z?hl=en","Maplink2")</f>
        <v>Maplink2</v>
      </c>
      <c r="AV3059" s="12" t="str">
        <f>HYPERLINK("http://www.bing.com/maps/?lvl=14&amp;sty=h&amp;cp=31.1319~46.437&amp;sp=point.31.1319_46.437","Maplink3")</f>
        <v>Maplink3</v>
      </c>
    </row>
    <row r="3060" spans="1:48" ht="15" customHeight="1" x14ac:dyDescent="0.25">
      <c r="A3060" s="19">
        <v>24821</v>
      </c>
      <c r="B3060" s="20" t="s">
        <v>25</v>
      </c>
      <c r="C3060" s="20" t="s">
        <v>5240</v>
      </c>
      <c r="D3060" s="20" t="s">
        <v>3352</v>
      </c>
      <c r="E3060" s="20" t="s">
        <v>112</v>
      </c>
      <c r="F3060" s="20">
        <v>31.132263810000001</v>
      </c>
      <c r="G3060" s="20">
        <v>46.433264600000001</v>
      </c>
      <c r="H3060" s="22">
        <v>2</v>
      </c>
      <c r="I3060" s="22">
        <v>12</v>
      </c>
      <c r="J3060" s="21"/>
      <c r="K3060" s="21"/>
      <c r="L3060" s="21"/>
      <c r="M3060" s="21"/>
      <c r="N3060" s="21"/>
      <c r="O3060" s="21"/>
      <c r="P3060" s="21"/>
      <c r="Q3060" s="21"/>
      <c r="R3060" s="21"/>
      <c r="S3060" s="21"/>
      <c r="T3060" s="21"/>
      <c r="U3060" s="21"/>
      <c r="V3060" s="21"/>
      <c r="W3060" s="21"/>
      <c r="X3060" s="21">
        <v>2</v>
      </c>
      <c r="Y3060" s="21"/>
      <c r="Z3060" s="21"/>
      <c r="AA3060" s="21"/>
      <c r="AB3060" s="21"/>
      <c r="AC3060" s="21">
        <v>2</v>
      </c>
      <c r="AD3060" s="21"/>
      <c r="AE3060" s="21"/>
      <c r="AF3060" s="21"/>
      <c r="AG3060" s="21"/>
      <c r="AH3060" s="21"/>
      <c r="AI3060" s="21"/>
      <c r="AJ3060" s="21"/>
      <c r="AK3060" s="21"/>
      <c r="AL3060" s="21"/>
      <c r="AM3060" s="21"/>
      <c r="AN3060" s="21"/>
      <c r="AO3060" s="21">
        <v>2</v>
      </c>
      <c r="AP3060" s="21"/>
      <c r="AQ3060" s="21"/>
      <c r="AR3060" s="21"/>
      <c r="AS3060" s="21"/>
      <c r="AT3060" s="12" t="str">
        <f>HYPERLINK("http://www.openstreetmap.org/?mlat=31.1323&amp;mlon=46.4333&amp;zoom=12#map=12/31.1323/46.4333","Maplink1")</f>
        <v>Maplink1</v>
      </c>
      <c r="AU3060" s="12" t="str">
        <f>HYPERLINK("https://www.google.iq/maps/search/+31.1323,46.4333/@31.1323,46.4333,14z?hl=en","Maplink2")</f>
        <v>Maplink2</v>
      </c>
      <c r="AV3060" s="12" t="str">
        <f>HYPERLINK("http://www.bing.com/maps/?lvl=14&amp;sty=h&amp;cp=31.1323~46.4333&amp;sp=point.31.1323_46.4333","Maplink3")</f>
        <v>Maplink3</v>
      </c>
    </row>
    <row r="3061" spans="1:48" ht="15" customHeight="1" x14ac:dyDescent="0.25">
      <c r="A3061" s="19">
        <v>9470</v>
      </c>
      <c r="B3061" s="20" t="s">
        <v>25</v>
      </c>
      <c r="C3061" s="20" t="s">
        <v>5240</v>
      </c>
      <c r="D3061" s="20" t="s">
        <v>3352</v>
      </c>
      <c r="E3061" s="20" t="s">
        <v>1559</v>
      </c>
      <c r="F3061" s="20">
        <v>31.058742479999999</v>
      </c>
      <c r="G3061" s="20">
        <v>46.266561439999997</v>
      </c>
      <c r="H3061" s="22">
        <v>6</v>
      </c>
      <c r="I3061" s="22">
        <v>36</v>
      </c>
      <c r="J3061" s="21">
        <v>2</v>
      </c>
      <c r="K3061" s="21"/>
      <c r="L3061" s="21"/>
      <c r="M3061" s="21"/>
      <c r="N3061" s="21"/>
      <c r="O3061" s="21"/>
      <c r="P3061" s="21"/>
      <c r="Q3061" s="21"/>
      <c r="R3061" s="21"/>
      <c r="S3061" s="21"/>
      <c r="T3061" s="21"/>
      <c r="U3061" s="21"/>
      <c r="V3061" s="21">
        <v>4</v>
      </c>
      <c r="W3061" s="21"/>
      <c r="X3061" s="21"/>
      <c r="Y3061" s="21"/>
      <c r="Z3061" s="21"/>
      <c r="AA3061" s="21"/>
      <c r="AB3061" s="21"/>
      <c r="AC3061" s="21"/>
      <c r="AD3061" s="21"/>
      <c r="AE3061" s="21"/>
      <c r="AF3061" s="21"/>
      <c r="AG3061" s="21"/>
      <c r="AH3061" s="21">
        <v>6</v>
      </c>
      <c r="AI3061" s="21"/>
      <c r="AJ3061" s="21"/>
      <c r="AK3061" s="21"/>
      <c r="AL3061" s="21"/>
      <c r="AM3061" s="21">
        <v>2</v>
      </c>
      <c r="AN3061" s="21">
        <v>2</v>
      </c>
      <c r="AO3061" s="21">
        <v>1</v>
      </c>
      <c r="AP3061" s="21">
        <v>1</v>
      </c>
      <c r="AQ3061" s="21"/>
      <c r="AR3061" s="21"/>
      <c r="AS3061" s="21"/>
      <c r="AT3061" s="12" t="str">
        <f>HYPERLINK("http://www.openstreetmap.org/?mlat=31.0587&amp;mlon=46.2666&amp;zoom=12#map=12/31.0587/46.2666","Maplink1")</f>
        <v>Maplink1</v>
      </c>
      <c r="AU3061" s="12" t="str">
        <f>HYPERLINK("https://www.google.iq/maps/search/+31.0587,46.2666/@31.0587,46.2666,14z?hl=en","Maplink2")</f>
        <v>Maplink2</v>
      </c>
      <c r="AV3061" s="12" t="str">
        <f>HYPERLINK("http://www.bing.com/maps/?lvl=14&amp;sty=h&amp;cp=31.0587~46.2666&amp;sp=point.31.0587_46.2666","Maplink3")</f>
        <v>Maplink3</v>
      </c>
    </row>
    <row r="3062" spans="1:48" ht="15" customHeight="1" x14ac:dyDescent="0.25">
      <c r="A3062" s="19">
        <v>10335</v>
      </c>
      <c r="B3062" s="20" t="s">
        <v>25</v>
      </c>
      <c r="C3062" s="20" t="s">
        <v>5240</v>
      </c>
      <c r="D3062" s="20" t="s">
        <v>5266</v>
      </c>
      <c r="E3062" s="20" t="s">
        <v>5267</v>
      </c>
      <c r="F3062" s="20">
        <v>31.051406199999999</v>
      </c>
      <c r="G3062" s="20">
        <v>46.26759929</v>
      </c>
      <c r="H3062" s="22">
        <v>8</v>
      </c>
      <c r="I3062" s="22">
        <v>48</v>
      </c>
      <c r="J3062" s="21">
        <v>2</v>
      </c>
      <c r="K3062" s="21"/>
      <c r="L3062" s="21"/>
      <c r="M3062" s="21"/>
      <c r="N3062" s="21"/>
      <c r="O3062" s="21"/>
      <c r="P3062" s="21"/>
      <c r="Q3062" s="21"/>
      <c r="R3062" s="21"/>
      <c r="S3062" s="21"/>
      <c r="T3062" s="21"/>
      <c r="U3062" s="21"/>
      <c r="V3062" s="21">
        <v>6</v>
      </c>
      <c r="W3062" s="21"/>
      <c r="X3062" s="21"/>
      <c r="Y3062" s="21"/>
      <c r="Z3062" s="21"/>
      <c r="AA3062" s="21"/>
      <c r="AB3062" s="21"/>
      <c r="AC3062" s="21"/>
      <c r="AD3062" s="21"/>
      <c r="AE3062" s="21"/>
      <c r="AF3062" s="21"/>
      <c r="AG3062" s="21"/>
      <c r="AH3062" s="21">
        <v>8</v>
      </c>
      <c r="AI3062" s="21"/>
      <c r="AJ3062" s="21"/>
      <c r="AK3062" s="21"/>
      <c r="AL3062" s="21"/>
      <c r="AM3062" s="21">
        <v>8</v>
      </c>
      <c r="AN3062" s="21"/>
      <c r="AO3062" s="21"/>
      <c r="AP3062" s="21"/>
      <c r="AQ3062" s="21"/>
      <c r="AR3062" s="21"/>
      <c r="AS3062" s="21"/>
      <c r="AT3062" s="12" t="str">
        <f>HYPERLINK("http://www.openstreetmap.org/?mlat=31.0514&amp;mlon=46.2676&amp;zoom=12#map=12/31.0514/46.2676","Maplink1")</f>
        <v>Maplink1</v>
      </c>
      <c r="AU3062" s="12" t="str">
        <f>HYPERLINK("https://www.google.iq/maps/search/+31.0514,46.2676/@31.0514,46.2676,14z?hl=en","Maplink2")</f>
        <v>Maplink2</v>
      </c>
      <c r="AV3062" s="12" t="str">
        <f>HYPERLINK("http://www.bing.com/maps/?lvl=14&amp;sty=h&amp;cp=31.0514~46.2676&amp;sp=point.31.0514_46.2676","Maplink3")</f>
        <v>Maplink3</v>
      </c>
    </row>
    <row r="3063" spans="1:48" ht="15" customHeight="1" x14ac:dyDescent="0.25">
      <c r="A3063" s="19">
        <v>9576</v>
      </c>
      <c r="B3063" s="20" t="s">
        <v>25</v>
      </c>
      <c r="C3063" s="20" t="s">
        <v>5240</v>
      </c>
      <c r="D3063" s="20" t="s">
        <v>5268</v>
      </c>
      <c r="E3063" s="20" t="s">
        <v>5269</v>
      </c>
      <c r="F3063" s="20">
        <v>31.132887614800001</v>
      </c>
      <c r="G3063" s="20">
        <v>46.2359663023</v>
      </c>
      <c r="H3063" s="22">
        <v>4</v>
      </c>
      <c r="I3063" s="22">
        <v>24</v>
      </c>
      <c r="J3063" s="21"/>
      <c r="K3063" s="21"/>
      <c r="L3063" s="21"/>
      <c r="M3063" s="21"/>
      <c r="N3063" s="21"/>
      <c r="O3063" s="21"/>
      <c r="P3063" s="21"/>
      <c r="Q3063" s="21"/>
      <c r="R3063" s="21"/>
      <c r="S3063" s="21"/>
      <c r="T3063" s="21"/>
      <c r="U3063" s="21"/>
      <c r="V3063" s="21">
        <v>4</v>
      </c>
      <c r="W3063" s="21"/>
      <c r="X3063" s="21"/>
      <c r="Y3063" s="21"/>
      <c r="Z3063" s="21"/>
      <c r="AA3063" s="21"/>
      <c r="AB3063" s="21"/>
      <c r="AC3063" s="21">
        <v>2</v>
      </c>
      <c r="AD3063" s="21"/>
      <c r="AE3063" s="21"/>
      <c r="AF3063" s="21"/>
      <c r="AG3063" s="21"/>
      <c r="AH3063" s="21">
        <v>2</v>
      </c>
      <c r="AI3063" s="21"/>
      <c r="AJ3063" s="21"/>
      <c r="AK3063" s="21"/>
      <c r="AL3063" s="21"/>
      <c r="AM3063" s="21"/>
      <c r="AN3063" s="21"/>
      <c r="AO3063" s="21"/>
      <c r="AP3063" s="21">
        <v>4</v>
      </c>
      <c r="AQ3063" s="21"/>
      <c r="AR3063" s="21"/>
      <c r="AS3063" s="21"/>
      <c r="AT3063" s="12" t="str">
        <f>HYPERLINK("http://www.openstreetmap.org/?mlat=31.1329&amp;mlon=46.236&amp;zoom=12#map=12/31.1329/46.236","Maplink1")</f>
        <v>Maplink1</v>
      </c>
      <c r="AU3063" s="12" t="str">
        <f>HYPERLINK("https://www.google.iq/maps/search/+31.1329,46.236/@31.1329,46.236,14z?hl=en","Maplink2")</f>
        <v>Maplink2</v>
      </c>
      <c r="AV3063" s="12" t="str">
        <f>HYPERLINK("http://www.bing.com/maps/?lvl=14&amp;sty=h&amp;cp=31.1329~46.236&amp;sp=point.31.1329_46.236","Maplink3")</f>
        <v>Maplink3</v>
      </c>
    </row>
    <row r="3064" spans="1:48" ht="15" customHeight="1" x14ac:dyDescent="0.25">
      <c r="A3064" s="19">
        <v>9448</v>
      </c>
      <c r="B3064" s="20" t="s">
        <v>25</v>
      </c>
      <c r="C3064" s="20" t="s">
        <v>5240</v>
      </c>
      <c r="D3064" s="20" t="s">
        <v>5270</v>
      </c>
      <c r="E3064" s="20" t="s">
        <v>5271</v>
      </c>
      <c r="F3064" s="20">
        <v>31.029533149999999</v>
      </c>
      <c r="G3064" s="20">
        <v>46.231227420000003</v>
      </c>
      <c r="H3064" s="22">
        <v>14</v>
      </c>
      <c r="I3064" s="22">
        <v>84</v>
      </c>
      <c r="J3064" s="21"/>
      <c r="K3064" s="21"/>
      <c r="L3064" s="21"/>
      <c r="M3064" s="21"/>
      <c r="N3064" s="21"/>
      <c r="O3064" s="21"/>
      <c r="P3064" s="21"/>
      <c r="Q3064" s="21"/>
      <c r="R3064" s="21">
        <v>3</v>
      </c>
      <c r="S3064" s="21"/>
      <c r="T3064" s="21"/>
      <c r="U3064" s="21"/>
      <c r="V3064" s="21">
        <v>11</v>
      </c>
      <c r="W3064" s="21"/>
      <c r="X3064" s="21"/>
      <c r="Y3064" s="21"/>
      <c r="Z3064" s="21"/>
      <c r="AA3064" s="21"/>
      <c r="AB3064" s="21"/>
      <c r="AC3064" s="21">
        <v>2</v>
      </c>
      <c r="AD3064" s="21">
        <v>4</v>
      </c>
      <c r="AE3064" s="21"/>
      <c r="AF3064" s="21"/>
      <c r="AG3064" s="21"/>
      <c r="AH3064" s="21">
        <v>8</v>
      </c>
      <c r="AI3064" s="21"/>
      <c r="AJ3064" s="21"/>
      <c r="AK3064" s="21"/>
      <c r="AL3064" s="21"/>
      <c r="AM3064" s="21"/>
      <c r="AN3064" s="21"/>
      <c r="AO3064" s="21">
        <v>14</v>
      </c>
      <c r="AP3064" s="21"/>
      <c r="AQ3064" s="21"/>
      <c r="AR3064" s="21"/>
      <c r="AS3064" s="21"/>
      <c r="AT3064" s="12" t="str">
        <f>HYPERLINK("http://www.openstreetmap.org/?mlat=31.0295&amp;mlon=46.2312&amp;zoom=12#map=12/31.0295/46.2312","Maplink1")</f>
        <v>Maplink1</v>
      </c>
      <c r="AU3064" s="12" t="str">
        <f>HYPERLINK("https://www.google.iq/maps/search/+31.0295,46.2312/@31.0295,46.2312,14z?hl=en","Maplink2")</f>
        <v>Maplink2</v>
      </c>
      <c r="AV3064" s="12" t="str">
        <f>HYPERLINK("http://www.bing.com/maps/?lvl=14&amp;sty=h&amp;cp=31.0295~46.2312&amp;sp=point.31.0295_46.2312","Maplink3")</f>
        <v>Maplink3</v>
      </c>
    </row>
    <row r="3065" spans="1:48" ht="15" customHeight="1" x14ac:dyDescent="0.25">
      <c r="A3065" s="19">
        <v>9396</v>
      </c>
      <c r="B3065" s="20" t="s">
        <v>25</v>
      </c>
      <c r="C3065" s="20" t="s">
        <v>5240</v>
      </c>
      <c r="D3065" s="20" t="s">
        <v>5272</v>
      </c>
      <c r="E3065" s="20" t="s">
        <v>5273</v>
      </c>
      <c r="F3065" s="20">
        <v>31.017033449199999</v>
      </c>
      <c r="G3065" s="20">
        <v>46.262293971799998</v>
      </c>
      <c r="H3065" s="22">
        <v>15</v>
      </c>
      <c r="I3065" s="22">
        <v>90</v>
      </c>
      <c r="J3065" s="21"/>
      <c r="K3065" s="21"/>
      <c r="L3065" s="21"/>
      <c r="M3065" s="21"/>
      <c r="N3065" s="21"/>
      <c r="O3065" s="21"/>
      <c r="P3065" s="21"/>
      <c r="Q3065" s="21"/>
      <c r="R3065" s="21"/>
      <c r="S3065" s="21"/>
      <c r="T3065" s="21"/>
      <c r="U3065" s="21"/>
      <c r="V3065" s="21">
        <v>15</v>
      </c>
      <c r="W3065" s="21"/>
      <c r="X3065" s="21"/>
      <c r="Y3065" s="21"/>
      <c r="Z3065" s="21"/>
      <c r="AA3065" s="21"/>
      <c r="AB3065" s="21"/>
      <c r="AC3065" s="21">
        <v>9</v>
      </c>
      <c r="AD3065" s="21"/>
      <c r="AE3065" s="21"/>
      <c r="AF3065" s="21"/>
      <c r="AG3065" s="21"/>
      <c r="AH3065" s="21">
        <v>6</v>
      </c>
      <c r="AI3065" s="21"/>
      <c r="AJ3065" s="21"/>
      <c r="AK3065" s="21"/>
      <c r="AL3065" s="21"/>
      <c r="AM3065" s="21"/>
      <c r="AN3065" s="21">
        <v>11</v>
      </c>
      <c r="AO3065" s="21"/>
      <c r="AP3065" s="21"/>
      <c r="AQ3065" s="21"/>
      <c r="AR3065" s="21">
        <v>4</v>
      </c>
      <c r="AS3065" s="21"/>
      <c r="AT3065" s="12" t="str">
        <f>HYPERLINK("http://www.openstreetmap.org/?mlat=31.017&amp;mlon=46.2623&amp;zoom=12#map=12/31.017/46.2623","Maplink1")</f>
        <v>Maplink1</v>
      </c>
      <c r="AU3065" s="12" t="str">
        <f>HYPERLINK("https://www.google.iq/maps/search/+31.017,46.2623/@31.017,46.2623,14z?hl=en","Maplink2")</f>
        <v>Maplink2</v>
      </c>
      <c r="AV3065" s="12" t="str">
        <f>HYPERLINK("http://www.bing.com/maps/?lvl=14&amp;sty=h&amp;cp=31.017~46.2623&amp;sp=point.31.017_46.2623","Maplink3")</f>
        <v>Maplink3</v>
      </c>
    </row>
    <row r="3066" spans="1:48" ht="15" customHeight="1" x14ac:dyDescent="0.25">
      <c r="A3066" s="19">
        <v>10262</v>
      </c>
      <c r="B3066" s="20" t="s">
        <v>25</v>
      </c>
      <c r="C3066" s="20" t="s">
        <v>5240</v>
      </c>
      <c r="D3066" s="20" t="s">
        <v>5274</v>
      </c>
      <c r="E3066" s="20" t="s">
        <v>5275</v>
      </c>
      <c r="F3066" s="20">
        <v>31.08126678</v>
      </c>
      <c r="G3066" s="20">
        <v>46.253350150000003</v>
      </c>
      <c r="H3066" s="22">
        <v>17</v>
      </c>
      <c r="I3066" s="22">
        <v>102</v>
      </c>
      <c r="J3066" s="21">
        <v>7</v>
      </c>
      <c r="K3066" s="21"/>
      <c r="L3066" s="21"/>
      <c r="M3066" s="21"/>
      <c r="N3066" s="21"/>
      <c r="O3066" s="21"/>
      <c r="P3066" s="21"/>
      <c r="Q3066" s="21"/>
      <c r="R3066" s="21">
        <v>5</v>
      </c>
      <c r="S3066" s="21"/>
      <c r="T3066" s="21"/>
      <c r="U3066" s="21"/>
      <c r="V3066" s="21">
        <v>2</v>
      </c>
      <c r="W3066" s="21"/>
      <c r="X3066" s="21">
        <v>3</v>
      </c>
      <c r="Y3066" s="21"/>
      <c r="Z3066" s="21"/>
      <c r="AA3066" s="21"/>
      <c r="AB3066" s="21"/>
      <c r="AC3066" s="21">
        <v>5</v>
      </c>
      <c r="AD3066" s="21"/>
      <c r="AE3066" s="21"/>
      <c r="AF3066" s="21"/>
      <c r="AG3066" s="21"/>
      <c r="AH3066" s="21">
        <v>12</v>
      </c>
      <c r="AI3066" s="21"/>
      <c r="AJ3066" s="21"/>
      <c r="AK3066" s="21"/>
      <c r="AL3066" s="21"/>
      <c r="AM3066" s="21">
        <v>10</v>
      </c>
      <c r="AN3066" s="21">
        <v>5</v>
      </c>
      <c r="AO3066" s="21">
        <v>2</v>
      </c>
      <c r="AP3066" s="21"/>
      <c r="AQ3066" s="21"/>
      <c r="AR3066" s="21"/>
      <c r="AS3066" s="21"/>
      <c r="AT3066" s="12" t="str">
        <f>HYPERLINK("http://www.openstreetmap.org/?mlat=31.0813&amp;mlon=46.2534&amp;zoom=12#map=12/31.0813/46.2534","Maplink1")</f>
        <v>Maplink1</v>
      </c>
      <c r="AU3066" s="12" t="str">
        <f>HYPERLINK("https://www.google.iq/maps/search/+31.0813,46.2534/@31.0813,46.2534,14z?hl=en","Maplink2")</f>
        <v>Maplink2</v>
      </c>
      <c r="AV3066" s="12" t="str">
        <f>HYPERLINK("http://www.bing.com/maps/?lvl=14&amp;sty=h&amp;cp=31.0813~46.2534&amp;sp=point.31.0813_46.2534","Maplink3")</f>
        <v>Maplink3</v>
      </c>
    </row>
    <row r="3067" spans="1:48" ht="15" customHeight="1" x14ac:dyDescent="0.25">
      <c r="A3067" s="19">
        <v>10253</v>
      </c>
      <c r="B3067" s="20" t="s">
        <v>25</v>
      </c>
      <c r="C3067" s="20" t="s">
        <v>5240</v>
      </c>
      <c r="D3067" s="20" t="s">
        <v>5276</v>
      </c>
      <c r="E3067" s="20" t="s">
        <v>5277</v>
      </c>
      <c r="F3067" s="20">
        <v>31.0375710671</v>
      </c>
      <c r="G3067" s="20">
        <v>46.231895335099999</v>
      </c>
      <c r="H3067" s="22">
        <v>6</v>
      </c>
      <c r="I3067" s="22">
        <v>36</v>
      </c>
      <c r="J3067" s="21">
        <v>2</v>
      </c>
      <c r="K3067" s="21"/>
      <c r="L3067" s="21"/>
      <c r="M3067" s="21"/>
      <c r="N3067" s="21"/>
      <c r="O3067" s="21"/>
      <c r="P3067" s="21"/>
      <c r="Q3067" s="21"/>
      <c r="R3067" s="21"/>
      <c r="S3067" s="21"/>
      <c r="T3067" s="21"/>
      <c r="U3067" s="21"/>
      <c r="V3067" s="21">
        <v>4</v>
      </c>
      <c r="W3067" s="21"/>
      <c r="X3067" s="21"/>
      <c r="Y3067" s="21"/>
      <c r="Z3067" s="21"/>
      <c r="AA3067" s="21"/>
      <c r="AB3067" s="21"/>
      <c r="AC3067" s="21"/>
      <c r="AD3067" s="21"/>
      <c r="AE3067" s="21"/>
      <c r="AF3067" s="21"/>
      <c r="AG3067" s="21"/>
      <c r="AH3067" s="21">
        <v>6</v>
      </c>
      <c r="AI3067" s="21"/>
      <c r="AJ3067" s="21"/>
      <c r="AK3067" s="21"/>
      <c r="AL3067" s="21">
        <v>6</v>
      </c>
      <c r="AM3067" s="21"/>
      <c r="AN3067" s="21"/>
      <c r="AO3067" s="21"/>
      <c r="AP3067" s="21"/>
      <c r="AQ3067" s="21"/>
      <c r="AR3067" s="21"/>
      <c r="AS3067" s="21"/>
      <c r="AT3067" s="12" t="str">
        <f>HYPERLINK("http://www.openstreetmap.org/?mlat=31.0376&amp;mlon=46.2319&amp;zoom=12#map=12/31.0376/46.2319","Maplink1")</f>
        <v>Maplink1</v>
      </c>
      <c r="AU3067" s="12" t="str">
        <f>HYPERLINK("https://www.google.iq/maps/search/+31.0376,46.2319/@31.0376,46.2319,14z?hl=en","Maplink2")</f>
        <v>Maplink2</v>
      </c>
      <c r="AV3067" s="12" t="str">
        <f>HYPERLINK("http://www.bing.com/maps/?lvl=14&amp;sty=h&amp;cp=31.0376~46.2319&amp;sp=point.31.0376_46.2319","Maplink3")</f>
        <v>Maplink3</v>
      </c>
    </row>
    <row r="3068" spans="1:48" ht="15" customHeight="1" x14ac:dyDescent="0.25">
      <c r="A3068" s="19">
        <v>24885</v>
      </c>
      <c r="B3068" s="20" t="s">
        <v>25</v>
      </c>
      <c r="C3068" s="20" t="s">
        <v>5240</v>
      </c>
      <c r="D3068" s="20" t="s">
        <v>5278</v>
      </c>
      <c r="E3068" s="20" t="s">
        <v>365</v>
      </c>
      <c r="F3068" s="20">
        <v>31.053029286000001</v>
      </c>
      <c r="G3068" s="20">
        <v>46.278766736900003</v>
      </c>
      <c r="H3068" s="22">
        <v>1</v>
      </c>
      <c r="I3068" s="22">
        <v>6</v>
      </c>
      <c r="J3068" s="21"/>
      <c r="K3068" s="21"/>
      <c r="L3068" s="21"/>
      <c r="M3068" s="21"/>
      <c r="N3068" s="21"/>
      <c r="O3068" s="21"/>
      <c r="P3068" s="21"/>
      <c r="Q3068" s="21"/>
      <c r="R3068" s="21">
        <v>1</v>
      </c>
      <c r="S3068" s="21"/>
      <c r="T3068" s="21"/>
      <c r="U3068" s="21"/>
      <c r="V3068" s="21"/>
      <c r="W3068" s="21"/>
      <c r="X3068" s="21"/>
      <c r="Y3068" s="21"/>
      <c r="Z3068" s="21"/>
      <c r="AA3068" s="21"/>
      <c r="AB3068" s="21"/>
      <c r="AC3068" s="21"/>
      <c r="AD3068" s="21"/>
      <c r="AE3068" s="21"/>
      <c r="AF3068" s="21"/>
      <c r="AG3068" s="21"/>
      <c r="AH3068" s="21">
        <v>1</v>
      </c>
      <c r="AI3068" s="21"/>
      <c r="AJ3068" s="21"/>
      <c r="AK3068" s="21"/>
      <c r="AL3068" s="21"/>
      <c r="AM3068" s="21">
        <v>1</v>
      </c>
      <c r="AN3068" s="21"/>
      <c r="AO3068" s="21"/>
      <c r="AP3068" s="21"/>
      <c r="AQ3068" s="21"/>
      <c r="AR3068" s="21"/>
      <c r="AS3068" s="21"/>
      <c r="AT3068" s="12" t="str">
        <f>HYPERLINK("http://www.openstreetmap.org/?mlat=31.053&amp;mlon=46.2788&amp;zoom=12#map=12/31.053/46.2788","Maplink1")</f>
        <v>Maplink1</v>
      </c>
      <c r="AU3068" s="12" t="str">
        <f>HYPERLINK("https://www.google.iq/maps/search/+31.053,46.2788/@31.053,46.2788,14z?hl=en","Maplink2")</f>
        <v>Maplink2</v>
      </c>
      <c r="AV3068" s="12" t="str">
        <f>HYPERLINK("http://www.bing.com/maps/?lvl=14&amp;sty=h&amp;cp=31.053~46.2788&amp;sp=point.31.053_46.2788","Maplink3")</f>
        <v>Maplink3</v>
      </c>
    </row>
    <row r="3069" spans="1:48" ht="15" customHeight="1" x14ac:dyDescent="0.25">
      <c r="A3069" s="19">
        <v>25526</v>
      </c>
      <c r="B3069" s="20" t="s">
        <v>25</v>
      </c>
      <c r="C3069" s="20" t="s">
        <v>5240</v>
      </c>
      <c r="D3069" s="20" t="s">
        <v>3530</v>
      </c>
      <c r="E3069" s="20" t="s">
        <v>277</v>
      </c>
      <c r="F3069" s="20">
        <v>31.037821409999999</v>
      </c>
      <c r="G3069" s="20">
        <v>46.216155919999999</v>
      </c>
      <c r="H3069" s="22">
        <v>14</v>
      </c>
      <c r="I3069" s="22">
        <v>84</v>
      </c>
      <c r="J3069" s="21">
        <v>4</v>
      </c>
      <c r="K3069" s="21"/>
      <c r="L3069" s="21"/>
      <c r="M3069" s="21"/>
      <c r="N3069" s="21"/>
      <c r="O3069" s="21"/>
      <c r="P3069" s="21"/>
      <c r="Q3069" s="21"/>
      <c r="R3069" s="21"/>
      <c r="S3069" s="21"/>
      <c r="T3069" s="21"/>
      <c r="U3069" s="21"/>
      <c r="V3069" s="21">
        <v>6</v>
      </c>
      <c r="W3069" s="21"/>
      <c r="X3069" s="21">
        <v>4</v>
      </c>
      <c r="Y3069" s="21"/>
      <c r="Z3069" s="21"/>
      <c r="AA3069" s="21"/>
      <c r="AB3069" s="21"/>
      <c r="AC3069" s="21"/>
      <c r="AD3069" s="21"/>
      <c r="AE3069" s="21"/>
      <c r="AF3069" s="21"/>
      <c r="AG3069" s="21"/>
      <c r="AH3069" s="21">
        <v>14</v>
      </c>
      <c r="AI3069" s="21"/>
      <c r="AJ3069" s="21"/>
      <c r="AK3069" s="21"/>
      <c r="AL3069" s="21"/>
      <c r="AM3069" s="21">
        <v>12</v>
      </c>
      <c r="AN3069" s="21"/>
      <c r="AO3069" s="21"/>
      <c r="AP3069" s="21">
        <v>2</v>
      </c>
      <c r="AQ3069" s="21"/>
      <c r="AR3069" s="21"/>
      <c r="AS3069" s="21"/>
      <c r="AT3069" s="12" t="str">
        <f>HYPERLINK("http://www.openstreetmap.org/?mlat=31.0378&amp;mlon=46.2162&amp;zoom=12#map=12/31.0378/46.2162","Maplink1")</f>
        <v>Maplink1</v>
      </c>
      <c r="AU3069" s="12" t="str">
        <f>HYPERLINK("https://www.google.iq/maps/search/+31.0378,46.2162/@31.0378,46.2162,14z?hl=en","Maplink2")</f>
        <v>Maplink2</v>
      </c>
      <c r="AV3069" s="12" t="str">
        <f>HYPERLINK("http://www.bing.com/maps/?lvl=14&amp;sty=h&amp;cp=31.0378~46.2162&amp;sp=point.31.0378_46.2162","Maplink3")</f>
        <v>Maplink3</v>
      </c>
    </row>
    <row r="3070" spans="1:48" ht="15" customHeight="1" x14ac:dyDescent="0.25">
      <c r="A3070" s="19">
        <v>10301</v>
      </c>
      <c r="B3070" s="20" t="s">
        <v>25</v>
      </c>
      <c r="C3070" s="20" t="s">
        <v>5240</v>
      </c>
      <c r="D3070" s="20" t="s">
        <v>5279</v>
      </c>
      <c r="E3070" s="20" t="s">
        <v>5280</v>
      </c>
      <c r="F3070" s="20">
        <v>31.068559700000002</v>
      </c>
      <c r="G3070" s="20">
        <v>46.281080830000001</v>
      </c>
      <c r="H3070" s="22">
        <v>9</v>
      </c>
      <c r="I3070" s="22">
        <v>54</v>
      </c>
      <c r="J3070" s="21"/>
      <c r="K3070" s="21"/>
      <c r="L3070" s="21"/>
      <c r="M3070" s="21"/>
      <c r="N3070" s="21"/>
      <c r="O3070" s="21"/>
      <c r="P3070" s="21"/>
      <c r="Q3070" s="21"/>
      <c r="R3070" s="21"/>
      <c r="S3070" s="21"/>
      <c r="T3070" s="21"/>
      <c r="U3070" s="21"/>
      <c r="V3070" s="21">
        <v>9</v>
      </c>
      <c r="W3070" s="21"/>
      <c r="X3070" s="21"/>
      <c r="Y3070" s="21"/>
      <c r="Z3070" s="21"/>
      <c r="AA3070" s="21"/>
      <c r="AB3070" s="21"/>
      <c r="AC3070" s="21">
        <v>2</v>
      </c>
      <c r="AD3070" s="21"/>
      <c r="AE3070" s="21"/>
      <c r="AF3070" s="21"/>
      <c r="AG3070" s="21"/>
      <c r="AH3070" s="21">
        <v>7</v>
      </c>
      <c r="AI3070" s="21"/>
      <c r="AJ3070" s="21"/>
      <c r="AK3070" s="21"/>
      <c r="AL3070" s="21">
        <v>3</v>
      </c>
      <c r="AM3070" s="21"/>
      <c r="AN3070" s="21"/>
      <c r="AO3070" s="21">
        <v>6</v>
      </c>
      <c r="AP3070" s="21"/>
      <c r="AQ3070" s="21"/>
      <c r="AR3070" s="21"/>
      <c r="AS3070" s="21"/>
      <c r="AT3070" s="12" t="str">
        <f>HYPERLINK("http://www.openstreetmap.org/?mlat=31.0686&amp;mlon=46.2811&amp;zoom=12#map=12/31.0686/46.2811","Maplink1")</f>
        <v>Maplink1</v>
      </c>
      <c r="AU3070" s="12" t="str">
        <f>HYPERLINK("https://www.google.iq/maps/search/+31.0686,46.2811/@31.0686,46.2811,14z?hl=en","Maplink2")</f>
        <v>Maplink2</v>
      </c>
      <c r="AV3070" s="12" t="str">
        <f>HYPERLINK("http://www.bing.com/maps/?lvl=14&amp;sty=h&amp;cp=31.0686~46.2811&amp;sp=point.31.0686_46.2811","Maplink3")</f>
        <v>Maplink3</v>
      </c>
    </row>
    <row r="3071" spans="1:48" ht="15" customHeight="1" x14ac:dyDescent="0.25">
      <c r="A3071" s="19">
        <v>24746</v>
      </c>
      <c r="B3071" s="20" t="s">
        <v>25</v>
      </c>
      <c r="C3071" s="20" t="s">
        <v>5240</v>
      </c>
      <c r="D3071" s="20" t="s">
        <v>5281</v>
      </c>
      <c r="E3071" s="20" t="s">
        <v>1841</v>
      </c>
      <c r="F3071" s="20">
        <v>31.041553019999998</v>
      </c>
      <c r="G3071" s="20">
        <v>46.27561257</v>
      </c>
      <c r="H3071" s="22">
        <v>2</v>
      </c>
      <c r="I3071" s="22">
        <v>12</v>
      </c>
      <c r="J3071" s="21"/>
      <c r="K3071" s="21"/>
      <c r="L3071" s="21"/>
      <c r="M3071" s="21"/>
      <c r="N3071" s="21"/>
      <c r="O3071" s="21"/>
      <c r="P3071" s="21"/>
      <c r="Q3071" s="21"/>
      <c r="R3071" s="21"/>
      <c r="S3071" s="21"/>
      <c r="T3071" s="21"/>
      <c r="U3071" s="21"/>
      <c r="V3071" s="21">
        <v>2</v>
      </c>
      <c r="W3071" s="21"/>
      <c r="X3071" s="21"/>
      <c r="Y3071" s="21"/>
      <c r="Z3071" s="21"/>
      <c r="AA3071" s="21"/>
      <c r="AB3071" s="21"/>
      <c r="AC3071" s="21"/>
      <c r="AD3071" s="21"/>
      <c r="AE3071" s="21"/>
      <c r="AF3071" s="21"/>
      <c r="AG3071" s="21"/>
      <c r="AH3071" s="21">
        <v>2</v>
      </c>
      <c r="AI3071" s="21"/>
      <c r="AJ3071" s="21"/>
      <c r="AK3071" s="21"/>
      <c r="AL3071" s="21"/>
      <c r="AM3071" s="21">
        <v>2</v>
      </c>
      <c r="AN3071" s="21"/>
      <c r="AO3071" s="21"/>
      <c r="AP3071" s="21"/>
      <c r="AQ3071" s="21"/>
      <c r="AR3071" s="21"/>
      <c r="AS3071" s="21"/>
      <c r="AT3071" s="12" t="str">
        <f>HYPERLINK("http://www.openstreetmap.org/?mlat=31.0416&amp;mlon=46.2756&amp;zoom=12#map=12/31.0416/46.2756","Maplink1")</f>
        <v>Maplink1</v>
      </c>
      <c r="AU3071" s="12" t="str">
        <f>HYPERLINK("https://www.google.iq/maps/search/+31.0416,46.2756/@31.0416,46.2756,14z?hl=en","Maplink2")</f>
        <v>Maplink2</v>
      </c>
      <c r="AV3071" s="12" t="str">
        <f>HYPERLINK("http://www.bing.com/maps/?lvl=14&amp;sty=h&amp;cp=31.0416~46.2756&amp;sp=point.31.0416_46.2756","Maplink3")</f>
        <v>Maplink3</v>
      </c>
    </row>
    <row r="3072" spans="1:48" ht="15" customHeight="1" x14ac:dyDescent="0.25">
      <c r="A3072" s="19">
        <v>21208</v>
      </c>
      <c r="B3072" s="20" t="s">
        <v>25</v>
      </c>
      <c r="C3072" s="20" t="s">
        <v>5240</v>
      </c>
      <c r="D3072" s="20" t="s">
        <v>5282</v>
      </c>
      <c r="E3072" s="20" t="s">
        <v>129</v>
      </c>
      <c r="F3072" s="20">
        <v>31.067246999999998</v>
      </c>
      <c r="G3072" s="20">
        <v>46.253408</v>
      </c>
      <c r="H3072" s="22">
        <v>8</v>
      </c>
      <c r="I3072" s="22">
        <v>48</v>
      </c>
      <c r="J3072" s="21">
        <v>3</v>
      </c>
      <c r="K3072" s="21"/>
      <c r="L3072" s="21"/>
      <c r="M3072" s="21"/>
      <c r="N3072" s="21"/>
      <c r="O3072" s="21">
        <v>3</v>
      </c>
      <c r="P3072" s="21"/>
      <c r="Q3072" s="21"/>
      <c r="R3072" s="21"/>
      <c r="S3072" s="21"/>
      <c r="T3072" s="21"/>
      <c r="U3072" s="21"/>
      <c r="V3072" s="21">
        <v>2</v>
      </c>
      <c r="W3072" s="21"/>
      <c r="X3072" s="21"/>
      <c r="Y3072" s="21"/>
      <c r="Z3072" s="21"/>
      <c r="AA3072" s="21"/>
      <c r="AB3072" s="21"/>
      <c r="AC3072" s="21">
        <v>4</v>
      </c>
      <c r="AD3072" s="21"/>
      <c r="AE3072" s="21"/>
      <c r="AF3072" s="21"/>
      <c r="AG3072" s="21"/>
      <c r="AH3072" s="21">
        <v>4</v>
      </c>
      <c r="AI3072" s="21"/>
      <c r="AJ3072" s="21"/>
      <c r="AK3072" s="21"/>
      <c r="AL3072" s="21">
        <v>3</v>
      </c>
      <c r="AM3072" s="21">
        <v>3</v>
      </c>
      <c r="AN3072" s="21">
        <v>2</v>
      </c>
      <c r="AO3072" s="21"/>
      <c r="AP3072" s="21"/>
      <c r="AQ3072" s="21"/>
      <c r="AR3072" s="21"/>
      <c r="AS3072" s="21"/>
      <c r="AT3072" s="12" t="str">
        <f>HYPERLINK("http://www.openstreetmap.org/?mlat=31.0672&amp;mlon=46.2534&amp;zoom=12#map=12/31.0672/46.2534","Maplink1")</f>
        <v>Maplink1</v>
      </c>
      <c r="AU3072" s="12" t="str">
        <f>HYPERLINK("https://www.google.iq/maps/search/+31.0672,46.2534/@31.0672,46.2534,14z?hl=en","Maplink2")</f>
        <v>Maplink2</v>
      </c>
      <c r="AV3072" s="12" t="str">
        <f>HYPERLINK("http://www.bing.com/maps/?lvl=14&amp;sty=h&amp;cp=31.0672~46.2534&amp;sp=point.31.0672_46.2534","Maplink3")</f>
        <v>Maplink3</v>
      </c>
    </row>
    <row r="3073" spans="1:48" ht="15" customHeight="1" x14ac:dyDescent="0.25">
      <c r="A3073" s="19">
        <v>24750</v>
      </c>
      <c r="B3073" s="20" t="s">
        <v>25</v>
      </c>
      <c r="C3073" s="20" t="s">
        <v>5240</v>
      </c>
      <c r="D3073" s="20" t="s">
        <v>5283</v>
      </c>
      <c r="E3073" s="20" t="s">
        <v>5284</v>
      </c>
      <c r="F3073" s="20">
        <v>31.03267065</v>
      </c>
      <c r="G3073" s="20">
        <v>46.240129039999999</v>
      </c>
      <c r="H3073" s="22">
        <v>5</v>
      </c>
      <c r="I3073" s="22">
        <v>30</v>
      </c>
      <c r="J3073" s="21">
        <v>2</v>
      </c>
      <c r="K3073" s="21"/>
      <c r="L3073" s="21"/>
      <c r="M3073" s="21"/>
      <c r="N3073" s="21"/>
      <c r="O3073" s="21"/>
      <c r="P3073" s="21"/>
      <c r="Q3073" s="21"/>
      <c r="R3073" s="21"/>
      <c r="S3073" s="21"/>
      <c r="T3073" s="21"/>
      <c r="U3073" s="21"/>
      <c r="V3073" s="21">
        <v>3</v>
      </c>
      <c r="W3073" s="21"/>
      <c r="X3073" s="21"/>
      <c r="Y3073" s="21"/>
      <c r="Z3073" s="21"/>
      <c r="AA3073" s="21"/>
      <c r="AB3073" s="21"/>
      <c r="AC3073" s="21">
        <v>1</v>
      </c>
      <c r="AD3073" s="21"/>
      <c r="AE3073" s="21"/>
      <c r="AF3073" s="21"/>
      <c r="AG3073" s="21"/>
      <c r="AH3073" s="21">
        <v>4</v>
      </c>
      <c r="AI3073" s="21"/>
      <c r="AJ3073" s="21"/>
      <c r="AK3073" s="21"/>
      <c r="AL3073" s="21"/>
      <c r="AM3073" s="21"/>
      <c r="AN3073" s="21"/>
      <c r="AO3073" s="21">
        <v>2</v>
      </c>
      <c r="AP3073" s="21">
        <v>3</v>
      </c>
      <c r="AQ3073" s="21"/>
      <c r="AR3073" s="21"/>
      <c r="AS3073" s="21"/>
      <c r="AT3073" s="12" t="str">
        <f>HYPERLINK("http://www.openstreetmap.org/?mlat=31.0327&amp;mlon=46.2401&amp;zoom=12#map=12/31.0327/46.2401","Maplink1")</f>
        <v>Maplink1</v>
      </c>
      <c r="AU3073" s="12" t="str">
        <f>HYPERLINK("https://www.google.iq/maps/search/+31.0327,46.2401/@31.0327,46.2401,14z?hl=en","Maplink2")</f>
        <v>Maplink2</v>
      </c>
      <c r="AV3073" s="12" t="str">
        <f>HYPERLINK("http://www.bing.com/maps/?lvl=14&amp;sty=h&amp;cp=31.0327~46.2401&amp;sp=point.31.0327_46.2401","Maplink3")</f>
        <v>Maplink3</v>
      </c>
    </row>
    <row r="3074" spans="1:48" ht="15" customHeight="1" x14ac:dyDescent="0.25">
      <c r="A3074" s="19">
        <v>10259</v>
      </c>
      <c r="B3074" s="20" t="s">
        <v>25</v>
      </c>
      <c r="C3074" s="20" t="s">
        <v>5240</v>
      </c>
      <c r="D3074" s="20" t="s">
        <v>5285</v>
      </c>
      <c r="E3074" s="20" t="s">
        <v>5286</v>
      </c>
      <c r="F3074" s="20">
        <v>31.048127489999999</v>
      </c>
      <c r="G3074" s="20">
        <v>46.277296999999997</v>
      </c>
      <c r="H3074" s="22">
        <v>17</v>
      </c>
      <c r="I3074" s="22">
        <v>102</v>
      </c>
      <c r="J3074" s="21"/>
      <c r="K3074" s="21"/>
      <c r="L3074" s="21"/>
      <c r="M3074" s="21"/>
      <c r="N3074" s="21"/>
      <c r="O3074" s="21"/>
      <c r="P3074" s="21"/>
      <c r="Q3074" s="21"/>
      <c r="R3074" s="21">
        <v>9</v>
      </c>
      <c r="S3074" s="21"/>
      <c r="T3074" s="21"/>
      <c r="U3074" s="21"/>
      <c r="V3074" s="21">
        <v>4</v>
      </c>
      <c r="W3074" s="21"/>
      <c r="X3074" s="21">
        <v>4</v>
      </c>
      <c r="Y3074" s="21"/>
      <c r="Z3074" s="21"/>
      <c r="AA3074" s="21"/>
      <c r="AB3074" s="21"/>
      <c r="AC3074" s="21">
        <v>2</v>
      </c>
      <c r="AD3074" s="21">
        <v>2</v>
      </c>
      <c r="AE3074" s="21"/>
      <c r="AF3074" s="21"/>
      <c r="AG3074" s="21"/>
      <c r="AH3074" s="21">
        <v>13</v>
      </c>
      <c r="AI3074" s="21"/>
      <c r="AJ3074" s="21"/>
      <c r="AK3074" s="21"/>
      <c r="AL3074" s="21"/>
      <c r="AM3074" s="21"/>
      <c r="AN3074" s="21">
        <v>17</v>
      </c>
      <c r="AO3074" s="21"/>
      <c r="AP3074" s="21"/>
      <c r="AQ3074" s="21"/>
      <c r="AR3074" s="21"/>
      <c r="AS3074" s="21"/>
      <c r="AT3074" s="12" t="str">
        <f>HYPERLINK("http://www.openstreetmap.org/?mlat=31.0481&amp;mlon=46.2773&amp;zoom=12#map=12/31.0481/46.2773","Maplink1")</f>
        <v>Maplink1</v>
      </c>
      <c r="AU3074" s="12" t="str">
        <f>HYPERLINK("https://www.google.iq/maps/search/+31.0481,46.2773/@31.0481,46.2773,14z?hl=en","Maplink2")</f>
        <v>Maplink2</v>
      </c>
      <c r="AV3074" s="12" t="str">
        <f>HYPERLINK("http://www.bing.com/maps/?lvl=14&amp;sty=h&amp;cp=31.0481~46.2773&amp;sp=point.31.0481_46.2773","Maplink3")</f>
        <v>Maplink3</v>
      </c>
    </row>
    <row r="3075" spans="1:48" ht="15" customHeight="1" x14ac:dyDescent="0.25">
      <c r="A3075" s="19">
        <v>22342</v>
      </c>
      <c r="B3075" s="20" t="s">
        <v>25</v>
      </c>
      <c r="C3075" s="20" t="s">
        <v>5240</v>
      </c>
      <c r="D3075" s="20" t="s">
        <v>1411</v>
      </c>
      <c r="E3075" s="20" t="s">
        <v>112</v>
      </c>
      <c r="F3075" s="20">
        <v>31.1647</v>
      </c>
      <c r="G3075" s="20">
        <v>46.597299999999997</v>
      </c>
      <c r="H3075" s="22">
        <v>2</v>
      </c>
      <c r="I3075" s="22">
        <v>12</v>
      </c>
      <c r="J3075" s="21"/>
      <c r="K3075" s="21"/>
      <c r="L3075" s="21"/>
      <c r="M3075" s="21"/>
      <c r="N3075" s="21"/>
      <c r="O3075" s="21"/>
      <c r="P3075" s="21"/>
      <c r="Q3075" s="21"/>
      <c r="R3075" s="21"/>
      <c r="S3075" s="21"/>
      <c r="T3075" s="21"/>
      <c r="U3075" s="21"/>
      <c r="V3075" s="21"/>
      <c r="W3075" s="21"/>
      <c r="X3075" s="21">
        <v>2</v>
      </c>
      <c r="Y3075" s="21"/>
      <c r="Z3075" s="21"/>
      <c r="AA3075" s="21"/>
      <c r="AB3075" s="21"/>
      <c r="AC3075" s="21"/>
      <c r="AD3075" s="21"/>
      <c r="AE3075" s="21"/>
      <c r="AF3075" s="21"/>
      <c r="AG3075" s="21"/>
      <c r="AH3075" s="21">
        <v>2</v>
      </c>
      <c r="AI3075" s="21"/>
      <c r="AJ3075" s="21"/>
      <c r="AK3075" s="21"/>
      <c r="AL3075" s="21"/>
      <c r="AM3075" s="21"/>
      <c r="AN3075" s="21"/>
      <c r="AO3075" s="21">
        <v>2</v>
      </c>
      <c r="AP3075" s="21"/>
      <c r="AQ3075" s="21"/>
      <c r="AR3075" s="21"/>
      <c r="AS3075" s="21"/>
      <c r="AT3075" s="12" t="str">
        <f>HYPERLINK("http://www.openstreetmap.org/?mlat=31.1647&amp;mlon=46.5973&amp;zoom=12#map=12/31.1647/46.5973","Maplink1")</f>
        <v>Maplink1</v>
      </c>
      <c r="AU3075" s="12" t="str">
        <f>HYPERLINK("https://www.google.iq/maps/search/+31.1647,46.5973/@31.1647,46.5973,14z?hl=en","Maplink2")</f>
        <v>Maplink2</v>
      </c>
      <c r="AV3075" s="12" t="str">
        <f>HYPERLINK("http://www.bing.com/maps/?lvl=14&amp;sty=h&amp;cp=31.1647~46.5973&amp;sp=point.31.1647_46.5973","Maplink3")</f>
        <v>Maplink3</v>
      </c>
    </row>
    <row r="3076" spans="1:48" ht="15" customHeight="1" x14ac:dyDescent="0.25">
      <c r="A3076" s="19">
        <v>24742</v>
      </c>
      <c r="B3076" s="20" t="s">
        <v>25</v>
      </c>
      <c r="C3076" s="20" t="s">
        <v>5240</v>
      </c>
      <c r="D3076" s="20" t="s">
        <v>4075</v>
      </c>
      <c r="E3076" s="20" t="s">
        <v>3376</v>
      </c>
      <c r="F3076" s="20">
        <v>31.060185904000001</v>
      </c>
      <c r="G3076" s="20">
        <v>46.276742942399999</v>
      </c>
      <c r="H3076" s="22">
        <v>2</v>
      </c>
      <c r="I3076" s="22">
        <v>12</v>
      </c>
      <c r="J3076" s="21"/>
      <c r="K3076" s="21"/>
      <c r="L3076" s="21"/>
      <c r="M3076" s="21"/>
      <c r="N3076" s="21"/>
      <c r="O3076" s="21">
        <v>1</v>
      </c>
      <c r="P3076" s="21"/>
      <c r="Q3076" s="21"/>
      <c r="R3076" s="21">
        <v>1</v>
      </c>
      <c r="S3076" s="21"/>
      <c r="T3076" s="21"/>
      <c r="U3076" s="21"/>
      <c r="V3076" s="21"/>
      <c r="W3076" s="21"/>
      <c r="X3076" s="21"/>
      <c r="Y3076" s="21"/>
      <c r="Z3076" s="21"/>
      <c r="AA3076" s="21"/>
      <c r="AB3076" s="21"/>
      <c r="AC3076" s="21">
        <v>2</v>
      </c>
      <c r="AD3076" s="21"/>
      <c r="AE3076" s="21"/>
      <c r="AF3076" s="21"/>
      <c r="AG3076" s="21"/>
      <c r="AH3076" s="21"/>
      <c r="AI3076" s="21"/>
      <c r="AJ3076" s="21"/>
      <c r="AK3076" s="21"/>
      <c r="AL3076" s="21"/>
      <c r="AM3076" s="21"/>
      <c r="AN3076" s="21"/>
      <c r="AO3076" s="21">
        <v>2</v>
      </c>
      <c r="AP3076" s="21"/>
      <c r="AQ3076" s="21"/>
      <c r="AR3076" s="21"/>
      <c r="AS3076" s="21"/>
      <c r="AT3076" s="12" t="str">
        <f>HYPERLINK("http://www.openstreetmap.org/?mlat=31.0602&amp;mlon=46.2767&amp;zoom=12#map=12/31.0602/46.2767","Maplink1")</f>
        <v>Maplink1</v>
      </c>
      <c r="AU3076" s="12" t="str">
        <f>HYPERLINK("https://www.google.iq/maps/search/+31.0602,46.2767/@31.0602,46.2767,14z?hl=en","Maplink2")</f>
        <v>Maplink2</v>
      </c>
      <c r="AV3076" s="12" t="str">
        <f>HYPERLINK("http://www.bing.com/maps/?lvl=14&amp;sty=h&amp;cp=31.0602~46.2767&amp;sp=point.31.0602_46.2767","Maplink3")</f>
        <v>Maplink3</v>
      </c>
    </row>
    <row r="3077" spans="1:48" ht="15" customHeight="1" x14ac:dyDescent="0.25">
      <c r="A3077" s="19">
        <v>9561</v>
      </c>
      <c r="B3077" s="20" t="s">
        <v>25</v>
      </c>
      <c r="C3077" s="20" t="s">
        <v>5240</v>
      </c>
      <c r="D3077" s="20" t="s">
        <v>5287</v>
      </c>
      <c r="E3077" s="20" t="s">
        <v>5288</v>
      </c>
      <c r="F3077" s="20">
        <v>31.066935409999999</v>
      </c>
      <c r="G3077" s="20">
        <v>46.262787889999998</v>
      </c>
      <c r="H3077" s="22">
        <v>4</v>
      </c>
      <c r="I3077" s="22">
        <v>24</v>
      </c>
      <c r="J3077" s="21">
        <v>3</v>
      </c>
      <c r="K3077" s="21"/>
      <c r="L3077" s="21"/>
      <c r="M3077" s="21"/>
      <c r="N3077" s="21"/>
      <c r="O3077" s="21"/>
      <c r="P3077" s="21"/>
      <c r="Q3077" s="21"/>
      <c r="R3077" s="21">
        <v>1</v>
      </c>
      <c r="S3077" s="21"/>
      <c r="T3077" s="21"/>
      <c r="U3077" s="21"/>
      <c r="V3077" s="21"/>
      <c r="W3077" s="21"/>
      <c r="X3077" s="21"/>
      <c r="Y3077" s="21"/>
      <c r="Z3077" s="21"/>
      <c r="AA3077" s="21"/>
      <c r="AB3077" s="21"/>
      <c r="AC3077" s="21"/>
      <c r="AD3077" s="21"/>
      <c r="AE3077" s="21"/>
      <c r="AF3077" s="21"/>
      <c r="AG3077" s="21"/>
      <c r="AH3077" s="21">
        <v>4</v>
      </c>
      <c r="AI3077" s="21"/>
      <c r="AJ3077" s="21"/>
      <c r="AK3077" s="21"/>
      <c r="AL3077" s="21">
        <v>4</v>
      </c>
      <c r="AM3077" s="21"/>
      <c r="AN3077" s="21"/>
      <c r="AO3077" s="21"/>
      <c r="AP3077" s="21"/>
      <c r="AQ3077" s="21"/>
      <c r="AR3077" s="21"/>
      <c r="AS3077" s="21"/>
      <c r="AT3077" s="12" t="str">
        <f>HYPERLINK("http://www.openstreetmap.org/?mlat=31.0669&amp;mlon=46.2628&amp;zoom=12#map=12/31.0669/46.2628","Maplink1")</f>
        <v>Maplink1</v>
      </c>
      <c r="AU3077" s="12" t="str">
        <f>HYPERLINK("https://www.google.iq/maps/search/+31.0669,46.2628/@31.0669,46.2628,14z?hl=en","Maplink2")</f>
        <v>Maplink2</v>
      </c>
      <c r="AV3077" s="12" t="str">
        <f>HYPERLINK("http://www.bing.com/maps/?lvl=14&amp;sty=h&amp;cp=31.0669~46.2628&amp;sp=point.31.0669_46.2628","Maplink3")</f>
        <v>Maplink3</v>
      </c>
    </row>
    <row r="3078" spans="1:48" ht="15" customHeight="1" x14ac:dyDescent="0.25">
      <c r="A3078" s="19">
        <v>9427</v>
      </c>
      <c r="B3078" s="20" t="s">
        <v>25</v>
      </c>
      <c r="C3078" s="20" t="s">
        <v>5240</v>
      </c>
      <c r="D3078" s="20" t="s">
        <v>5289</v>
      </c>
      <c r="E3078" s="20" t="s">
        <v>5290</v>
      </c>
      <c r="F3078" s="20">
        <v>31.033536849699999</v>
      </c>
      <c r="G3078" s="20">
        <v>46.219625322699997</v>
      </c>
      <c r="H3078" s="22">
        <v>15</v>
      </c>
      <c r="I3078" s="22">
        <v>90</v>
      </c>
      <c r="J3078" s="21">
        <v>10</v>
      </c>
      <c r="K3078" s="21">
        <v>1</v>
      </c>
      <c r="L3078" s="21"/>
      <c r="M3078" s="21"/>
      <c r="N3078" s="21"/>
      <c r="O3078" s="21"/>
      <c r="P3078" s="21"/>
      <c r="Q3078" s="21"/>
      <c r="R3078" s="21"/>
      <c r="S3078" s="21"/>
      <c r="T3078" s="21"/>
      <c r="U3078" s="21"/>
      <c r="V3078" s="21">
        <v>4</v>
      </c>
      <c r="W3078" s="21"/>
      <c r="X3078" s="21"/>
      <c r="Y3078" s="21"/>
      <c r="Z3078" s="21"/>
      <c r="AA3078" s="21"/>
      <c r="AB3078" s="21"/>
      <c r="AC3078" s="21">
        <v>3</v>
      </c>
      <c r="AD3078" s="21"/>
      <c r="AE3078" s="21"/>
      <c r="AF3078" s="21"/>
      <c r="AG3078" s="21"/>
      <c r="AH3078" s="21">
        <v>12</v>
      </c>
      <c r="AI3078" s="21"/>
      <c r="AJ3078" s="21"/>
      <c r="AK3078" s="21"/>
      <c r="AL3078" s="21">
        <v>4</v>
      </c>
      <c r="AM3078" s="21"/>
      <c r="AN3078" s="21">
        <v>3</v>
      </c>
      <c r="AO3078" s="21">
        <v>8</v>
      </c>
      <c r="AP3078" s="21"/>
      <c r="AQ3078" s="21"/>
      <c r="AR3078" s="21"/>
      <c r="AS3078" s="21"/>
      <c r="AT3078" s="12" t="str">
        <f>HYPERLINK("http://www.openstreetmap.org/?mlat=31.0335&amp;mlon=46.2196&amp;zoom=12#map=12/31.0335/46.2196","Maplink1")</f>
        <v>Maplink1</v>
      </c>
      <c r="AU3078" s="12" t="str">
        <f>HYPERLINK("https://www.google.iq/maps/search/+31.0335,46.2196/@31.0335,46.2196,14z?hl=en","Maplink2")</f>
        <v>Maplink2</v>
      </c>
      <c r="AV3078" s="12" t="str">
        <f>HYPERLINK("http://www.bing.com/maps/?lvl=14&amp;sty=h&amp;cp=31.0335~46.2196&amp;sp=point.31.0335_46.2196","Maplink3")</f>
        <v>Maplink3</v>
      </c>
    </row>
    <row r="3079" spans="1:48" ht="15" customHeight="1" x14ac:dyDescent="0.25">
      <c r="A3079" s="19">
        <v>9398</v>
      </c>
      <c r="B3079" s="20" t="s">
        <v>25</v>
      </c>
      <c r="C3079" s="20" t="s">
        <v>5240</v>
      </c>
      <c r="D3079" s="20" t="s">
        <v>5291</v>
      </c>
      <c r="E3079" s="20" t="s">
        <v>121</v>
      </c>
      <c r="F3079" s="20">
        <v>31.070553210100002</v>
      </c>
      <c r="G3079" s="20">
        <v>46.275897683300002</v>
      </c>
      <c r="H3079" s="22">
        <v>3</v>
      </c>
      <c r="I3079" s="22">
        <v>18</v>
      </c>
      <c r="J3079" s="21">
        <v>2</v>
      </c>
      <c r="K3079" s="21"/>
      <c r="L3079" s="21"/>
      <c r="M3079" s="21"/>
      <c r="N3079" s="21"/>
      <c r="O3079" s="21"/>
      <c r="P3079" s="21"/>
      <c r="Q3079" s="21"/>
      <c r="R3079" s="21"/>
      <c r="S3079" s="21"/>
      <c r="T3079" s="21"/>
      <c r="U3079" s="21"/>
      <c r="V3079" s="21">
        <v>1</v>
      </c>
      <c r="W3079" s="21"/>
      <c r="X3079" s="21"/>
      <c r="Y3079" s="21"/>
      <c r="Z3079" s="21"/>
      <c r="AA3079" s="21"/>
      <c r="AB3079" s="21"/>
      <c r="AC3079" s="21"/>
      <c r="AD3079" s="21"/>
      <c r="AE3079" s="21"/>
      <c r="AF3079" s="21"/>
      <c r="AG3079" s="21"/>
      <c r="AH3079" s="21">
        <v>3</v>
      </c>
      <c r="AI3079" s="21"/>
      <c r="AJ3079" s="21"/>
      <c r="AK3079" s="21"/>
      <c r="AL3079" s="21">
        <v>1</v>
      </c>
      <c r="AM3079" s="21"/>
      <c r="AN3079" s="21">
        <v>2</v>
      </c>
      <c r="AO3079" s="21"/>
      <c r="AP3079" s="21"/>
      <c r="AQ3079" s="21"/>
      <c r="AR3079" s="21"/>
      <c r="AS3079" s="21"/>
      <c r="AT3079" s="12" t="str">
        <f>HYPERLINK("http://www.openstreetmap.org/?mlat=31.0706&amp;mlon=46.2759&amp;zoom=12#map=12/31.0706/46.2759","Maplink1")</f>
        <v>Maplink1</v>
      </c>
      <c r="AU3079" s="12" t="str">
        <f>HYPERLINK("https://www.google.iq/maps/search/+31.0706,46.2759/@31.0706,46.2759,14z?hl=en","Maplink2")</f>
        <v>Maplink2</v>
      </c>
      <c r="AV3079" s="12" t="str">
        <f>HYPERLINK("http://www.bing.com/maps/?lvl=14&amp;sty=h&amp;cp=31.0706~46.2759&amp;sp=point.31.0706_46.2759","Maplink3")</f>
        <v>Maplink3</v>
      </c>
    </row>
    <row r="3080" spans="1:48" ht="15" customHeight="1" x14ac:dyDescent="0.25">
      <c r="A3080" s="19">
        <v>23683</v>
      </c>
      <c r="B3080" s="20" t="s">
        <v>25</v>
      </c>
      <c r="C3080" s="20" t="s">
        <v>5240</v>
      </c>
      <c r="D3080" s="20" t="s">
        <v>5292</v>
      </c>
      <c r="E3080" s="20" t="s">
        <v>5293</v>
      </c>
      <c r="F3080" s="20">
        <v>31.035055710000002</v>
      </c>
      <c r="G3080" s="20">
        <v>46.252193949999999</v>
      </c>
      <c r="H3080" s="22">
        <v>12</v>
      </c>
      <c r="I3080" s="22">
        <v>72</v>
      </c>
      <c r="J3080" s="21">
        <v>3</v>
      </c>
      <c r="K3080" s="21"/>
      <c r="L3080" s="21"/>
      <c r="M3080" s="21"/>
      <c r="N3080" s="21"/>
      <c r="O3080" s="21"/>
      <c r="P3080" s="21"/>
      <c r="Q3080" s="21"/>
      <c r="R3080" s="21"/>
      <c r="S3080" s="21"/>
      <c r="T3080" s="21"/>
      <c r="U3080" s="21"/>
      <c r="V3080" s="21">
        <v>9</v>
      </c>
      <c r="W3080" s="21"/>
      <c r="X3080" s="21"/>
      <c r="Y3080" s="21"/>
      <c r="Z3080" s="21"/>
      <c r="AA3080" s="21"/>
      <c r="AB3080" s="21"/>
      <c r="AC3080" s="21"/>
      <c r="AD3080" s="21"/>
      <c r="AE3080" s="21"/>
      <c r="AF3080" s="21"/>
      <c r="AG3080" s="21"/>
      <c r="AH3080" s="21">
        <v>12</v>
      </c>
      <c r="AI3080" s="21"/>
      <c r="AJ3080" s="21"/>
      <c r="AK3080" s="21"/>
      <c r="AL3080" s="21"/>
      <c r="AM3080" s="21">
        <v>4</v>
      </c>
      <c r="AN3080" s="21"/>
      <c r="AO3080" s="21">
        <v>5</v>
      </c>
      <c r="AP3080" s="21"/>
      <c r="AQ3080" s="21"/>
      <c r="AR3080" s="21">
        <v>3</v>
      </c>
      <c r="AS3080" s="21"/>
      <c r="AT3080" s="12" t="str">
        <f>HYPERLINK("http://www.openstreetmap.org/?mlat=31.0351&amp;mlon=46.2522&amp;zoom=12#map=12/31.0351/46.2522","Maplink1")</f>
        <v>Maplink1</v>
      </c>
      <c r="AU3080" s="12" t="str">
        <f>HYPERLINK("https://www.google.iq/maps/search/+31.0351,46.2522/@31.0351,46.2522,14z?hl=en","Maplink2")</f>
        <v>Maplink2</v>
      </c>
      <c r="AV3080" s="12" t="str">
        <f>HYPERLINK("http://www.bing.com/maps/?lvl=14&amp;sty=h&amp;cp=31.0351~46.2522&amp;sp=point.31.0351_46.2522","Maplink3")</f>
        <v>Maplink3</v>
      </c>
    </row>
    <row r="3081" spans="1:48" ht="15" customHeight="1" x14ac:dyDescent="0.25">
      <c r="A3081" s="19">
        <v>25532</v>
      </c>
      <c r="B3081" s="20" t="s">
        <v>25</v>
      </c>
      <c r="C3081" s="20" t="s">
        <v>5240</v>
      </c>
      <c r="D3081" s="20" t="s">
        <v>5294</v>
      </c>
      <c r="E3081" s="20" t="s">
        <v>5295</v>
      </c>
      <c r="F3081" s="20">
        <v>31.0564770354</v>
      </c>
      <c r="G3081" s="20">
        <v>46.278654350099998</v>
      </c>
      <c r="H3081" s="22">
        <v>4</v>
      </c>
      <c r="I3081" s="22">
        <v>24</v>
      </c>
      <c r="J3081" s="21"/>
      <c r="K3081" s="21"/>
      <c r="L3081" s="21"/>
      <c r="M3081" s="21"/>
      <c r="N3081" s="21"/>
      <c r="O3081" s="21"/>
      <c r="P3081" s="21"/>
      <c r="Q3081" s="21"/>
      <c r="R3081" s="21"/>
      <c r="S3081" s="21"/>
      <c r="T3081" s="21"/>
      <c r="U3081" s="21"/>
      <c r="V3081" s="21">
        <v>4</v>
      </c>
      <c r="W3081" s="21"/>
      <c r="X3081" s="21"/>
      <c r="Y3081" s="21"/>
      <c r="Z3081" s="21"/>
      <c r="AA3081" s="21"/>
      <c r="AB3081" s="21"/>
      <c r="AC3081" s="21"/>
      <c r="AD3081" s="21"/>
      <c r="AE3081" s="21"/>
      <c r="AF3081" s="21"/>
      <c r="AG3081" s="21"/>
      <c r="AH3081" s="21">
        <v>4</v>
      </c>
      <c r="AI3081" s="21"/>
      <c r="AJ3081" s="21"/>
      <c r="AK3081" s="21"/>
      <c r="AL3081" s="21">
        <v>4</v>
      </c>
      <c r="AM3081" s="21"/>
      <c r="AN3081" s="21"/>
      <c r="AO3081" s="21"/>
      <c r="AP3081" s="21"/>
      <c r="AQ3081" s="21"/>
      <c r="AR3081" s="21"/>
      <c r="AS3081" s="21"/>
      <c r="AT3081" s="12" t="str">
        <f>HYPERLINK("http://www.openstreetmap.org/?mlat=31.0565&amp;mlon=46.2787&amp;zoom=12#map=12/31.0565/46.2787","Maplink1")</f>
        <v>Maplink1</v>
      </c>
      <c r="AU3081" s="12" t="str">
        <f>HYPERLINK("https://www.google.iq/maps/search/+31.0565,46.2787/@31.0565,46.2787,14z?hl=en","Maplink2")</f>
        <v>Maplink2</v>
      </c>
      <c r="AV3081" s="12" t="str">
        <f>HYPERLINK("http://www.bing.com/maps/?lvl=14&amp;sty=h&amp;cp=31.0565~46.2787&amp;sp=point.31.0565_46.2787","Maplink3")</f>
        <v>Maplink3</v>
      </c>
    </row>
    <row r="3082" spans="1:48" ht="15" customHeight="1" x14ac:dyDescent="0.25">
      <c r="A3082" s="19">
        <v>25528</v>
      </c>
      <c r="B3082" s="20" t="s">
        <v>25</v>
      </c>
      <c r="C3082" s="20" t="s">
        <v>5240</v>
      </c>
      <c r="D3082" s="20" t="s">
        <v>5296</v>
      </c>
      <c r="E3082" s="20" t="s">
        <v>5297</v>
      </c>
      <c r="F3082" s="20">
        <v>31.056460770000001</v>
      </c>
      <c r="G3082" s="20">
        <v>46.252911789999999</v>
      </c>
      <c r="H3082" s="22">
        <v>3</v>
      </c>
      <c r="I3082" s="22">
        <v>18</v>
      </c>
      <c r="J3082" s="21">
        <v>2</v>
      </c>
      <c r="K3082" s="21"/>
      <c r="L3082" s="21"/>
      <c r="M3082" s="21"/>
      <c r="N3082" s="21"/>
      <c r="O3082" s="21"/>
      <c r="P3082" s="21"/>
      <c r="Q3082" s="21"/>
      <c r="R3082" s="21"/>
      <c r="S3082" s="21"/>
      <c r="T3082" s="21"/>
      <c r="U3082" s="21"/>
      <c r="V3082" s="21">
        <v>1</v>
      </c>
      <c r="W3082" s="21"/>
      <c r="X3082" s="21"/>
      <c r="Y3082" s="21"/>
      <c r="Z3082" s="21"/>
      <c r="AA3082" s="21"/>
      <c r="AB3082" s="21"/>
      <c r="AC3082" s="21">
        <v>3</v>
      </c>
      <c r="AD3082" s="21"/>
      <c r="AE3082" s="21"/>
      <c r="AF3082" s="21"/>
      <c r="AG3082" s="21"/>
      <c r="AH3082" s="21"/>
      <c r="AI3082" s="21"/>
      <c r="AJ3082" s="21"/>
      <c r="AK3082" s="21"/>
      <c r="AL3082" s="21"/>
      <c r="AM3082" s="21">
        <v>3</v>
      </c>
      <c r="AN3082" s="21"/>
      <c r="AO3082" s="21"/>
      <c r="AP3082" s="21"/>
      <c r="AQ3082" s="21"/>
      <c r="AR3082" s="21"/>
      <c r="AS3082" s="21"/>
      <c r="AT3082" s="12" t="str">
        <f>HYPERLINK("http://www.openstreetmap.org/?mlat=31.0565&amp;mlon=46.2529&amp;zoom=12#map=12/31.0565/46.2529","Maplink1")</f>
        <v>Maplink1</v>
      </c>
      <c r="AU3082" s="12" t="str">
        <f>HYPERLINK("https://www.google.iq/maps/search/+31.0565,46.2529/@31.0565,46.2529,14z?hl=en","Maplink2")</f>
        <v>Maplink2</v>
      </c>
      <c r="AV3082" s="12" t="str">
        <f>HYPERLINK("http://www.bing.com/maps/?lvl=14&amp;sty=h&amp;cp=31.0565~46.2529&amp;sp=point.31.0565_46.2529","Maplink3")</f>
        <v>Maplink3</v>
      </c>
    </row>
    <row r="3083" spans="1:48" ht="15" customHeight="1" x14ac:dyDescent="0.25">
      <c r="A3083" s="19">
        <v>25531</v>
      </c>
      <c r="B3083" s="20" t="s">
        <v>25</v>
      </c>
      <c r="C3083" s="20" t="s">
        <v>5240</v>
      </c>
      <c r="D3083" s="20" t="s">
        <v>5298</v>
      </c>
      <c r="E3083" s="20" t="s">
        <v>5299</v>
      </c>
      <c r="F3083" s="20">
        <v>31.042833259999998</v>
      </c>
      <c r="G3083" s="20">
        <v>46.23460335</v>
      </c>
      <c r="H3083" s="22">
        <v>1</v>
      </c>
      <c r="I3083" s="22">
        <v>6</v>
      </c>
      <c r="J3083" s="21"/>
      <c r="K3083" s="21"/>
      <c r="L3083" s="21"/>
      <c r="M3083" s="21"/>
      <c r="N3083" s="21"/>
      <c r="O3083" s="21"/>
      <c r="P3083" s="21"/>
      <c r="Q3083" s="21"/>
      <c r="R3083" s="21"/>
      <c r="S3083" s="21"/>
      <c r="T3083" s="21"/>
      <c r="U3083" s="21"/>
      <c r="V3083" s="21">
        <v>1</v>
      </c>
      <c r="W3083" s="21"/>
      <c r="X3083" s="21"/>
      <c r="Y3083" s="21"/>
      <c r="Z3083" s="21"/>
      <c r="AA3083" s="21"/>
      <c r="AB3083" s="21"/>
      <c r="AC3083" s="21"/>
      <c r="AD3083" s="21"/>
      <c r="AE3083" s="21"/>
      <c r="AF3083" s="21"/>
      <c r="AG3083" s="21"/>
      <c r="AH3083" s="21">
        <v>1</v>
      </c>
      <c r="AI3083" s="21"/>
      <c r="AJ3083" s="21"/>
      <c r="AK3083" s="21"/>
      <c r="AL3083" s="21"/>
      <c r="AM3083" s="21">
        <v>1</v>
      </c>
      <c r="AN3083" s="21"/>
      <c r="AO3083" s="21"/>
      <c r="AP3083" s="21"/>
      <c r="AQ3083" s="21"/>
      <c r="AR3083" s="21"/>
      <c r="AS3083" s="21"/>
      <c r="AT3083" s="12" t="str">
        <f>HYPERLINK("http://www.openstreetmap.org/?mlat=31.0428&amp;mlon=46.2346&amp;zoom=12#map=12/31.0428/46.2346","Maplink1")</f>
        <v>Maplink1</v>
      </c>
      <c r="AU3083" s="12" t="str">
        <f>HYPERLINK("https://www.google.iq/maps/search/+31.0428,46.2346/@31.0428,46.2346,14z?hl=en","Maplink2")</f>
        <v>Maplink2</v>
      </c>
      <c r="AV3083" s="12" t="str">
        <f>HYPERLINK("http://www.bing.com/maps/?lvl=14&amp;sty=h&amp;cp=31.0428~46.2346&amp;sp=point.31.0428_46.2346","Maplink3")</f>
        <v>Maplink3</v>
      </c>
    </row>
    <row r="3084" spans="1:48" ht="15" customHeight="1" x14ac:dyDescent="0.25">
      <c r="A3084" s="19">
        <v>25530</v>
      </c>
      <c r="B3084" s="20" t="s">
        <v>25</v>
      </c>
      <c r="C3084" s="20" t="s">
        <v>5240</v>
      </c>
      <c r="D3084" s="20" t="s">
        <v>5300</v>
      </c>
      <c r="E3084" s="20" t="s">
        <v>3319</v>
      </c>
      <c r="F3084" s="20">
        <v>31.071643380000001</v>
      </c>
      <c r="G3084" s="20">
        <v>46.260357169999999</v>
      </c>
      <c r="H3084" s="22">
        <v>4</v>
      </c>
      <c r="I3084" s="22">
        <v>24</v>
      </c>
      <c r="J3084" s="21">
        <v>3</v>
      </c>
      <c r="K3084" s="21"/>
      <c r="L3084" s="21"/>
      <c r="M3084" s="21"/>
      <c r="N3084" s="21"/>
      <c r="O3084" s="21"/>
      <c r="P3084" s="21"/>
      <c r="Q3084" s="21"/>
      <c r="R3084" s="21"/>
      <c r="S3084" s="21"/>
      <c r="T3084" s="21"/>
      <c r="U3084" s="21"/>
      <c r="V3084" s="21">
        <v>1</v>
      </c>
      <c r="W3084" s="21"/>
      <c r="X3084" s="21"/>
      <c r="Y3084" s="21"/>
      <c r="Z3084" s="21"/>
      <c r="AA3084" s="21"/>
      <c r="AB3084" s="21"/>
      <c r="AC3084" s="21">
        <v>3</v>
      </c>
      <c r="AD3084" s="21"/>
      <c r="AE3084" s="21"/>
      <c r="AF3084" s="21"/>
      <c r="AG3084" s="21"/>
      <c r="AH3084" s="21">
        <v>1</v>
      </c>
      <c r="AI3084" s="21"/>
      <c r="AJ3084" s="21"/>
      <c r="AK3084" s="21"/>
      <c r="AL3084" s="21"/>
      <c r="AM3084" s="21"/>
      <c r="AN3084" s="21"/>
      <c r="AO3084" s="21">
        <v>1</v>
      </c>
      <c r="AP3084" s="21">
        <v>3</v>
      </c>
      <c r="AQ3084" s="21"/>
      <c r="AR3084" s="21"/>
      <c r="AS3084" s="21"/>
      <c r="AT3084" s="12" t="str">
        <f>HYPERLINK("http://www.openstreetmap.org/?mlat=31.0716&amp;mlon=46.2604&amp;zoom=12#map=12/31.0716/46.2604","Maplink1")</f>
        <v>Maplink1</v>
      </c>
      <c r="AU3084" s="12" t="str">
        <f>HYPERLINK("https://www.google.iq/maps/search/+31.0716,46.2604/@31.0716,46.2604,14z?hl=en","Maplink2")</f>
        <v>Maplink2</v>
      </c>
      <c r="AV3084" s="12" t="str">
        <f>HYPERLINK("http://www.bing.com/maps/?lvl=14&amp;sty=h&amp;cp=31.0716~46.2604&amp;sp=point.31.0716_46.2604","Maplink3")</f>
        <v>Maplink3</v>
      </c>
    </row>
    <row r="3085" spans="1:48" ht="15" customHeight="1" x14ac:dyDescent="0.25">
      <c r="A3085" s="19">
        <v>8884</v>
      </c>
      <c r="B3085" s="20" t="s">
        <v>25</v>
      </c>
      <c r="C3085" s="20" t="s">
        <v>5240</v>
      </c>
      <c r="D3085" s="20" t="s">
        <v>5301</v>
      </c>
      <c r="E3085" s="20" t="s">
        <v>5302</v>
      </c>
      <c r="F3085" s="20">
        <v>31.1154356929</v>
      </c>
      <c r="G3085" s="20">
        <v>45.887694925200002</v>
      </c>
      <c r="H3085" s="22">
        <v>4</v>
      </c>
      <c r="I3085" s="22">
        <v>24</v>
      </c>
      <c r="J3085" s="21">
        <v>4</v>
      </c>
      <c r="K3085" s="21"/>
      <c r="L3085" s="21"/>
      <c r="M3085" s="21"/>
      <c r="N3085" s="21"/>
      <c r="O3085" s="21"/>
      <c r="P3085" s="21"/>
      <c r="Q3085" s="21"/>
      <c r="R3085" s="21"/>
      <c r="S3085" s="21"/>
      <c r="T3085" s="21"/>
      <c r="U3085" s="21"/>
      <c r="V3085" s="21"/>
      <c r="W3085" s="21"/>
      <c r="X3085" s="21"/>
      <c r="Y3085" s="21"/>
      <c r="Z3085" s="21"/>
      <c r="AA3085" s="21"/>
      <c r="AB3085" s="21"/>
      <c r="AC3085" s="21"/>
      <c r="AD3085" s="21"/>
      <c r="AE3085" s="21"/>
      <c r="AF3085" s="21"/>
      <c r="AG3085" s="21"/>
      <c r="AH3085" s="21">
        <v>4</v>
      </c>
      <c r="AI3085" s="21"/>
      <c r="AJ3085" s="21"/>
      <c r="AK3085" s="21"/>
      <c r="AL3085" s="21"/>
      <c r="AM3085" s="21"/>
      <c r="AN3085" s="21"/>
      <c r="AO3085" s="21">
        <v>4</v>
      </c>
      <c r="AP3085" s="21"/>
      <c r="AQ3085" s="21"/>
      <c r="AR3085" s="21"/>
      <c r="AS3085" s="21"/>
      <c r="AT3085" s="12" t="str">
        <f>HYPERLINK("http://www.openstreetmap.org/?mlat=31.1154&amp;mlon=45.8877&amp;zoom=12#map=12/31.1154/45.8877","Maplink1")</f>
        <v>Maplink1</v>
      </c>
      <c r="AU3085" s="12" t="str">
        <f>HYPERLINK("https://www.google.iq/maps/search/+31.1154,45.8877/@31.1154,45.8877,14z?hl=en","Maplink2")</f>
        <v>Maplink2</v>
      </c>
      <c r="AV3085" s="12" t="str">
        <f>HYPERLINK("http://www.bing.com/maps/?lvl=14&amp;sty=h&amp;cp=31.1154~45.8877&amp;sp=point.31.1154_45.8877","Maplink3")</f>
        <v>Maplink3</v>
      </c>
    </row>
    <row r="3086" spans="1:48" ht="15" customHeight="1" x14ac:dyDescent="0.25">
      <c r="A3086" s="19">
        <v>10295</v>
      </c>
      <c r="B3086" s="20" t="s">
        <v>25</v>
      </c>
      <c r="C3086" s="20" t="s">
        <v>5240</v>
      </c>
      <c r="D3086" s="20" t="s">
        <v>5303</v>
      </c>
      <c r="E3086" s="20" t="s">
        <v>5304</v>
      </c>
      <c r="F3086" s="20">
        <v>31.131611230000001</v>
      </c>
      <c r="G3086" s="20">
        <v>46.437914589999998</v>
      </c>
      <c r="H3086" s="22">
        <v>5</v>
      </c>
      <c r="I3086" s="22">
        <v>30</v>
      </c>
      <c r="J3086" s="21"/>
      <c r="K3086" s="21"/>
      <c r="L3086" s="21"/>
      <c r="M3086" s="21"/>
      <c r="N3086" s="21"/>
      <c r="O3086" s="21"/>
      <c r="P3086" s="21"/>
      <c r="Q3086" s="21"/>
      <c r="R3086" s="21"/>
      <c r="S3086" s="21"/>
      <c r="T3086" s="21"/>
      <c r="U3086" s="21"/>
      <c r="V3086" s="21">
        <v>5</v>
      </c>
      <c r="W3086" s="21"/>
      <c r="X3086" s="21"/>
      <c r="Y3086" s="21"/>
      <c r="Z3086" s="21"/>
      <c r="AA3086" s="21"/>
      <c r="AB3086" s="21"/>
      <c r="AC3086" s="21">
        <v>5</v>
      </c>
      <c r="AD3086" s="21"/>
      <c r="AE3086" s="21"/>
      <c r="AF3086" s="21"/>
      <c r="AG3086" s="21"/>
      <c r="AH3086" s="21"/>
      <c r="AI3086" s="21"/>
      <c r="AJ3086" s="21"/>
      <c r="AK3086" s="21"/>
      <c r="AL3086" s="21"/>
      <c r="AM3086" s="21"/>
      <c r="AN3086" s="21">
        <v>5</v>
      </c>
      <c r="AO3086" s="21"/>
      <c r="AP3086" s="21"/>
      <c r="AQ3086" s="21"/>
      <c r="AR3086" s="21"/>
      <c r="AS3086" s="21"/>
      <c r="AT3086" s="12" t="str">
        <f>HYPERLINK("http://www.openstreetmap.org/?mlat=31.1316&amp;mlon=46.4379&amp;zoom=12#map=12/31.1316/46.4379","Maplink1")</f>
        <v>Maplink1</v>
      </c>
      <c r="AU3086" s="12" t="str">
        <f>HYPERLINK("https://www.google.iq/maps/search/+31.1316,46.4379/@31.1316,46.4379,14z?hl=en","Maplink2")</f>
        <v>Maplink2</v>
      </c>
      <c r="AV3086" s="12" t="str">
        <f>HYPERLINK("http://www.bing.com/maps/?lvl=14&amp;sty=h&amp;cp=31.1316~46.4379&amp;sp=point.31.1316_46.4379","Maplink3")</f>
        <v>Maplink3</v>
      </c>
    </row>
    <row r="3087" spans="1:48" ht="15" customHeight="1" x14ac:dyDescent="0.25">
      <c r="A3087" s="19">
        <v>25533</v>
      </c>
      <c r="B3087" s="20" t="s">
        <v>25</v>
      </c>
      <c r="C3087" s="20" t="s">
        <v>5240</v>
      </c>
      <c r="D3087" s="20" t="s">
        <v>5305</v>
      </c>
      <c r="E3087" s="20" t="s">
        <v>5306</v>
      </c>
      <c r="F3087" s="20">
        <v>31.079103849999999</v>
      </c>
      <c r="G3087" s="20">
        <v>46.237337490000002</v>
      </c>
      <c r="H3087" s="22">
        <v>8</v>
      </c>
      <c r="I3087" s="22">
        <v>48</v>
      </c>
      <c r="J3087" s="21">
        <v>6</v>
      </c>
      <c r="K3087" s="21"/>
      <c r="L3087" s="21"/>
      <c r="M3087" s="21"/>
      <c r="N3087" s="21"/>
      <c r="O3087" s="21"/>
      <c r="P3087" s="21"/>
      <c r="Q3087" s="21"/>
      <c r="R3087" s="21"/>
      <c r="S3087" s="21"/>
      <c r="T3087" s="21"/>
      <c r="U3087" s="21"/>
      <c r="V3087" s="21">
        <v>2</v>
      </c>
      <c r="W3087" s="21"/>
      <c r="X3087" s="21"/>
      <c r="Y3087" s="21"/>
      <c r="Z3087" s="21"/>
      <c r="AA3087" s="21"/>
      <c r="AB3087" s="21"/>
      <c r="AC3087" s="21">
        <v>3</v>
      </c>
      <c r="AD3087" s="21"/>
      <c r="AE3087" s="21"/>
      <c r="AF3087" s="21"/>
      <c r="AG3087" s="21"/>
      <c r="AH3087" s="21">
        <v>5</v>
      </c>
      <c r="AI3087" s="21"/>
      <c r="AJ3087" s="21"/>
      <c r="AK3087" s="21"/>
      <c r="AL3087" s="21"/>
      <c r="AM3087" s="21">
        <v>2</v>
      </c>
      <c r="AN3087" s="21">
        <v>3</v>
      </c>
      <c r="AO3087" s="21"/>
      <c r="AP3087" s="21">
        <v>3</v>
      </c>
      <c r="AQ3087" s="21"/>
      <c r="AR3087" s="21"/>
      <c r="AS3087" s="21"/>
      <c r="AT3087" s="12" t="str">
        <f>HYPERLINK("http://www.openstreetmap.org/?mlat=31.0791&amp;mlon=46.2373&amp;zoom=12#map=12/31.0791/46.2373","Maplink1")</f>
        <v>Maplink1</v>
      </c>
      <c r="AU3087" s="12" t="str">
        <f>HYPERLINK("https://www.google.iq/maps/search/+31.0791,46.2373/@31.0791,46.2373,14z?hl=en","Maplink2")</f>
        <v>Maplink2</v>
      </c>
      <c r="AV3087" s="12" t="str">
        <f>HYPERLINK("http://www.bing.com/maps/?lvl=14&amp;sty=h&amp;cp=31.0791~46.2373&amp;sp=point.31.0791_46.2373","Maplink3")</f>
        <v>Maplink3</v>
      </c>
    </row>
    <row r="3088" spans="1:48" ht="15" customHeight="1" x14ac:dyDescent="0.25">
      <c r="A3088" s="19">
        <v>10263</v>
      </c>
      <c r="B3088" s="20" t="s">
        <v>25</v>
      </c>
      <c r="C3088" s="20" t="s">
        <v>5240</v>
      </c>
      <c r="D3088" s="20" t="s">
        <v>5307</v>
      </c>
      <c r="E3088" s="20" t="s">
        <v>5308</v>
      </c>
      <c r="F3088" s="20">
        <v>31.0779751</v>
      </c>
      <c r="G3088" s="20">
        <v>46.243768629999998</v>
      </c>
      <c r="H3088" s="22">
        <v>17</v>
      </c>
      <c r="I3088" s="22">
        <v>102</v>
      </c>
      <c r="J3088" s="21">
        <v>5</v>
      </c>
      <c r="K3088" s="21"/>
      <c r="L3088" s="21"/>
      <c r="M3088" s="21"/>
      <c r="N3088" s="21"/>
      <c r="O3088" s="21"/>
      <c r="P3088" s="21"/>
      <c r="Q3088" s="21"/>
      <c r="R3088" s="21">
        <v>4</v>
      </c>
      <c r="S3088" s="21"/>
      <c r="T3088" s="21"/>
      <c r="U3088" s="21"/>
      <c r="V3088" s="21">
        <v>5</v>
      </c>
      <c r="W3088" s="21"/>
      <c r="X3088" s="21">
        <v>3</v>
      </c>
      <c r="Y3088" s="21"/>
      <c r="Z3088" s="21"/>
      <c r="AA3088" s="21"/>
      <c r="AB3088" s="21"/>
      <c r="AC3088" s="21">
        <v>4</v>
      </c>
      <c r="AD3088" s="21"/>
      <c r="AE3088" s="21"/>
      <c r="AF3088" s="21"/>
      <c r="AG3088" s="21">
        <v>1</v>
      </c>
      <c r="AH3088" s="21">
        <v>12</v>
      </c>
      <c r="AI3088" s="21"/>
      <c r="AJ3088" s="21"/>
      <c r="AK3088" s="21"/>
      <c r="AL3088" s="21"/>
      <c r="AM3088" s="21">
        <v>6</v>
      </c>
      <c r="AN3088" s="21"/>
      <c r="AO3088" s="21">
        <v>11</v>
      </c>
      <c r="AP3088" s="21"/>
      <c r="AQ3088" s="21"/>
      <c r="AR3088" s="21"/>
      <c r="AS3088" s="21"/>
      <c r="AT3088" s="12" t="str">
        <f>HYPERLINK("http://www.openstreetmap.org/?mlat=31.078&amp;mlon=46.2438&amp;zoom=12#map=12/31.078/46.2438","Maplink1")</f>
        <v>Maplink1</v>
      </c>
      <c r="AU3088" s="12" t="str">
        <f>HYPERLINK("https://www.google.iq/maps/search/+31.078,46.2438/@31.078,46.2438,14z?hl=en","Maplink2")</f>
        <v>Maplink2</v>
      </c>
      <c r="AV3088" s="12" t="str">
        <f>HYPERLINK("http://www.bing.com/maps/?lvl=14&amp;sty=h&amp;cp=31.078~46.2438&amp;sp=point.31.078_46.2438","Maplink3")</f>
        <v>Maplink3</v>
      </c>
    </row>
    <row r="3089" spans="1:48" ht="15" customHeight="1" x14ac:dyDescent="0.25">
      <c r="A3089" s="19">
        <v>24556</v>
      </c>
      <c r="B3089" s="20" t="s">
        <v>25</v>
      </c>
      <c r="C3089" s="20" t="s">
        <v>5240</v>
      </c>
      <c r="D3089" s="20" t="s">
        <v>5309</v>
      </c>
      <c r="E3089" s="20" t="s">
        <v>5310</v>
      </c>
      <c r="F3089" s="20">
        <v>31.007775970600001</v>
      </c>
      <c r="G3089" s="20">
        <v>46.253825434600003</v>
      </c>
      <c r="H3089" s="22">
        <v>1</v>
      </c>
      <c r="I3089" s="22">
        <v>6</v>
      </c>
      <c r="J3089" s="21"/>
      <c r="K3089" s="21"/>
      <c r="L3089" s="21"/>
      <c r="M3089" s="21"/>
      <c r="N3089" s="21"/>
      <c r="O3089" s="21"/>
      <c r="P3089" s="21"/>
      <c r="Q3089" s="21"/>
      <c r="R3089" s="21"/>
      <c r="S3089" s="21"/>
      <c r="T3089" s="21"/>
      <c r="U3089" s="21"/>
      <c r="V3089" s="21">
        <v>1</v>
      </c>
      <c r="W3089" s="21"/>
      <c r="X3089" s="21"/>
      <c r="Y3089" s="21"/>
      <c r="Z3089" s="21"/>
      <c r="AA3089" s="21"/>
      <c r="AB3089" s="21"/>
      <c r="AC3089" s="21">
        <v>1</v>
      </c>
      <c r="AD3089" s="21"/>
      <c r="AE3089" s="21"/>
      <c r="AF3089" s="21"/>
      <c r="AG3089" s="21"/>
      <c r="AH3089" s="21"/>
      <c r="AI3089" s="21"/>
      <c r="AJ3089" s="21"/>
      <c r="AK3089" s="21"/>
      <c r="AL3089" s="21"/>
      <c r="AM3089" s="21"/>
      <c r="AN3089" s="21">
        <v>1</v>
      </c>
      <c r="AO3089" s="21"/>
      <c r="AP3089" s="21"/>
      <c r="AQ3089" s="21"/>
      <c r="AR3089" s="21"/>
      <c r="AS3089" s="21"/>
      <c r="AT3089" s="12" t="str">
        <f>HYPERLINK("http://www.openstreetmap.org/?mlat=31.0078&amp;mlon=46.2538&amp;zoom=12#map=12/31.0078/46.2538","Maplink1")</f>
        <v>Maplink1</v>
      </c>
      <c r="AU3089" s="12" t="str">
        <f>HYPERLINK("https://www.google.iq/maps/search/+31.0078,46.2538/@31.0078,46.2538,14z?hl=en","Maplink2")</f>
        <v>Maplink2</v>
      </c>
      <c r="AV3089" s="12" t="str">
        <f>HYPERLINK("http://www.bing.com/maps/?lvl=14&amp;sty=h&amp;cp=31.0078~46.2538&amp;sp=point.31.0078_46.2538","Maplink3")</f>
        <v>Maplink3</v>
      </c>
    </row>
    <row r="3090" spans="1:48" ht="15" customHeight="1" x14ac:dyDescent="0.25">
      <c r="A3090" s="19">
        <v>25527</v>
      </c>
      <c r="B3090" s="20" t="s">
        <v>25</v>
      </c>
      <c r="C3090" s="20" t="s">
        <v>5240</v>
      </c>
      <c r="D3090" s="20" t="s">
        <v>5311</v>
      </c>
      <c r="E3090" s="20" t="s">
        <v>5312</v>
      </c>
      <c r="F3090" s="20">
        <v>31.053299110000001</v>
      </c>
      <c r="G3090" s="20">
        <v>46.26173206</v>
      </c>
      <c r="H3090" s="22">
        <v>3</v>
      </c>
      <c r="I3090" s="22">
        <v>18</v>
      </c>
      <c r="J3090" s="21"/>
      <c r="K3090" s="21"/>
      <c r="L3090" s="21"/>
      <c r="M3090" s="21"/>
      <c r="N3090" s="21"/>
      <c r="O3090" s="21"/>
      <c r="P3090" s="21"/>
      <c r="Q3090" s="21"/>
      <c r="R3090" s="21"/>
      <c r="S3090" s="21"/>
      <c r="T3090" s="21"/>
      <c r="U3090" s="21"/>
      <c r="V3090" s="21">
        <v>3</v>
      </c>
      <c r="W3090" s="21"/>
      <c r="X3090" s="21"/>
      <c r="Y3090" s="21"/>
      <c r="Z3090" s="21"/>
      <c r="AA3090" s="21"/>
      <c r="AB3090" s="21"/>
      <c r="AC3090" s="21">
        <v>3</v>
      </c>
      <c r="AD3090" s="21"/>
      <c r="AE3090" s="21"/>
      <c r="AF3090" s="21"/>
      <c r="AG3090" s="21"/>
      <c r="AH3090" s="21"/>
      <c r="AI3090" s="21"/>
      <c r="AJ3090" s="21"/>
      <c r="AK3090" s="21"/>
      <c r="AL3090" s="21"/>
      <c r="AM3090" s="21"/>
      <c r="AN3090" s="21">
        <v>3</v>
      </c>
      <c r="AO3090" s="21"/>
      <c r="AP3090" s="21"/>
      <c r="AQ3090" s="21"/>
      <c r="AR3090" s="21"/>
      <c r="AS3090" s="21"/>
      <c r="AT3090" s="12" t="str">
        <f>HYPERLINK("http://www.openstreetmap.org/?mlat=31.0533&amp;mlon=46.2617&amp;zoom=12#map=12/31.0533/46.2617","Maplink1")</f>
        <v>Maplink1</v>
      </c>
      <c r="AU3090" s="12" t="str">
        <f>HYPERLINK("https://www.google.iq/maps/search/+31.0533,46.2617/@31.0533,46.2617,14z?hl=en","Maplink2")</f>
        <v>Maplink2</v>
      </c>
      <c r="AV3090" s="12" t="str">
        <f>HYPERLINK("http://www.bing.com/maps/?lvl=14&amp;sty=h&amp;cp=31.0533~46.2617&amp;sp=point.31.0533_46.2617","Maplink3")</f>
        <v>Maplink3</v>
      </c>
    </row>
    <row r="3091" spans="1:48" ht="15" customHeight="1" x14ac:dyDescent="0.25">
      <c r="A3091" s="19">
        <v>22344</v>
      </c>
      <c r="B3091" s="20" t="s">
        <v>25</v>
      </c>
      <c r="C3091" s="20" t="s">
        <v>5240</v>
      </c>
      <c r="D3091" s="20" t="s">
        <v>5313</v>
      </c>
      <c r="E3091" s="20" t="s">
        <v>5314</v>
      </c>
      <c r="F3091" s="20">
        <v>31.0517854</v>
      </c>
      <c r="G3091" s="20">
        <v>46.25740364</v>
      </c>
      <c r="H3091" s="22">
        <v>3</v>
      </c>
      <c r="I3091" s="22">
        <v>18</v>
      </c>
      <c r="J3091" s="21"/>
      <c r="K3091" s="21"/>
      <c r="L3091" s="21"/>
      <c r="M3091" s="21"/>
      <c r="N3091" s="21"/>
      <c r="O3091" s="21"/>
      <c r="P3091" s="21"/>
      <c r="Q3091" s="21"/>
      <c r="R3091" s="21"/>
      <c r="S3091" s="21"/>
      <c r="T3091" s="21"/>
      <c r="U3091" s="21"/>
      <c r="V3091" s="21">
        <v>3</v>
      </c>
      <c r="W3091" s="21"/>
      <c r="X3091" s="21"/>
      <c r="Y3091" s="21"/>
      <c r="Z3091" s="21"/>
      <c r="AA3091" s="21"/>
      <c r="AB3091" s="21"/>
      <c r="AC3091" s="21">
        <v>3</v>
      </c>
      <c r="AD3091" s="21"/>
      <c r="AE3091" s="21"/>
      <c r="AF3091" s="21"/>
      <c r="AG3091" s="21"/>
      <c r="AH3091" s="21"/>
      <c r="AI3091" s="21"/>
      <c r="AJ3091" s="21"/>
      <c r="AK3091" s="21"/>
      <c r="AL3091" s="21">
        <v>3</v>
      </c>
      <c r="AM3091" s="21"/>
      <c r="AN3091" s="21"/>
      <c r="AO3091" s="21"/>
      <c r="AP3091" s="21"/>
      <c r="AQ3091" s="21"/>
      <c r="AR3091" s="21"/>
      <c r="AS3091" s="21"/>
      <c r="AT3091" s="12" t="str">
        <f>HYPERLINK("http://www.openstreetmap.org/?mlat=31.0518&amp;mlon=46.2574&amp;zoom=12#map=12/31.0518/46.2574","Maplink1")</f>
        <v>Maplink1</v>
      </c>
      <c r="AU3091" s="12" t="str">
        <f>HYPERLINK("https://www.google.iq/maps/search/+31.0518,46.2574/@31.0518,46.2574,14z?hl=en","Maplink2")</f>
        <v>Maplink2</v>
      </c>
      <c r="AV3091" s="12" t="str">
        <f>HYPERLINK("http://www.bing.com/maps/?lvl=14&amp;sty=h&amp;cp=31.0518~46.2574&amp;sp=point.31.0518_46.2574","Maplink3")</f>
        <v>Maplink3</v>
      </c>
    </row>
    <row r="3092" spans="1:48" ht="15" customHeight="1" x14ac:dyDescent="0.25">
      <c r="A3092" s="19">
        <v>10269</v>
      </c>
      <c r="B3092" s="20" t="s">
        <v>25</v>
      </c>
      <c r="C3092" s="20" t="s">
        <v>5240</v>
      </c>
      <c r="D3092" s="20" t="s">
        <v>5315</v>
      </c>
      <c r="E3092" s="20" t="s">
        <v>5316</v>
      </c>
      <c r="F3092" s="20">
        <v>31.0410848</v>
      </c>
      <c r="G3092" s="20">
        <v>46.306355439999997</v>
      </c>
      <c r="H3092" s="22">
        <v>9</v>
      </c>
      <c r="I3092" s="22">
        <v>54</v>
      </c>
      <c r="J3092" s="21"/>
      <c r="K3092" s="21"/>
      <c r="L3092" s="21"/>
      <c r="M3092" s="21"/>
      <c r="N3092" s="21"/>
      <c r="O3092" s="21"/>
      <c r="P3092" s="21"/>
      <c r="Q3092" s="21"/>
      <c r="R3092" s="21"/>
      <c r="S3092" s="21"/>
      <c r="T3092" s="21"/>
      <c r="U3092" s="21"/>
      <c r="V3092" s="21">
        <v>9</v>
      </c>
      <c r="W3092" s="21"/>
      <c r="X3092" s="21"/>
      <c r="Y3092" s="21"/>
      <c r="Z3092" s="21"/>
      <c r="AA3092" s="21"/>
      <c r="AB3092" s="21"/>
      <c r="AC3092" s="21"/>
      <c r="AD3092" s="21"/>
      <c r="AE3092" s="21"/>
      <c r="AF3092" s="21"/>
      <c r="AG3092" s="21"/>
      <c r="AH3092" s="21">
        <v>9</v>
      </c>
      <c r="AI3092" s="21"/>
      <c r="AJ3092" s="21"/>
      <c r="AK3092" s="21"/>
      <c r="AL3092" s="21"/>
      <c r="AM3092" s="21"/>
      <c r="AN3092" s="21">
        <v>9</v>
      </c>
      <c r="AO3092" s="21"/>
      <c r="AP3092" s="21"/>
      <c r="AQ3092" s="21"/>
      <c r="AR3092" s="21"/>
      <c r="AS3092" s="21"/>
      <c r="AT3092" s="12" t="str">
        <f>HYPERLINK("http://www.openstreetmap.org/?mlat=31.0411&amp;mlon=46.3064&amp;zoom=12#map=12/31.0411/46.3064","Maplink1")</f>
        <v>Maplink1</v>
      </c>
      <c r="AU3092" s="12" t="str">
        <f>HYPERLINK("https://www.google.iq/maps/search/+31.0411,46.3064/@31.0411,46.3064,14z?hl=en","Maplink2")</f>
        <v>Maplink2</v>
      </c>
      <c r="AV3092" s="12" t="str">
        <f>HYPERLINK("http://www.bing.com/maps/?lvl=14&amp;sty=h&amp;cp=31.0411~46.3064&amp;sp=point.31.0411_46.3064","Maplink3")</f>
        <v>Maplink3</v>
      </c>
    </row>
    <row r="3093" spans="1:48" ht="15" customHeight="1" x14ac:dyDescent="0.25">
      <c r="A3093" s="19">
        <v>25760</v>
      </c>
      <c r="B3093" s="20" t="s">
        <v>25</v>
      </c>
      <c r="C3093" s="20" t="s">
        <v>5240</v>
      </c>
      <c r="D3093" s="20" t="s">
        <v>5317</v>
      </c>
      <c r="E3093" s="20" t="s">
        <v>5318</v>
      </c>
      <c r="F3093" s="20">
        <v>30.982368536900001</v>
      </c>
      <c r="G3093" s="20">
        <v>46.3079732112</v>
      </c>
      <c r="H3093" s="22">
        <v>4</v>
      </c>
      <c r="I3093" s="22">
        <v>24</v>
      </c>
      <c r="J3093" s="21"/>
      <c r="K3093" s="21"/>
      <c r="L3093" s="21"/>
      <c r="M3093" s="21"/>
      <c r="N3093" s="21"/>
      <c r="O3093" s="21"/>
      <c r="P3093" s="21"/>
      <c r="Q3093" s="21"/>
      <c r="R3093" s="21"/>
      <c r="S3093" s="21"/>
      <c r="T3093" s="21"/>
      <c r="U3093" s="21"/>
      <c r="V3093" s="21">
        <v>4</v>
      </c>
      <c r="W3093" s="21"/>
      <c r="X3093" s="21"/>
      <c r="Y3093" s="21"/>
      <c r="Z3093" s="21"/>
      <c r="AA3093" s="21"/>
      <c r="AB3093" s="21"/>
      <c r="AC3093" s="21"/>
      <c r="AD3093" s="21"/>
      <c r="AE3093" s="21"/>
      <c r="AF3093" s="21"/>
      <c r="AG3093" s="21"/>
      <c r="AH3093" s="21">
        <v>4</v>
      </c>
      <c r="AI3093" s="21"/>
      <c r="AJ3093" s="21"/>
      <c r="AK3093" s="21"/>
      <c r="AL3093" s="21"/>
      <c r="AM3093" s="21">
        <v>4</v>
      </c>
      <c r="AN3093" s="21"/>
      <c r="AO3093" s="21"/>
      <c r="AP3093" s="21"/>
      <c r="AQ3093" s="21"/>
      <c r="AR3093" s="21"/>
      <c r="AS3093" s="21"/>
      <c r="AT3093" s="12" t="str">
        <f>HYPERLINK("http://www.openstreetmap.org/?mlat=30.9824&amp;mlon=46.308&amp;zoom=12#map=12/30.9824/46.308","Maplink1")</f>
        <v>Maplink1</v>
      </c>
      <c r="AU3093" s="12" t="str">
        <f>HYPERLINK("https://www.google.iq/maps/search/+30.9824,46.308/@30.9824,46.308,14z?hl=en","Maplink2")</f>
        <v>Maplink2</v>
      </c>
      <c r="AV3093" s="12" t="str">
        <f>HYPERLINK("http://www.bing.com/maps/?lvl=14&amp;sty=h&amp;cp=30.9824~46.308&amp;sp=point.30.9824_46.308","Maplink3")</f>
        <v>Maplink3</v>
      </c>
    </row>
    <row r="3094" spans="1:48" ht="15" customHeight="1" x14ac:dyDescent="0.25">
      <c r="A3094" s="19">
        <v>23685</v>
      </c>
      <c r="B3094" s="20" t="s">
        <v>25</v>
      </c>
      <c r="C3094" s="20" t="s">
        <v>5240</v>
      </c>
      <c r="D3094" s="20" t="s">
        <v>5319</v>
      </c>
      <c r="E3094" s="20" t="s">
        <v>5320</v>
      </c>
      <c r="F3094" s="20">
        <v>31.0913033</v>
      </c>
      <c r="G3094" s="20">
        <v>46.239693799999998</v>
      </c>
      <c r="H3094" s="22">
        <v>6</v>
      </c>
      <c r="I3094" s="22">
        <v>36</v>
      </c>
      <c r="J3094" s="21">
        <v>3</v>
      </c>
      <c r="K3094" s="21"/>
      <c r="L3094" s="21"/>
      <c r="M3094" s="21"/>
      <c r="N3094" s="21"/>
      <c r="O3094" s="21"/>
      <c r="P3094" s="21"/>
      <c r="Q3094" s="21"/>
      <c r="R3094" s="21">
        <v>3</v>
      </c>
      <c r="S3094" s="21"/>
      <c r="T3094" s="21"/>
      <c r="U3094" s="21"/>
      <c r="V3094" s="21"/>
      <c r="W3094" s="21"/>
      <c r="X3094" s="21"/>
      <c r="Y3094" s="21"/>
      <c r="Z3094" s="21"/>
      <c r="AA3094" s="21"/>
      <c r="AB3094" s="21"/>
      <c r="AC3094" s="21">
        <v>1</v>
      </c>
      <c r="AD3094" s="21"/>
      <c r="AE3094" s="21"/>
      <c r="AF3094" s="21"/>
      <c r="AG3094" s="21"/>
      <c r="AH3094" s="21">
        <v>5</v>
      </c>
      <c r="AI3094" s="21"/>
      <c r="AJ3094" s="21"/>
      <c r="AK3094" s="21"/>
      <c r="AL3094" s="21"/>
      <c r="AM3094" s="21"/>
      <c r="AN3094" s="21"/>
      <c r="AO3094" s="21">
        <v>6</v>
      </c>
      <c r="AP3094" s="21"/>
      <c r="AQ3094" s="21"/>
      <c r="AR3094" s="21"/>
      <c r="AS3094" s="21"/>
      <c r="AT3094" s="12" t="str">
        <f>HYPERLINK("http://www.openstreetmap.org/?mlat=31.0913&amp;mlon=46.2397&amp;zoom=12#map=12/31.0913/46.2397","Maplink1")</f>
        <v>Maplink1</v>
      </c>
      <c r="AU3094" s="12" t="str">
        <f>HYPERLINK("https://www.google.iq/maps/search/+31.0913,46.2397/@31.0913,46.2397,14z?hl=en","Maplink2")</f>
        <v>Maplink2</v>
      </c>
      <c r="AV3094" s="12" t="str">
        <f>HYPERLINK("http://www.bing.com/maps/?lvl=14&amp;sty=h&amp;cp=31.0913~46.2397&amp;sp=point.31.0913_46.2397","Maplink3")</f>
        <v>Maplink3</v>
      </c>
    </row>
    <row r="3095" spans="1:48" ht="15" customHeight="1" x14ac:dyDescent="0.25">
      <c r="A3095" s="19">
        <v>9113</v>
      </c>
      <c r="B3095" s="20" t="s">
        <v>25</v>
      </c>
      <c r="C3095" s="20" t="s">
        <v>5240</v>
      </c>
      <c r="D3095" s="20" t="s">
        <v>5321</v>
      </c>
      <c r="E3095" s="20" t="s">
        <v>5322</v>
      </c>
      <c r="F3095" s="20">
        <v>31.05814706</v>
      </c>
      <c r="G3095" s="20">
        <v>46.243330180000001</v>
      </c>
      <c r="H3095" s="22">
        <v>4</v>
      </c>
      <c r="I3095" s="22">
        <v>24</v>
      </c>
      <c r="J3095" s="21">
        <v>1</v>
      </c>
      <c r="K3095" s="21"/>
      <c r="L3095" s="21"/>
      <c r="M3095" s="21"/>
      <c r="N3095" s="21"/>
      <c r="O3095" s="21"/>
      <c r="P3095" s="21"/>
      <c r="Q3095" s="21"/>
      <c r="R3095" s="21">
        <v>3</v>
      </c>
      <c r="S3095" s="21"/>
      <c r="T3095" s="21"/>
      <c r="U3095" s="21"/>
      <c r="V3095" s="21"/>
      <c r="W3095" s="21"/>
      <c r="X3095" s="21"/>
      <c r="Y3095" s="21"/>
      <c r="Z3095" s="21"/>
      <c r="AA3095" s="21"/>
      <c r="AB3095" s="21"/>
      <c r="AC3095" s="21">
        <v>2</v>
      </c>
      <c r="AD3095" s="21"/>
      <c r="AE3095" s="21"/>
      <c r="AF3095" s="21"/>
      <c r="AG3095" s="21"/>
      <c r="AH3095" s="21">
        <v>2</v>
      </c>
      <c r="AI3095" s="21"/>
      <c r="AJ3095" s="21"/>
      <c r="AK3095" s="21"/>
      <c r="AL3095" s="21"/>
      <c r="AM3095" s="21"/>
      <c r="AN3095" s="21">
        <v>4</v>
      </c>
      <c r="AO3095" s="21"/>
      <c r="AP3095" s="21"/>
      <c r="AQ3095" s="21"/>
      <c r="AR3095" s="21"/>
      <c r="AS3095" s="21"/>
      <c r="AT3095" s="12" t="str">
        <f>HYPERLINK("http://www.openstreetmap.org/?mlat=31.0581&amp;mlon=46.2433&amp;zoom=12#map=12/31.0581/46.2433","Maplink1")</f>
        <v>Maplink1</v>
      </c>
      <c r="AU3095" s="12" t="str">
        <f>HYPERLINK("https://www.google.iq/maps/search/+31.0581,46.2433/@31.0581,46.2433,14z?hl=en","Maplink2")</f>
        <v>Maplink2</v>
      </c>
      <c r="AV3095" s="12" t="str">
        <f>HYPERLINK("http://www.bing.com/maps/?lvl=14&amp;sty=h&amp;cp=31.0581~46.2433&amp;sp=point.31.0581_46.2433","Maplink3")</f>
        <v>Maplink3</v>
      </c>
    </row>
    <row r="3096" spans="1:48" ht="15" customHeight="1" x14ac:dyDescent="0.25">
      <c r="A3096" s="19">
        <v>24721</v>
      </c>
      <c r="B3096" s="20" t="s">
        <v>25</v>
      </c>
      <c r="C3096" s="20" t="s">
        <v>5323</v>
      </c>
      <c r="D3096" s="20" t="s">
        <v>5324</v>
      </c>
      <c r="E3096" s="20" t="s">
        <v>5325</v>
      </c>
      <c r="F3096" s="20">
        <v>30.957823130000001</v>
      </c>
      <c r="G3096" s="20">
        <v>46.357329360000001</v>
      </c>
      <c r="H3096" s="22">
        <v>13</v>
      </c>
      <c r="I3096" s="22">
        <v>78</v>
      </c>
      <c r="J3096" s="21"/>
      <c r="K3096" s="21"/>
      <c r="L3096" s="21"/>
      <c r="M3096" s="21"/>
      <c r="N3096" s="21"/>
      <c r="O3096" s="21"/>
      <c r="P3096" s="21"/>
      <c r="Q3096" s="21"/>
      <c r="R3096" s="21">
        <v>6</v>
      </c>
      <c r="S3096" s="21"/>
      <c r="T3096" s="21"/>
      <c r="U3096" s="21"/>
      <c r="V3096" s="21">
        <v>7</v>
      </c>
      <c r="W3096" s="21"/>
      <c r="X3096" s="21"/>
      <c r="Y3096" s="21"/>
      <c r="Z3096" s="21"/>
      <c r="AA3096" s="21"/>
      <c r="AB3096" s="21"/>
      <c r="AC3096" s="21">
        <v>2</v>
      </c>
      <c r="AD3096" s="21"/>
      <c r="AE3096" s="21"/>
      <c r="AF3096" s="21"/>
      <c r="AG3096" s="21"/>
      <c r="AH3096" s="21">
        <v>11</v>
      </c>
      <c r="AI3096" s="21"/>
      <c r="AJ3096" s="21"/>
      <c r="AK3096" s="21"/>
      <c r="AL3096" s="21"/>
      <c r="AM3096" s="21">
        <v>13</v>
      </c>
      <c r="AN3096" s="21"/>
      <c r="AO3096" s="21"/>
      <c r="AP3096" s="21"/>
      <c r="AQ3096" s="21"/>
      <c r="AR3096" s="21"/>
      <c r="AS3096" s="21"/>
      <c r="AT3096" s="12" t="str">
        <f>HYPERLINK("http://www.openstreetmap.org/?mlat=30.9578&amp;mlon=46.3573&amp;zoom=12#map=12/30.9578/46.3573","Maplink1")</f>
        <v>Maplink1</v>
      </c>
      <c r="AU3096" s="12" t="str">
        <f>HYPERLINK("https://www.google.iq/maps/search/+30.9578,46.3573/@30.9578,46.3573,14z?hl=en","Maplink2")</f>
        <v>Maplink2</v>
      </c>
      <c r="AV3096" s="12" t="str">
        <f>HYPERLINK("http://www.bing.com/maps/?lvl=14&amp;sty=h&amp;cp=30.9578~46.3573&amp;sp=point.30.9578_46.3573","Maplink3")</f>
        <v>Maplink3</v>
      </c>
    </row>
    <row r="3097" spans="1:48" ht="15" customHeight="1" x14ac:dyDescent="0.25">
      <c r="A3097" s="19">
        <v>9206</v>
      </c>
      <c r="B3097" s="20" t="s">
        <v>25</v>
      </c>
      <c r="C3097" s="20" t="s">
        <v>5323</v>
      </c>
      <c r="D3097" s="20" t="s">
        <v>5326</v>
      </c>
      <c r="E3097" s="20" t="s">
        <v>5327</v>
      </c>
      <c r="F3097" s="20">
        <v>30.899850529999998</v>
      </c>
      <c r="G3097" s="20">
        <v>46.46172747</v>
      </c>
      <c r="H3097" s="22">
        <v>4</v>
      </c>
      <c r="I3097" s="22">
        <v>24</v>
      </c>
      <c r="J3097" s="21"/>
      <c r="K3097" s="21"/>
      <c r="L3097" s="21"/>
      <c r="M3097" s="21"/>
      <c r="N3097" s="21"/>
      <c r="O3097" s="21"/>
      <c r="P3097" s="21"/>
      <c r="Q3097" s="21"/>
      <c r="R3097" s="21">
        <v>2</v>
      </c>
      <c r="S3097" s="21"/>
      <c r="T3097" s="21"/>
      <c r="U3097" s="21"/>
      <c r="V3097" s="21">
        <v>2</v>
      </c>
      <c r="W3097" s="21"/>
      <c r="X3097" s="21"/>
      <c r="Y3097" s="21"/>
      <c r="Z3097" s="21"/>
      <c r="AA3097" s="21"/>
      <c r="AB3097" s="21"/>
      <c r="AC3097" s="21"/>
      <c r="AD3097" s="21"/>
      <c r="AE3097" s="21"/>
      <c r="AF3097" s="21"/>
      <c r="AG3097" s="21"/>
      <c r="AH3097" s="21">
        <v>4</v>
      </c>
      <c r="AI3097" s="21"/>
      <c r="AJ3097" s="21"/>
      <c r="AK3097" s="21"/>
      <c r="AL3097" s="21"/>
      <c r="AM3097" s="21"/>
      <c r="AN3097" s="21"/>
      <c r="AO3097" s="21">
        <v>4</v>
      </c>
      <c r="AP3097" s="21"/>
      <c r="AQ3097" s="21"/>
      <c r="AR3097" s="21"/>
      <c r="AS3097" s="21"/>
      <c r="AT3097" s="12" t="str">
        <f>HYPERLINK("http://www.openstreetmap.org/?mlat=30.8999&amp;mlon=46.4617&amp;zoom=12#map=12/30.8999/46.4617","Maplink1")</f>
        <v>Maplink1</v>
      </c>
      <c r="AU3097" s="12" t="str">
        <f>HYPERLINK("https://www.google.iq/maps/search/+30.8999,46.4617/@30.8999,46.4617,14z?hl=en","Maplink2")</f>
        <v>Maplink2</v>
      </c>
      <c r="AV3097" s="12" t="str">
        <f>HYPERLINK("http://www.bing.com/maps/?lvl=14&amp;sty=h&amp;cp=30.8999~46.4617&amp;sp=point.30.8999_46.4617","Maplink3")</f>
        <v>Maplink3</v>
      </c>
    </row>
    <row r="3098" spans="1:48" ht="15" customHeight="1" x14ac:dyDescent="0.25">
      <c r="A3098" s="19">
        <v>25436</v>
      </c>
      <c r="B3098" s="20" t="s">
        <v>25</v>
      </c>
      <c r="C3098" s="20" t="s">
        <v>5323</v>
      </c>
      <c r="D3098" s="20" t="s">
        <v>5328</v>
      </c>
      <c r="E3098" s="20" t="s">
        <v>5329</v>
      </c>
      <c r="F3098" s="20">
        <v>30.900847110000001</v>
      </c>
      <c r="G3098" s="20">
        <v>46.44937711</v>
      </c>
      <c r="H3098" s="22">
        <v>10</v>
      </c>
      <c r="I3098" s="22">
        <v>60</v>
      </c>
      <c r="J3098" s="21"/>
      <c r="K3098" s="21"/>
      <c r="L3098" s="21"/>
      <c r="M3098" s="21"/>
      <c r="N3098" s="21"/>
      <c r="O3098" s="21"/>
      <c r="P3098" s="21"/>
      <c r="Q3098" s="21"/>
      <c r="R3098" s="21">
        <v>2</v>
      </c>
      <c r="S3098" s="21"/>
      <c r="T3098" s="21"/>
      <c r="U3098" s="21"/>
      <c r="V3098" s="21">
        <v>6</v>
      </c>
      <c r="W3098" s="21"/>
      <c r="X3098" s="21">
        <v>2</v>
      </c>
      <c r="Y3098" s="21"/>
      <c r="Z3098" s="21"/>
      <c r="AA3098" s="21"/>
      <c r="AB3098" s="21"/>
      <c r="AC3098" s="21"/>
      <c r="AD3098" s="21"/>
      <c r="AE3098" s="21"/>
      <c r="AF3098" s="21"/>
      <c r="AG3098" s="21"/>
      <c r="AH3098" s="21">
        <v>10</v>
      </c>
      <c r="AI3098" s="21"/>
      <c r="AJ3098" s="21"/>
      <c r="AK3098" s="21"/>
      <c r="AL3098" s="21"/>
      <c r="AM3098" s="21">
        <v>4</v>
      </c>
      <c r="AN3098" s="21"/>
      <c r="AO3098" s="21">
        <v>6</v>
      </c>
      <c r="AP3098" s="21"/>
      <c r="AQ3098" s="21"/>
      <c r="AR3098" s="21"/>
      <c r="AS3098" s="21"/>
      <c r="AT3098" s="12" t="str">
        <f>HYPERLINK("http://www.openstreetmap.org/?mlat=30.9008&amp;mlon=46.4494&amp;zoom=12#map=12/30.9008/46.4494","Maplink1")</f>
        <v>Maplink1</v>
      </c>
      <c r="AU3098" s="12" t="str">
        <f>HYPERLINK("https://www.google.iq/maps/search/+30.9008,46.4494/@30.9008,46.4494,14z?hl=en","Maplink2")</f>
        <v>Maplink2</v>
      </c>
      <c r="AV3098" s="12" t="str">
        <f>HYPERLINK("http://www.bing.com/maps/?lvl=14&amp;sty=h&amp;cp=30.9008~46.4494&amp;sp=point.30.9008_46.4494","Maplink3")</f>
        <v>Maplink3</v>
      </c>
    </row>
    <row r="3099" spans="1:48" ht="15" customHeight="1" x14ac:dyDescent="0.25">
      <c r="A3099" s="19">
        <v>25437</v>
      </c>
      <c r="B3099" s="20" t="s">
        <v>25</v>
      </c>
      <c r="C3099" s="20" t="s">
        <v>5323</v>
      </c>
      <c r="D3099" s="20" t="s">
        <v>5261</v>
      </c>
      <c r="E3099" s="20" t="s">
        <v>5330</v>
      </c>
      <c r="F3099" s="20">
        <v>30.8922481054</v>
      </c>
      <c r="G3099" s="20">
        <v>46.468277605200001</v>
      </c>
      <c r="H3099" s="22">
        <v>5</v>
      </c>
      <c r="I3099" s="22">
        <v>30</v>
      </c>
      <c r="J3099" s="21">
        <v>2</v>
      </c>
      <c r="K3099" s="21"/>
      <c r="L3099" s="21"/>
      <c r="M3099" s="21"/>
      <c r="N3099" s="21"/>
      <c r="O3099" s="21"/>
      <c r="P3099" s="21"/>
      <c r="Q3099" s="21"/>
      <c r="R3099" s="21">
        <v>3</v>
      </c>
      <c r="S3099" s="21"/>
      <c r="T3099" s="21"/>
      <c r="U3099" s="21"/>
      <c r="V3099" s="21"/>
      <c r="W3099" s="21"/>
      <c r="X3099" s="21"/>
      <c r="Y3099" s="21"/>
      <c r="Z3099" s="21"/>
      <c r="AA3099" s="21"/>
      <c r="AB3099" s="21"/>
      <c r="AC3099" s="21"/>
      <c r="AD3099" s="21"/>
      <c r="AE3099" s="21"/>
      <c r="AF3099" s="21"/>
      <c r="AG3099" s="21"/>
      <c r="AH3099" s="21">
        <v>5</v>
      </c>
      <c r="AI3099" s="21"/>
      <c r="AJ3099" s="21"/>
      <c r="AK3099" s="21"/>
      <c r="AL3099" s="21"/>
      <c r="AM3099" s="21"/>
      <c r="AN3099" s="21">
        <v>4</v>
      </c>
      <c r="AO3099" s="21"/>
      <c r="AP3099" s="21"/>
      <c r="AQ3099" s="21"/>
      <c r="AR3099" s="21">
        <v>1</v>
      </c>
      <c r="AS3099" s="21"/>
      <c r="AT3099" s="12" t="str">
        <f>HYPERLINK("http://www.openstreetmap.org/?mlat=30.8922&amp;mlon=46.4683&amp;zoom=12#map=12/30.8922/46.4683","Maplink1")</f>
        <v>Maplink1</v>
      </c>
      <c r="AU3099" s="12" t="str">
        <f>HYPERLINK("https://www.google.iq/maps/search/+30.8922,46.4683/@30.8922,46.4683,14z?hl=en","Maplink2")</f>
        <v>Maplink2</v>
      </c>
      <c r="AV3099" s="12" t="str">
        <f>HYPERLINK("http://www.bing.com/maps/?lvl=14&amp;sty=h&amp;cp=30.8922~46.4683&amp;sp=point.30.8922_46.4683","Maplink3")</f>
        <v>Maplink3</v>
      </c>
    </row>
    <row r="3100" spans="1:48" ht="15" customHeight="1" x14ac:dyDescent="0.25">
      <c r="A3100" s="19">
        <v>9328</v>
      </c>
      <c r="B3100" s="20" t="s">
        <v>25</v>
      </c>
      <c r="C3100" s="20" t="s">
        <v>5323</v>
      </c>
      <c r="D3100" s="20" t="s">
        <v>5331</v>
      </c>
      <c r="E3100" s="20" t="s">
        <v>112</v>
      </c>
      <c r="F3100" s="20">
        <v>30.899100256499999</v>
      </c>
      <c r="G3100" s="20">
        <v>46.448885152199999</v>
      </c>
      <c r="H3100" s="22">
        <v>16</v>
      </c>
      <c r="I3100" s="22">
        <v>96</v>
      </c>
      <c r="J3100" s="21"/>
      <c r="K3100" s="21"/>
      <c r="L3100" s="21"/>
      <c r="M3100" s="21"/>
      <c r="N3100" s="21"/>
      <c r="O3100" s="21"/>
      <c r="P3100" s="21"/>
      <c r="Q3100" s="21"/>
      <c r="R3100" s="21"/>
      <c r="S3100" s="21"/>
      <c r="T3100" s="21"/>
      <c r="U3100" s="21"/>
      <c r="V3100" s="21">
        <v>16</v>
      </c>
      <c r="W3100" s="21"/>
      <c r="X3100" s="21"/>
      <c r="Y3100" s="21"/>
      <c r="Z3100" s="21"/>
      <c r="AA3100" s="21"/>
      <c r="AB3100" s="21"/>
      <c r="AC3100" s="21">
        <v>5</v>
      </c>
      <c r="AD3100" s="21"/>
      <c r="AE3100" s="21"/>
      <c r="AF3100" s="21"/>
      <c r="AG3100" s="21"/>
      <c r="AH3100" s="21">
        <v>11</v>
      </c>
      <c r="AI3100" s="21"/>
      <c r="AJ3100" s="21"/>
      <c r="AK3100" s="21"/>
      <c r="AL3100" s="21"/>
      <c r="AM3100" s="21">
        <v>11</v>
      </c>
      <c r="AN3100" s="21"/>
      <c r="AO3100" s="21"/>
      <c r="AP3100" s="21"/>
      <c r="AQ3100" s="21"/>
      <c r="AR3100" s="21">
        <v>5</v>
      </c>
      <c r="AS3100" s="21"/>
      <c r="AT3100" s="12" t="str">
        <f>HYPERLINK("http://www.openstreetmap.org/?mlat=30.8991&amp;mlon=46.4489&amp;zoom=12#map=12/30.8991/46.4489","Maplink1")</f>
        <v>Maplink1</v>
      </c>
      <c r="AU3100" s="12" t="str">
        <f>HYPERLINK("https://www.google.iq/maps/search/+30.8991,46.4489/@30.8991,46.4489,14z?hl=en","Maplink2")</f>
        <v>Maplink2</v>
      </c>
      <c r="AV3100" s="12" t="str">
        <f>HYPERLINK("http://www.bing.com/maps/?lvl=14&amp;sty=h&amp;cp=30.8991~46.4489&amp;sp=point.30.8991_46.4489","Maplink3")</f>
        <v>Maplink3</v>
      </c>
    </row>
    <row r="3101" spans="1:48" ht="15" customHeight="1" x14ac:dyDescent="0.25">
      <c r="A3101" s="19">
        <v>9332</v>
      </c>
      <c r="B3101" s="20" t="s">
        <v>25</v>
      </c>
      <c r="C3101" s="20" t="s">
        <v>5323</v>
      </c>
      <c r="D3101" s="20" t="s">
        <v>167</v>
      </c>
      <c r="E3101" s="20" t="s">
        <v>121</v>
      </c>
      <c r="F3101" s="20">
        <v>30.8798546071</v>
      </c>
      <c r="G3101" s="20">
        <v>46.459704111699999</v>
      </c>
      <c r="H3101" s="22">
        <v>9</v>
      </c>
      <c r="I3101" s="22">
        <v>54</v>
      </c>
      <c r="J3101" s="21"/>
      <c r="K3101" s="21"/>
      <c r="L3101" s="21"/>
      <c r="M3101" s="21"/>
      <c r="N3101" s="21"/>
      <c r="O3101" s="21">
        <v>2</v>
      </c>
      <c r="P3101" s="21"/>
      <c r="Q3101" s="21"/>
      <c r="R3101" s="21"/>
      <c r="S3101" s="21"/>
      <c r="T3101" s="21"/>
      <c r="U3101" s="21"/>
      <c r="V3101" s="21">
        <v>7</v>
      </c>
      <c r="W3101" s="21"/>
      <c r="X3101" s="21"/>
      <c r="Y3101" s="21"/>
      <c r="Z3101" s="21"/>
      <c r="AA3101" s="21"/>
      <c r="AB3101" s="21"/>
      <c r="AC3101" s="21"/>
      <c r="AD3101" s="21"/>
      <c r="AE3101" s="21"/>
      <c r="AF3101" s="21"/>
      <c r="AG3101" s="21"/>
      <c r="AH3101" s="21">
        <v>9</v>
      </c>
      <c r="AI3101" s="21"/>
      <c r="AJ3101" s="21"/>
      <c r="AK3101" s="21"/>
      <c r="AL3101" s="21"/>
      <c r="AM3101" s="21">
        <v>4</v>
      </c>
      <c r="AN3101" s="21">
        <v>5</v>
      </c>
      <c r="AO3101" s="21"/>
      <c r="AP3101" s="21"/>
      <c r="AQ3101" s="21"/>
      <c r="AR3101" s="21"/>
      <c r="AS3101" s="21"/>
      <c r="AT3101" s="12" t="str">
        <f>HYPERLINK("http://www.openstreetmap.org/?mlat=30.8799&amp;mlon=46.4597&amp;zoom=12#map=12/30.8799/46.4597","Maplink1")</f>
        <v>Maplink1</v>
      </c>
      <c r="AU3101" s="12" t="str">
        <f>HYPERLINK("https://www.google.iq/maps/search/+30.8799,46.4597/@30.8799,46.4597,14z?hl=en","Maplink2")</f>
        <v>Maplink2</v>
      </c>
      <c r="AV3101" s="12" t="str">
        <f>HYPERLINK("http://www.bing.com/maps/?lvl=14&amp;sty=h&amp;cp=30.8799~46.4597&amp;sp=point.30.8799_46.4597","Maplink3")</f>
        <v>Maplink3</v>
      </c>
    </row>
    <row r="3102" spans="1:48" ht="15" customHeight="1" x14ac:dyDescent="0.25">
      <c r="A3102" s="19">
        <v>24783</v>
      </c>
      <c r="B3102" s="20" t="s">
        <v>25</v>
      </c>
      <c r="C3102" s="20" t="s">
        <v>5323</v>
      </c>
      <c r="D3102" s="20" t="s">
        <v>5332</v>
      </c>
      <c r="E3102" s="20" t="s">
        <v>5333</v>
      </c>
      <c r="F3102" s="20">
        <v>30.882145439999999</v>
      </c>
      <c r="G3102" s="20">
        <v>46.469577719999997</v>
      </c>
      <c r="H3102" s="22">
        <v>4</v>
      </c>
      <c r="I3102" s="22">
        <v>24</v>
      </c>
      <c r="J3102" s="21"/>
      <c r="K3102" s="21"/>
      <c r="L3102" s="21"/>
      <c r="M3102" s="21"/>
      <c r="N3102" s="21"/>
      <c r="O3102" s="21"/>
      <c r="P3102" s="21"/>
      <c r="Q3102" s="21"/>
      <c r="R3102" s="21"/>
      <c r="S3102" s="21"/>
      <c r="T3102" s="21"/>
      <c r="U3102" s="21"/>
      <c r="V3102" s="21">
        <v>2</v>
      </c>
      <c r="W3102" s="21"/>
      <c r="X3102" s="21">
        <v>2</v>
      </c>
      <c r="Y3102" s="21"/>
      <c r="Z3102" s="21"/>
      <c r="AA3102" s="21"/>
      <c r="AB3102" s="21"/>
      <c r="AC3102" s="21"/>
      <c r="AD3102" s="21"/>
      <c r="AE3102" s="21"/>
      <c r="AF3102" s="21"/>
      <c r="AG3102" s="21"/>
      <c r="AH3102" s="21">
        <v>4</v>
      </c>
      <c r="AI3102" s="21"/>
      <c r="AJ3102" s="21"/>
      <c r="AK3102" s="21"/>
      <c r="AL3102" s="21"/>
      <c r="AM3102" s="21">
        <v>4</v>
      </c>
      <c r="AN3102" s="21"/>
      <c r="AO3102" s="21"/>
      <c r="AP3102" s="21"/>
      <c r="AQ3102" s="21"/>
      <c r="AR3102" s="21"/>
      <c r="AS3102" s="21"/>
      <c r="AT3102" s="12" t="str">
        <f>HYPERLINK("http://www.openstreetmap.org/?mlat=30.8821&amp;mlon=46.4696&amp;zoom=12#map=12/30.8821/46.4696","Maplink1")</f>
        <v>Maplink1</v>
      </c>
      <c r="AU3102" s="12" t="str">
        <f>HYPERLINK("https://www.google.iq/maps/search/+30.8821,46.4696/@30.8821,46.4696,14z?hl=en","Maplink2")</f>
        <v>Maplink2</v>
      </c>
      <c r="AV3102" s="12" t="str">
        <f>HYPERLINK("http://www.bing.com/maps/?lvl=14&amp;sty=h&amp;cp=30.8821~46.4696&amp;sp=point.30.8821_46.4696","Maplink3")</f>
        <v>Maplink3</v>
      </c>
    </row>
    <row r="3103" spans="1:48" ht="15" customHeight="1" x14ac:dyDescent="0.25">
      <c r="A3103" s="19">
        <v>24493</v>
      </c>
      <c r="B3103" s="20" t="s">
        <v>25</v>
      </c>
      <c r="C3103" s="20" t="s">
        <v>5323</v>
      </c>
      <c r="D3103" s="20" t="s">
        <v>5334</v>
      </c>
      <c r="E3103" s="20" t="s">
        <v>5335</v>
      </c>
      <c r="F3103" s="20">
        <v>30.8930167107</v>
      </c>
      <c r="G3103" s="20">
        <v>46.448253757400003</v>
      </c>
      <c r="H3103" s="22">
        <v>3</v>
      </c>
      <c r="I3103" s="22">
        <v>18</v>
      </c>
      <c r="J3103" s="21">
        <v>3</v>
      </c>
      <c r="K3103" s="21"/>
      <c r="L3103" s="21"/>
      <c r="M3103" s="21"/>
      <c r="N3103" s="21"/>
      <c r="O3103" s="21"/>
      <c r="P3103" s="21"/>
      <c r="Q3103" s="21"/>
      <c r="R3103" s="21"/>
      <c r="S3103" s="21"/>
      <c r="T3103" s="21"/>
      <c r="U3103" s="21"/>
      <c r="V3103" s="21"/>
      <c r="W3103" s="21"/>
      <c r="X3103" s="21"/>
      <c r="Y3103" s="21"/>
      <c r="Z3103" s="21"/>
      <c r="AA3103" s="21"/>
      <c r="AB3103" s="21"/>
      <c r="AC3103" s="21"/>
      <c r="AD3103" s="21"/>
      <c r="AE3103" s="21"/>
      <c r="AF3103" s="21"/>
      <c r="AG3103" s="21"/>
      <c r="AH3103" s="21">
        <v>3</v>
      </c>
      <c r="AI3103" s="21"/>
      <c r="AJ3103" s="21"/>
      <c r="AK3103" s="21"/>
      <c r="AL3103" s="21"/>
      <c r="AM3103" s="21">
        <v>3</v>
      </c>
      <c r="AN3103" s="21"/>
      <c r="AO3103" s="21"/>
      <c r="AP3103" s="21"/>
      <c r="AQ3103" s="21"/>
      <c r="AR3103" s="21"/>
      <c r="AS3103" s="21"/>
      <c r="AT3103" s="12" t="str">
        <f>HYPERLINK("http://www.openstreetmap.org/?mlat=30.893&amp;mlon=46.4483&amp;zoom=12#map=12/30.893/46.4483","Maplink1")</f>
        <v>Maplink1</v>
      </c>
      <c r="AU3103" s="12" t="str">
        <f>HYPERLINK("https://www.google.iq/maps/search/+30.893,46.4483/@30.893,46.4483,14z?hl=en","Maplink2")</f>
        <v>Maplink2</v>
      </c>
      <c r="AV3103" s="12" t="str">
        <f>HYPERLINK("http://www.bing.com/maps/?lvl=14&amp;sty=h&amp;cp=30.893~46.4483&amp;sp=point.30.893_46.4483","Maplink3")</f>
        <v>Maplink3</v>
      </c>
    </row>
    <row r="3104" spans="1:48" ht="15" customHeight="1" x14ac:dyDescent="0.25">
      <c r="A3104" s="19">
        <v>9261</v>
      </c>
      <c r="B3104" s="20" t="s">
        <v>25</v>
      </c>
      <c r="C3104" s="20" t="s">
        <v>5323</v>
      </c>
      <c r="D3104" s="20" t="s">
        <v>5336</v>
      </c>
      <c r="E3104" s="20" t="s">
        <v>365</v>
      </c>
      <c r="F3104" s="20">
        <v>30.905265889999999</v>
      </c>
      <c r="G3104" s="20">
        <v>46.454810459999997</v>
      </c>
      <c r="H3104" s="22">
        <v>5</v>
      </c>
      <c r="I3104" s="22">
        <v>30</v>
      </c>
      <c r="J3104" s="21"/>
      <c r="K3104" s="21"/>
      <c r="L3104" s="21">
        <v>1</v>
      </c>
      <c r="M3104" s="21"/>
      <c r="N3104" s="21"/>
      <c r="O3104" s="21"/>
      <c r="P3104" s="21"/>
      <c r="Q3104" s="21"/>
      <c r="R3104" s="21"/>
      <c r="S3104" s="21"/>
      <c r="T3104" s="21"/>
      <c r="U3104" s="21"/>
      <c r="V3104" s="21">
        <v>4</v>
      </c>
      <c r="W3104" s="21"/>
      <c r="X3104" s="21"/>
      <c r="Y3104" s="21"/>
      <c r="Z3104" s="21"/>
      <c r="AA3104" s="21"/>
      <c r="AB3104" s="21"/>
      <c r="AC3104" s="21"/>
      <c r="AD3104" s="21"/>
      <c r="AE3104" s="21"/>
      <c r="AF3104" s="21"/>
      <c r="AG3104" s="21"/>
      <c r="AH3104" s="21">
        <v>5</v>
      </c>
      <c r="AI3104" s="21"/>
      <c r="AJ3104" s="21"/>
      <c r="AK3104" s="21"/>
      <c r="AL3104" s="21">
        <v>2</v>
      </c>
      <c r="AM3104" s="21"/>
      <c r="AN3104" s="21">
        <v>3</v>
      </c>
      <c r="AO3104" s="21"/>
      <c r="AP3104" s="21"/>
      <c r="AQ3104" s="21"/>
      <c r="AR3104" s="21"/>
      <c r="AS3104" s="21"/>
      <c r="AT3104" s="12" t="str">
        <f>HYPERLINK("http://www.openstreetmap.org/?mlat=30.9053&amp;mlon=46.4548&amp;zoom=12#map=12/30.9053/46.4548","Maplink1")</f>
        <v>Maplink1</v>
      </c>
      <c r="AU3104" s="12" t="str">
        <f>HYPERLINK("https://www.google.iq/maps/search/+30.9053,46.4548/@30.9053,46.4548,14z?hl=en","Maplink2")</f>
        <v>Maplink2</v>
      </c>
      <c r="AV3104" s="12" t="str">
        <f>HYPERLINK("http://www.bing.com/maps/?lvl=14&amp;sty=h&amp;cp=30.9053~46.4548&amp;sp=point.30.9053_46.4548","Maplink3")</f>
        <v>Maplink3</v>
      </c>
    </row>
    <row r="3105" spans="1:48" ht="15" customHeight="1" x14ac:dyDescent="0.25">
      <c r="A3105" s="19">
        <v>9258</v>
      </c>
      <c r="B3105" s="20" t="s">
        <v>25</v>
      </c>
      <c r="C3105" s="20" t="s">
        <v>5323</v>
      </c>
      <c r="D3105" s="20" t="s">
        <v>5337</v>
      </c>
      <c r="E3105" s="20" t="s">
        <v>1416</v>
      </c>
      <c r="F3105" s="20">
        <v>30.89684329</v>
      </c>
      <c r="G3105" s="20">
        <v>46.465438970000001</v>
      </c>
      <c r="H3105" s="22">
        <v>6</v>
      </c>
      <c r="I3105" s="22">
        <v>36</v>
      </c>
      <c r="J3105" s="21"/>
      <c r="K3105" s="21"/>
      <c r="L3105" s="21"/>
      <c r="M3105" s="21"/>
      <c r="N3105" s="21"/>
      <c r="O3105" s="21"/>
      <c r="P3105" s="21"/>
      <c r="Q3105" s="21"/>
      <c r="R3105" s="21">
        <v>3</v>
      </c>
      <c r="S3105" s="21"/>
      <c r="T3105" s="21"/>
      <c r="U3105" s="21"/>
      <c r="V3105" s="21"/>
      <c r="W3105" s="21"/>
      <c r="X3105" s="21">
        <v>3</v>
      </c>
      <c r="Y3105" s="21"/>
      <c r="Z3105" s="21"/>
      <c r="AA3105" s="21"/>
      <c r="AB3105" s="21"/>
      <c r="AC3105" s="21"/>
      <c r="AD3105" s="21"/>
      <c r="AE3105" s="21"/>
      <c r="AF3105" s="21"/>
      <c r="AG3105" s="21"/>
      <c r="AH3105" s="21">
        <v>6</v>
      </c>
      <c r="AI3105" s="21"/>
      <c r="AJ3105" s="21"/>
      <c r="AK3105" s="21"/>
      <c r="AL3105" s="21"/>
      <c r="AM3105" s="21"/>
      <c r="AN3105" s="21">
        <v>6</v>
      </c>
      <c r="AO3105" s="21"/>
      <c r="AP3105" s="21"/>
      <c r="AQ3105" s="21"/>
      <c r="AR3105" s="21"/>
      <c r="AS3105" s="21"/>
      <c r="AT3105" s="12" t="str">
        <f>HYPERLINK("http://www.openstreetmap.org/?mlat=30.8968&amp;mlon=46.4654&amp;zoom=12#map=12/30.8968/46.4654","Maplink1")</f>
        <v>Maplink1</v>
      </c>
      <c r="AU3105" s="12" t="str">
        <f>HYPERLINK("https://www.google.iq/maps/search/+30.8968,46.4654/@30.8968,46.4654,14z?hl=en","Maplink2")</f>
        <v>Maplink2</v>
      </c>
      <c r="AV3105" s="12" t="str">
        <f>HYPERLINK("http://www.bing.com/maps/?lvl=14&amp;sty=h&amp;cp=30.8968~46.4654&amp;sp=point.30.8968_46.4654","Maplink3")</f>
        <v>Maplink3</v>
      </c>
    </row>
    <row r="3106" spans="1:48" ht="15" customHeight="1" x14ac:dyDescent="0.25">
      <c r="A3106" s="19">
        <v>9262</v>
      </c>
      <c r="B3106" s="20" t="s">
        <v>25</v>
      </c>
      <c r="C3106" s="20" t="s">
        <v>5323</v>
      </c>
      <c r="D3106" s="20" t="s">
        <v>5338</v>
      </c>
      <c r="E3106" s="20" t="s">
        <v>5339</v>
      </c>
      <c r="F3106" s="20">
        <v>30.902103200300001</v>
      </c>
      <c r="G3106" s="20">
        <v>46.478123853100001</v>
      </c>
      <c r="H3106" s="22">
        <v>7</v>
      </c>
      <c r="I3106" s="22">
        <v>42</v>
      </c>
      <c r="J3106" s="21"/>
      <c r="K3106" s="21">
        <v>1</v>
      </c>
      <c r="L3106" s="21"/>
      <c r="M3106" s="21"/>
      <c r="N3106" s="21"/>
      <c r="O3106" s="21"/>
      <c r="P3106" s="21"/>
      <c r="Q3106" s="21"/>
      <c r="R3106" s="21">
        <v>1</v>
      </c>
      <c r="S3106" s="21"/>
      <c r="T3106" s="21"/>
      <c r="U3106" s="21"/>
      <c r="V3106" s="21">
        <v>5</v>
      </c>
      <c r="W3106" s="21"/>
      <c r="X3106" s="21"/>
      <c r="Y3106" s="21"/>
      <c r="Z3106" s="21"/>
      <c r="AA3106" s="21"/>
      <c r="AB3106" s="21"/>
      <c r="AC3106" s="21"/>
      <c r="AD3106" s="21"/>
      <c r="AE3106" s="21"/>
      <c r="AF3106" s="21"/>
      <c r="AG3106" s="21"/>
      <c r="AH3106" s="21">
        <v>7</v>
      </c>
      <c r="AI3106" s="21"/>
      <c r="AJ3106" s="21"/>
      <c r="AK3106" s="21"/>
      <c r="AL3106" s="21"/>
      <c r="AM3106" s="21">
        <v>7</v>
      </c>
      <c r="AN3106" s="21"/>
      <c r="AO3106" s="21"/>
      <c r="AP3106" s="21"/>
      <c r="AQ3106" s="21"/>
      <c r="AR3106" s="21"/>
      <c r="AS3106" s="21"/>
      <c r="AT3106" s="12" t="str">
        <f>HYPERLINK("http://www.openstreetmap.org/?mlat=30.9021&amp;mlon=46.4781&amp;zoom=12#map=12/30.9021/46.4781","Maplink1")</f>
        <v>Maplink1</v>
      </c>
      <c r="AU3106" s="12" t="str">
        <f>HYPERLINK("https://www.google.iq/maps/search/+30.9021,46.4781/@30.9021,46.4781,14z?hl=en","Maplink2")</f>
        <v>Maplink2</v>
      </c>
      <c r="AV3106" s="12" t="str">
        <f>HYPERLINK("http://www.bing.com/maps/?lvl=14&amp;sty=h&amp;cp=30.9021~46.4781&amp;sp=point.30.9021_46.4781","Maplink3")</f>
        <v>Maplink3</v>
      </c>
    </row>
    <row r="3107" spans="1:48" ht="15" customHeight="1" x14ac:dyDescent="0.25">
      <c r="A3107" s="19">
        <v>8878</v>
      </c>
      <c r="B3107" s="20" t="s">
        <v>25</v>
      </c>
      <c r="C3107" s="20" t="s">
        <v>5323</v>
      </c>
      <c r="D3107" s="20" t="s">
        <v>5340</v>
      </c>
      <c r="E3107" s="20" t="s">
        <v>5341</v>
      </c>
      <c r="F3107" s="20">
        <v>30.879952880000001</v>
      </c>
      <c r="G3107" s="20">
        <v>46.570655510000002</v>
      </c>
      <c r="H3107" s="22">
        <v>20</v>
      </c>
      <c r="I3107" s="22">
        <v>120</v>
      </c>
      <c r="J3107" s="21"/>
      <c r="K3107" s="21"/>
      <c r="L3107" s="21">
        <v>1</v>
      </c>
      <c r="M3107" s="21"/>
      <c r="N3107" s="21"/>
      <c r="O3107" s="21"/>
      <c r="P3107" s="21"/>
      <c r="Q3107" s="21"/>
      <c r="R3107" s="21">
        <v>9</v>
      </c>
      <c r="S3107" s="21"/>
      <c r="T3107" s="21"/>
      <c r="U3107" s="21"/>
      <c r="V3107" s="21">
        <v>10</v>
      </c>
      <c r="W3107" s="21"/>
      <c r="X3107" s="21"/>
      <c r="Y3107" s="21"/>
      <c r="Z3107" s="21"/>
      <c r="AA3107" s="21"/>
      <c r="AB3107" s="21"/>
      <c r="AC3107" s="21">
        <v>10</v>
      </c>
      <c r="AD3107" s="21"/>
      <c r="AE3107" s="21"/>
      <c r="AF3107" s="21"/>
      <c r="AG3107" s="21"/>
      <c r="AH3107" s="21">
        <v>10</v>
      </c>
      <c r="AI3107" s="21"/>
      <c r="AJ3107" s="21"/>
      <c r="AK3107" s="21"/>
      <c r="AL3107" s="21">
        <v>3</v>
      </c>
      <c r="AM3107" s="21">
        <v>8</v>
      </c>
      <c r="AN3107" s="21">
        <v>9</v>
      </c>
      <c r="AO3107" s="21"/>
      <c r="AP3107" s="21"/>
      <c r="AQ3107" s="21"/>
      <c r="AR3107" s="21"/>
      <c r="AS3107" s="21"/>
      <c r="AT3107" s="12" t="str">
        <f>HYPERLINK("http://www.openstreetmap.org/?mlat=30.88&amp;mlon=46.5707&amp;zoom=12#map=12/30.88/46.5707","Maplink1")</f>
        <v>Maplink1</v>
      </c>
      <c r="AU3107" s="12" t="str">
        <f>HYPERLINK("https://www.google.iq/maps/search/+30.88,46.5707/@30.88,46.5707,14z?hl=en","Maplink2")</f>
        <v>Maplink2</v>
      </c>
      <c r="AV3107" s="12" t="str">
        <f>HYPERLINK("http://www.bing.com/maps/?lvl=14&amp;sty=h&amp;cp=30.88~46.5707&amp;sp=point.30.88_46.5707","Maplink3")</f>
        <v>Maplink3</v>
      </c>
    </row>
    <row r="3108" spans="1:48" ht="15" customHeight="1" x14ac:dyDescent="0.25">
      <c r="A3108" s="19">
        <v>24844</v>
      </c>
      <c r="B3108" s="20" t="s">
        <v>26</v>
      </c>
      <c r="C3108" s="20" t="s">
        <v>5342</v>
      </c>
      <c r="D3108" s="20" t="s">
        <v>5343</v>
      </c>
      <c r="E3108" s="20" t="s">
        <v>5344</v>
      </c>
      <c r="F3108" s="20">
        <v>32.917417010000001</v>
      </c>
      <c r="G3108" s="20">
        <v>45.032265680000002</v>
      </c>
      <c r="H3108" s="22">
        <v>7</v>
      </c>
      <c r="I3108" s="22">
        <v>42</v>
      </c>
      <c r="J3108" s="21"/>
      <c r="K3108" s="21"/>
      <c r="L3108" s="21"/>
      <c r="M3108" s="21"/>
      <c r="N3108" s="21"/>
      <c r="O3108" s="21"/>
      <c r="P3108" s="21"/>
      <c r="Q3108" s="21"/>
      <c r="R3108" s="21"/>
      <c r="S3108" s="21"/>
      <c r="T3108" s="21"/>
      <c r="U3108" s="21"/>
      <c r="V3108" s="21">
        <v>7</v>
      </c>
      <c r="W3108" s="21"/>
      <c r="X3108" s="21"/>
      <c r="Y3108" s="21"/>
      <c r="Z3108" s="21"/>
      <c r="AA3108" s="21"/>
      <c r="AB3108" s="21"/>
      <c r="AC3108" s="21"/>
      <c r="AD3108" s="21"/>
      <c r="AE3108" s="21"/>
      <c r="AF3108" s="21"/>
      <c r="AG3108" s="21"/>
      <c r="AH3108" s="21">
        <v>7</v>
      </c>
      <c r="AI3108" s="21"/>
      <c r="AJ3108" s="21"/>
      <c r="AK3108" s="21"/>
      <c r="AL3108" s="21"/>
      <c r="AM3108" s="21">
        <v>7</v>
      </c>
      <c r="AN3108" s="21"/>
      <c r="AO3108" s="21"/>
      <c r="AP3108" s="21"/>
      <c r="AQ3108" s="21"/>
      <c r="AR3108" s="21"/>
      <c r="AS3108" s="21"/>
      <c r="AT3108" s="12" t="str">
        <f>HYPERLINK("http://www.openstreetmap.org/?mlat=32.9174&amp;mlon=45.0323&amp;zoom=12#map=12/32.9174/45.0323","Maplink1")</f>
        <v>Maplink1</v>
      </c>
      <c r="AU3108" s="12" t="str">
        <f>HYPERLINK("https://www.google.iq/maps/search/+32.9174,45.0323/@32.9174,45.0323,14z?hl=en","Maplink2")</f>
        <v>Maplink2</v>
      </c>
      <c r="AV3108" s="12" t="str">
        <f>HYPERLINK("http://www.bing.com/maps/?lvl=14&amp;sty=h&amp;cp=32.9174~45.0323&amp;sp=point.32.9174_45.0323","Maplink3")</f>
        <v>Maplink3</v>
      </c>
    </row>
    <row r="3109" spans="1:48" ht="15" customHeight="1" x14ac:dyDescent="0.25">
      <c r="A3109" s="19">
        <v>22361</v>
      </c>
      <c r="B3109" s="20" t="s">
        <v>26</v>
      </c>
      <c r="C3109" s="20" t="s">
        <v>5342</v>
      </c>
      <c r="D3109" s="20" t="s">
        <v>5345</v>
      </c>
      <c r="E3109" s="20" t="s">
        <v>5346</v>
      </c>
      <c r="F3109" s="20">
        <v>32.910755229999999</v>
      </c>
      <c r="G3109" s="20">
        <v>45.047405660000003</v>
      </c>
      <c r="H3109" s="22">
        <v>16</v>
      </c>
      <c r="I3109" s="22">
        <v>96</v>
      </c>
      <c r="J3109" s="21"/>
      <c r="K3109" s="21"/>
      <c r="L3109" s="21"/>
      <c r="M3109" s="21"/>
      <c r="N3109" s="21"/>
      <c r="O3109" s="21"/>
      <c r="P3109" s="21"/>
      <c r="Q3109" s="21"/>
      <c r="R3109" s="21"/>
      <c r="S3109" s="21"/>
      <c r="T3109" s="21"/>
      <c r="U3109" s="21"/>
      <c r="V3109" s="21">
        <v>16</v>
      </c>
      <c r="W3109" s="21"/>
      <c r="X3109" s="21"/>
      <c r="Y3109" s="21"/>
      <c r="Z3109" s="21"/>
      <c r="AA3109" s="21"/>
      <c r="AB3109" s="21"/>
      <c r="AC3109" s="21">
        <v>1</v>
      </c>
      <c r="AD3109" s="21"/>
      <c r="AE3109" s="21"/>
      <c r="AF3109" s="21"/>
      <c r="AG3109" s="21"/>
      <c r="AH3109" s="21">
        <v>15</v>
      </c>
      <c r="AI3109" s="21"/>
      <c r="AJ3109" s="21"/>
      <c r="AK3109" s="21"/>
      <c r="AL3109" s="21"/>
      <c r="AM3109" s="21">
        <v>16</v>
      </c>
      <c r="AN3109" s="21"/>
      <c r="AO3109" s="21"/>
      <c r="AP3109" s="21"/>
      <c r="AQ3109" s="21"/>
      <c r="AR3109" s="21"/>
      <c r="AS3109" s="21"/>
      <c r="AT3109" s="12" t="str">
        <f>HYPERLINK("http://www.openstreetmap.org/?mlat=32.9108&amp;mlon=45.0474&amp;zoom=12#map=12/32.9108/45.0474","Maplink1")</f>
        <v>Maplink1</v>
      </c>
      <c r="AU3109" s="12" t="str">
        <f>HYPERLINK("https://www.google.iq/maps/search/+32.9108,45.0474/@32.9108,45.0474,14z?hl=en","Maplink2")</f>
        <v>Maplink2</v>
      </c>
      <c r="AV3109" s="12" t="str">
        <f>HYPERLINK("http://www.bing.com/maps/?lvl=14&amp;sty=h&amp;cp=32.9108~45.0474&amp;sp=point.32.9108_45.0474","Maplink3")</f>
        <v>Maplink3</v>
      </c>
    </row>
    <row r="3110" spans="1:48" ht="15" customHeight="1" x14ac:dyDescent="0.25">
      <c r="A3110" s="19">
        <v>24858</v>
      </c>
      <c r="B3110" s="20" t="s">
        <v>26</v>
      </c>
      <c r="C3110" s="20" t="s">
        <v>5342</v>
      </c>
      <c r="D3110" s="20" t="s">
        <v>5347</v>
      </c>
      <c r="E3110" s="20" t="s">
        <v>5348</v>
      </c>
      <c r="F3110" s="20">
        <v>32.914289699999998</v>
      </c>
      <c r="G3110" s="20">
        <v>45.053913899999998</v>
      </c>
      <c r="H3110" s="22">
        <v>20</v>
      </c>
      <c r="I3110" s="22">
        <v>120</v>
      </c>
      <c r="J3110" s="21"/>
      <c r="K3110" s="21"/>
      <c r="L3110" s="21"/>
      <c r="M3110" s="21"/>
      <c r="N3110" s="21"/>
      <c r="O3110" s="21"/>
      <c r="P3110" s="21"/>
      <c r="Q3110" s="21"/>
      <c r="R3110" s="21"/>
      <c r="S3110" s="21"/>
      <c r="T3110" s="21"/>
      <c r="U3110" s="21"/>
      <c r="V3110" s="21">
        <v>20</v>
      </c>
      <c r="W3110" s="21"/>
      <c r="X3110" s="21"/>
      <c r="Y3110" s="21"/>
      <c r="Z3110" s="21"/>
      <c r="AA3110" s="21"/>
      <c r="AB3110" s="21"/>
      <c r="AC3110" s="21">
        <v>20</v>
      </c>
      <c r="AD3110" s="21"/>
      <c r="AE3110" s="21"/>
      <c r="AF3110" s="21"/>
      <c r="AG3110" s="21"/>
      <c r="AH3110" s="21"/>
      <c r="AI3110" s="21"/>
      <c r="AJ3110" s="21"/>
      <c r="AK3110" s="21"/>
      <c r="AL3110" s="21"/>
      <c r="AM3110" s="21">
        <v>20</v>
      </c>
      <c r="AN3110" s="21"/>
      <c r="AO3110" s="21"/>
      <c r="AP3110" s="21"/>
      <c r="AQ3110" s="21"/>
      <c r="AR3110" s="21"/>
      <c r="AS3110" s="21"/>
      <c r="AT3110" s="12" t="str">
        <f>HYPERLINK("http://www.openstreetmap.org/?mlat=32.9143&amp;mlon=45.0539&amp;zoom=12#map=12/32.9143/45.0539","Maplink1")</f>
        <v>Maplink1</v>
      </c>
      <c r="AU3110" s="12" t="str">
        <f>HYPERLINK("https://www.google.iq/maps/search/+32.9143,45.0539/@32.9143,45.0539,14z?hl=en","Maplink2")</f>
        <v>Maplink2</v>
      </c>
      <c r="AV3110" s="12" t="str">
        <f>HYPERLINK("http://www.bing.com/maps/?lvl=14&amp;sty=h&amp;cp=32.9143~45.0539&amp;sp=point.32.9143_45.0539","Maplink3")</f>
        <v>Maplink3</v>
      </c>
    </row>
    <row r="3111" spans="1:48" ht="15" customHeight="1" x14ac:dyDescent="0.25">
      <c r="A3111" s="19">
        <v>24851</v>
      </c>
      <c r="B3111" s="20" t="s">
        <v>26</v>
      </c>
      <c r="C3111" s="20" t="s">
        <v>5342</v>
      </c>
      <c r="D3111" s="20" t="s">
        <v>5935</v>
      </c>
      <c r="E3111" s="20" t="s">
        <v>5936</v>
      </c>
      <c r="F3111" s="20">
        <v>33.006653339145998</v>
      </c>
      <c r="G3111" s="20">
        <v>44.825753635502799</v>
      </c>
      <c r="H3111" s="22">
        <v>10</v>
      </c>
      <c r="I3111" s="22">
        <v>60</v>
      </c>
      <c r="J3111" s="21"/>
      <c r="K3111" s="21"/>
      <c r="L3111" s="21"/>
      <c r="M3111" s="21"/>
      <c r="N3111" s="21"/>
      <c r="O3111" s="21"/>
      <c r="P3111" s="21"/>
      <c r="Q3111" s="21"/>
      <c r="R3111" s="21"/>
      <c r="S3111" s="21"/>
      <c r="T3111" s="21"/>
      <c r="U3111" s="21"/>
      <c r="V3111" s="21">
        <v>10</v>
      </c>
      <c r="W3111" s="21"/>
      <c r="X3111" s="21"/>
      <c r="Y3111" s="21"/>
      <c r="Z3111" s="21"/>
      <c r="AA3111" s="21"/>
      <c r="AB3111" s="21"/>
      <c r="AC3111" s="21"/>
      <c r="AD3111" s="21"/>
      <c r="AE3111" s="21"/>
      <c r="AF3111" s="21"/>
      <c r="AG3111" s="21"/>
      <c r="AH3111" s="21">
        <v>10</v>
      </c>
      <c r="AI3111" s="21"/>
      <c r="AJ3111" s="21"/>
      <c r="AK3111" s="21"/>
      <c r="AL3111" s="21"/>
      <c r="AM3111" s="21">
        <v>10</v>
      </c>
      <c r="AN3111" s="21"/>
      <c r="AO3111" s="21"/>
      <c r="AP3111" s="21"/>
      <c r="AQ3111" s="21"/>
      <c r="AR3111" s="21"/>
      <c r="AS3111" s="21"/>
      <c r="AT3111" s="12" t="str">
        <f>HYPERLINK("http://www.openstreetmap.org/?mlat=33.0067&amp;mlon=44.8258&amp;zoom=12#map=12/33.0067/44.8258","Maplink1")</f>
        <v>Maplink1</v>
      </c>
      <c r="AU3111" s="12" t="str">
        <f>HYPERLINK("https://www.google.iq/maps/search/+33.0067,44.8258/@33.0067,44.8258,14z?hl=en","Maplink2")</f>
        <v>Maplink2</v>
      </c>
      <c r="AV3111" s="12" t="str">
        <f>HYPERLINK("http://www.bing.com/maps/?lvl=14&amp;sty=h&amp;cp=33.0067~44.8258&amp;sp=point.33.0067_44.8258","Maplink3")</f>
        <v>Maplink3</v>
      </c>
    </row>
    <row r="3112" spans="1:48" ht="15" customHeight="1" x14ac:dyDescent="0.25">
      <c r="A3112" s="19">
        <v>21043</v>
      </c>
      <c r="B3112" s="20" t="s">
        <v>26</v>
      </c>
      <c r="C3112" s="20" t="s">
        <v>5342</v>
      </c>
      <c r="D3112" s="20" t="s">
        <v>5349</v>
      </c>
      <c r="E3112" s="20" t="s">
        <v>5350</v>
      </c>
      <c r="F3112" s="20">
        <v>32.74514233</v>
      </c>
      <c r="G3112" s="20">
        <v>45.301654329999998</v>
      </c>
      <c r="H3112" s="22">
        <v>3</v>
      </c>
      <c r="I3112" s="22">
        <v>18</v>
      </c>
      <c r="J3112" s="21"/>
      <c r="K3112" s="21"/>
      <c r="L3112" s="21"/>
      <c r="M3112" s="21"/>
      <c r="N3112" s="21"/>
      <c r="O3112" s="21"/>
      <c r="P3112" s="21"/>
      <c r="Q3112" s="21"/>
      <c r="R3112" s="21"/>
      <c r="S3112" s="21"/>
      <c r="T3112" s="21"/>
      <c r="U3112" s="21"/>
      <c r="V3112" s="21">
        <v>3</v>
      </c>
      <c r="W3112" s="21"/>
      <c r="X3112" s="21"/>
      <c r="Y3112" s="21"/>
      <c r="Z3112" s="21"/>
      <c r="AA3112" s="21"/>
      <c r="AB3112" s="21"/>
      <c r="AC3112" s="21"/>
      <c r="AD3112" s="21"/>
      <c r="AE3112" s="21"/>
      <c r="AF3112" s="21"/>
      <c r="AG3112" s="21"/>
      <c r="AH3112" s="21">
        <v>3</v>
      </c>
      <c r="AI3112" s="21"/>
      <c r="AJ3112" s="21"/>
      <c r="AK3112" s="21"/>
      <c r="AL3112" s="21"/>
      <c r="AM3112" s="21">
        <v>2</v>
      </c>
      <c r="AN3112" s="21">
        <v>1</v>
      </c>
      <c r="AO3112" s="21"/>
      <c r="AP3112" s="21"/>
      <c r="AQ3112" s="21"/>
      <c r="AR3112" s="21"/>
      <c r="AS3112" s="21"/>
      <c r="AT3112" s="12" t="str">
        <f>HYPERLINK("http://www.openstreetmap.org/?mlat=32.7451&amp;mlon=45.3017&amp;zoom=12#map=12/32.7451/45.3017","Maplink1")</f>
        <v>Maplink1</v>
      </c>
      <c r="AU3112" s="12" t="str">
        <f>HYPERLINK("https://www.google.iq/maps/search/+32.7451,45.3017/@32.7451,45.3017,14z?hl=en","Maplink2")</f>
        <v>Maplink2</v>
      </c>
      <c r="AV3112" s="12" t="str">
        <f>HYPERLINK("http://www.bing.com/maps/?lvl=14&amp;sty=h&amp;cp=32.7451~45.3017&amp;sp=point.32.7451_45.3017","Maplink3")</f>
        <v>Maplink3</v>
      </c>
    </row>
    <row r="3113" spans="1:48" ht="15" customHeight="1" x14ac:dyDescent="0.25">
      <c r="A3113" s="19">
        <v>24856</v>
      </c>
      <c r="B3113" s="20" t="s">
        <v>26</v>
      </c>
      <c r="C3113" s="20" t="s">
        <v>5342</v>
      </c>
      <c r="D3113" s="20" t="s">
        <v>5351</v>
      </c>
      <c r="E3113" s="20" t="s">
        <v>6213</v>
      </c>
      <c r="F3113" s="20">
        <v>32.920111380000002</v>
      </c>
      <c r="G3113" s="20">
        <v>45.07391106</v>
      </c>
      <c r="H3113" s="22">
        <v>11</v>
      </c>
      <c r="I3113" s="22">
        <v>66</v>
      </c>
      <c r="J3113" s="21"/>
      <c r="K3113" s="21"/>
      <c r="L3113" s="21"/>
      <c r="M3113" s="21"/>
      <c r="N3113" s="21"/>
      <c r="O3113" s="21"/>
      <c r="P3113" s="21"/>
      <c r="Q3113" s="21"/>
      <c r="R3113" s="21"/>
      <c r="S3113" s="21"/>
      <c r="T3113" s="21"/>
      <c r="U3113" s="21"/>
      <c r="V3113" s="21">
        <v>5</v>
      </c>
      <c r="W3113" s="21"/>
      <c r="X3113" s="21">
        <v>6</v>
      </c>
      <c r="Y3113" s="21"/>
      <c r="Z3113" s="21"/>
      <c r="AA3113" s="21"/>
      <c r="AB3113" s="21"/>
      <c r="AC3113" s="21"/>
      <c r="AD3113" s="21"/>
      <c r="AE3113" s="21"/>
      <c r="AF3113" s="21"/>
      <c r="AG3113" s="21"/>
      <c r="AH3113" s="21">
        <v>11</v>
      </c>
      <c r="AI3113" s="21"/>
      <c r="AJ3113" s="21"/>
      <c r="AK3113" s="21"/>
      <c r="AL3113" s="21"/>
      <c r="AM3113" s="21">
        <v>11</v>
      </c>
      <c r="AN3113" s="21"/>
      <c r="AO3113" s="21"/>
      <c r="AP3113" s="21"/>
      <c r="AQ3113" s="21"/>
      <c r="AR3113" s="21"/>
      <c r="AS3113" s="21"/>
      <c r="AT3113" s="12" t="str">
        <f>HYPERLINK("http://www.openstreetmap.org/?mlat=32.9201&amp;mlon=45.0739&amp;zoom=12#map=12/32.9201/45.0739","Maplink1")</f>
        <v>Maplink1</v>
      </c>
      <c r="AU3113" s="12" t="str">
        <f>HYPERLINK("https://www.google.iq/maps/search/+32.9201,45.0739/@32.9201,45.0739,14z?hl=en","Maplink2")</f>
        <v>Maplink2</v>
      </c>
      <c r="AV3113" s="12" t="str">
        <f>HYPERLINK("http://www.bing.com/maps/?lvl=14&amp;sty=h&amp;cp=32.9201~45.0739&amp;sp=point.32.9201_45.0739","Maplink3")</f>
        <v>Maplink3</v>
      </c>
    </row>
    <row r="3114" spans="1:48" ht="15" customHeight="1" x14ac:dyDescent="0.25">
      <c r="A3114" s="19">
        <v>24857</v>
      </c>
      <c r="B3114" s="20" t="s">
        <v>26</v>
      </c>
      <c r="C3114" s="20" t="s">
        <v>5342</v>
      </c>
      <c r="D3114" s="20" t="s">
        <v>5352</v>
      </c>
      <c r="E3114" s="20" t="s">
        <v>6214</v>
      </c>
      <c r="F3114" s="20">
        <v>32.923484999999999</v>
      </c>
      <c r="G3114" s="20">
        <v>45.072426999999998</v>
      </c>
      <c r="H3114" s="22">
        <v>14</v>
      </c>
      <c r="I3114" s="22">
        <v>84</v>
      </c>
      <c r="J3114" s="21"/>
      <c r="K3114" s="21"/>
      <c r="L3114" s="21"/>
      <c r="M3114" s="21"/>
      <c r="N3114" s="21"/>
      <c r="O3114" s="21"/>
      <c r="P3114" s="21"/>
      <c r="Q3114" s="21"/>
      <c r="R3114" s="21"/>
      <c r="S3114" s="21"/>
      <c r="T3114" s="21"/>
      <c r="U3114" s="21"/>
      <c r="V3114" s="21">
        <v>14</v>
      </c>
      <c r="W3114" s="21"/>
      <c r="X3114" s="21"/>
      <c r="Y3114" s="21"/>
      <c r="Z3114" s="21"/>
      <c r="AA3114" s="21"/>
      <c r="AB3114" s="21"/>
      <c r="AC3114" s="21"/>
      <c r="AD3114" s="21"/>
      <c r="AE3114" s="21"/>
      <c r="AF3114" s="21"/>
      <c r="AG3114" s="21"/>
      <c r="AH3114" s="21">
        <v>14</v>
      </c>
      <c r="AI3114" s="21"/>
      <c r="AJ3114" s="21"/>
      <c r="AK3114" s="21"/>
      <c r="AL3114" s="21"/>
      <c r="AM3114" s="21">
        <v>14</v>
      </c>
      <c r="AN3114" s="21"/>
      <c r="AO3114" s="21"/>
      <c r="AP3114" s="21"/>
      <c r="AQ3114" s="21"/>
      <c r="AR3114" s="21"/>
      <c r="AS3114" s="21"/>
      <c r="AT3114" s="12" t="str">
        <f>HYPERLINK("http://www.openstreetmap.org/?mlat=32.9235&amp;mlon=45.0724&amp;zoom=12#map=12/32.9235/45.0724","Maplink1")</f>
        <v>Maplink1</v>
      </c>
      <c r="AU3114" s="12" t="str">
        <f>HYPERLINK("https://www.google.iq/maps/search/+32.9235,45.0724/@32.9235,45.0724,14z?hl=en","Maplink2")</f>
        <v>Maplink2</v>
      </c>
      <c r="AV3114" s="12" t="str">
        <f>HYPERLINK("http://www.bing.com/maps/?lvl=14&amp;sty=h&amp;cp=32.9235~45.0724&amp;sp=point.32.9235_45.0724","Maplink3")</f>
        <v>Maplink3</v>
      </c>
    </row>
    <row r="3115" spans="1:48" ht="15" customHeight="1" x14ac:dyDescent="0.25">
      <c r="A3115" s="19">
        <v>24855</v>
      </c>
      <c r="B3115" s="20" t="s">
        <v>26</v>
      </c>
      <c r="C3115" s="20" t="s">
        <v>5342</v>
      </c>
      <c r="D3115" s="20" t="s">
        <v>5353</v>
      </c>
      <c r="E3115" s="20" t="s">
        <v>5354</v>
      </c>
      <c r="F3115" s="20">
        <v>32.916426540000003</v>
      </c>
      <c r="G3115" s="20">
        <v>45.071748720000002</v>
      </c>
      <c r="H3115" s="22">
        <v>15</v>
      </c>
      <c r="I3115" s="22">
        <v>90</v>
      </c>
      <c r="J3115" s="21"/>
      <c r="K3115" s="21"/>
      <c r="L3115" s="21"/>
      <c r="M3115" s="21"/>
      <c r="N3115" s="21"/>
      <c r="O3115" s="21"/>
      <c r="P3115" s="21"/>
      <c r="Q3115" s="21"/>
      <c r="R3115" s="21"/>
      <c r="S3115" s="21"/>
      <c r="T3115" s="21"/>
      <c r="U3115" s="21"/>
      <c r="V3115" s="21">
        <v>15</v>
      </c>
      <c r="W3115" s="21"/>
      <c r="X3115" s="21"/>
      <c r="Y3115" s="21"/>
      <c r="Z3115" s="21"/>
      <c r="AA3115" s="21"/>
      <c r="AB3115" s="21"/>
      <c r="AC3115" s="21">
        <v>15</v>
      </c>
      <c r="AD3115" s="21"/>
      <c r="AE3115" s="21"/>
      <c r="AF3115" s="21"/>
      <c r="AG3115" s="21"/>
      <c r="AH3115" s="21"/>
      <c r="AI3115" s="21"/>
      <c r="AJ3115" s="21"/>
      <c r="AK3115" s="21"/>
      <c r="AL3115" s="21"/>
      <c r="AM3115" s="21">
        <v>15</v>
      </c>
      <c r="AN3115" s="21"/>
      <c r="AO3115" s="21"/>
      <c r="AP3115" s="21"/>
      <c r="AQ3115" s="21"/>
      <c r="AR3115" s="21"/>
      <c r="AS3115" s="21"/>
      <c r="AT3115" s="12" t="str">
        <f>HYPERLINK("http://www.openstreetmap.org/?mlat=32.9164&amp;mlon=45.0717&amp;zoom=12#map=12/32.9164/45.0717","Maplink1")</f>
        <v>Maplink1</v>
      </c>
      <c r="AU3115" s="12" t="str">
        <f>HYPERLINK("https://www.google.iq/maps/search/+32.9164,45.0717/@32.9164,45.0717,14z?hl=en","Maplink2")</f>
        <v>Maplink2</v>
      </c>
      <c r="AV3115" s="12" t="str">
        <f>HYPERLINK("http://www.bing.com/maps/?lvl=14&amp;sty=h&amp;cp=32.9164~45.0717&amp;sp=point.32.9164_45.0717","Maplink3")</f>
        <v>Maplink3</v>
      </c>
    </row>
    <row r="3116" spans="1:48" ht="15" customHeight="1" x14ac:dyDescent="0.25">
      <c r="A3116" s="19">
        <v>24854</v>
      </c>
      <c r="B3116" s="20" t="s">
        <v>26</v>
      </c>
      <c r="C3116" s="20" t="s">
        <v>5342</v>
      </c>
      <c r="D3116" s="20" t="s">
        <v>5355</v>
      </c>
      <c r="E3116" s="20" t="s">
        <v>5356</v>
      </c>
      <c r="F3116" s="20">
        <v>32.925581911999998</v>
      </c>
      <c r="G3116" s="20">
        <v>44.999177768800003</v>
      </c>
      <c r="H3116" s="22">
        <v>13</v>
      </c>
      <c r="I3116" s="22">
        <v>78</v>
      </c>
      <c r="J3116" s="21"/>
      <c r="K3116" s="21"/>
      <c r="L3116" s="21"/>
      <c r="M3116" s="21"/>
      <c r="N3116" s="21"/>
      <c r="O3116" s="21"/>
      <c r="P3116" s="21"/>
      <c r="Q3116" s="21"/>
      <c r="R3116" s="21"/>
      <c r="S3116" s="21"/>
      <c r="T3116" s="21"/>
      <c r="U3116" s="21"/>
      <c r="V3116" s="21">
        <v>13</v>
      </c>
      <c r="W3116" s="21"/>
      <c r="X3116" s="21"/>
      <c r="Y3116" s="21"/>
      <c r="Z3116" s="21"/>
      <c r="AA3116" s="21"/>
      <c r="AB3116" s="21"/>
      <c r="AC3116" s="21"/>
      <c r="AD3116" s="21"/>
      <c r="AE3116" s="21"/>
      <c r="AF3116" s="21"/>
      <c r="AG3116" s="21">
        <v>13</v>
      </c>
      <c r="AH3116" s="21"/>
      <c r="AI3116" s="21"/>
      <c r="AJ3116" s="21"/>
      <c r="AK3116" s="21"/>
      <c r="AL3116" s="21"/>
      <c r="AM3116" s="21">
        <v>13</v>
      </c>
      <c r="AN3116" s="21"/>
      <c r="AO3116" s="21"/>
      <c r="AP3116" s="21"/>
      <c r="AQ3116" s="21"/>
      <c r="AR3116" s="21"/>
      <c r="AS3116" s="21"/>
      <c r="AT3116" s="12" t="str">
        <f>HYPERLINK("http://www.openstreetmap.org/?mlat=32.9256&amp;mlon=44.9992&amp;zoom=12#map=12/32.9256/44.9992","Maplink1")</f>
        <v>Maplink1</v>
      </c>
      <c r="AU3116" s="12" t="str">
        <f>HYPERLINK("https://www.google.iq/maps/search/+32.9256,44.9992/@32.9256,44.9992,14z?hl=en","Maplink2")</f>
        <v>Maplink2</v>
      </c>
      <c r="AV3116" s="12" t="str">
        <f>HYPERLINK("http://www.bing.com/maps/?lvl=14&amp;sty=h&amp;cp=32.9256~44.9992&amp;sp=point.32.9256_44.9992","Maplink3")</f>
        <v>Maplink3</v>
      </c>
    </row>
    <row r="3117" spans="1:48" ht="15" customHeight="1" x14ac:dyDescent="0.25">
      <c r="A3117" s="19">
        <v>24841</v>
      </c>
      <c r="B3117" s="20" t="s">
        <v>26</v>
      </c>
      <c r="C3117" s="20" t="s">
        <v>5342</v>
      </c>
      <c r="D3117" s="20" t="s">
        <v>5357</v>
      </c>
      <c r="E3117" s="20" t="s">
        <v>3010</v>
      </c>
      <c r="F3117" s="20">
        <v>32.955967315199999</v>
      </c>
      <c r="G3117" s="20">
        <v>44.884300543400002</v>
      </c>
      <c r="H3117" s="22">
        <v>7</v>
      </c>
      <c r="I3117" s="22">
        <v>42</v>
      </c>
      <c r="J3117" s="21"/>
      <c r="K3117" s="21"/>
      <c r="L3117" s="21"/>
      <c r="M3117" s="21"/>
      <c r="N3117" s="21"/>
      <c r="O3117" s="21"/>
      <c r="P3117" s="21"/>
      <c r="Q3117" s="21"/>
      <c r="R3117" s="21"/>
      <c r="S3117" s="21"/>
      <c r="T3117" s="21"/>
      <c r="U3117" s="21"/>
      <c r="V3117" s="21">
        <v>7</v>
      </c>
      <c r="W3117" s="21"/>
      <c r="X3117" s="21"/>
      <c r="Y3117" s="21"/>
      <c r="Z3117" s="21"/>
      <c r="AA3117" s="21"/>
      <c r="AB3117" s="21"/>
      <c r="AC3117" s="21"/>
      <c r="AD3117" s="21"/>
      <c r="AE3117" s="21"/>
      <c r="AF3117" s="21"/>
      <c r="AG3117" s="21"/>
      <c r="AH3117" s="21">
        <v>7</v>
      </c>
      <c r="AI3117" s="21"/>
      <c r="AJ3117" s="21"/>
      <c r="AK3117" s="21"/>
      <c r="AL3117" s="21"/>
      <c r="AM3117" s="21">
        <v>7</v>
      </c>
      <c r="AN3117" s="21"/>
      <c r="AO3117" s="21"/>
      <c r="AP3117" s="21"/>
      <c r="AQ3117" s="21"/>
      <c r="AR3117" s="21"/>
      <c r="AS3117" s="21"/>
      <c r="AT3117" s="12" t="str">
        <f>HYPERLINK("http://www.openstreetmap.org/?mlat=32.956&amp;mlon=44.8843&amp;zoom=12#map=12/32.956/44.8843","Maplink1")</f>
        <v>Maplink1</v>
      </c>
      <c r="AU3117" s="12" t="str">
        <f>HYPERLINK("https://www.google.iq/maps/search/+32.956,44.8843/@32.956,44.8843,14z?hl=en","Maplink2")</f>
        <v>Maplink2</v>
      </c>
      <c r="AV3117" s="12" t="str">
        <f>HYPERLINK("http://www.bing.com/maps/?lvl=14&amp;sty=h&amp;cp=32.956~44.8843&amp;sp=point.32.956_44.8843","Maplink3")</f>
        <v>Maplink3</v>
      </c>
    </row>
    <row r="3118" spans="1:48" ht="15" customHeight="1" x14ac:dyDescent="0.25">
      <c r="A3118" s="19">
        <v>24859</v>
      </c>
      <c r="B3118" s="20" t="s">
        <v>26</v>
      </c>
      <c r="C3118" s="20" t="s">
        <v>5342</v>
      </c>
      <c r="D3118" s="20" t="s">
        <v>5358</v>
      </c>
      <c r="E3118" s="20" t="s">
        <v>5359</v>
      </c>
      <c r="F3118" s="20">
        <v>32.913466721299997</v>
      </c>
      <c r="G3118" s="20">
        <v>45.0585087073</v>
      </c>
      <c r="H3118" s="22">
        <v>13</v>
      </c>
      <c r="I3118" s="22">
        <v>78</v>
      </c>
      <c r="J3118" s="21"/>
      <c r="K3118" s="21"/>
      <c r="L3118" s="21"/>
      <c r="M3118" s="21"/>
      <c r="N3118" s="21"/>
      <c r="O3118" s="21"/>
      <c r="P3118" s="21"/>
      <c r="Q3118" s="21"/>
      <c r="R3118" s="21"/>
      <c r="S3118" s="21"/>
      <c r="T3118" s="21"/>
      <c r="U3118" s="21"/>
      <c r="V3118" s="21">
        <v>5</v>
      </c>
      <c r="W3118" s="21"/>
      <c r="X3118" s="21">
        <v>8</v>
      </c>
      <c r="Y3118" s="21"/>
      <c r="Z3118" s="21"/>
      <c r="AA3118" s="21"/>
      <c r="AB3118" s="21"/>
      <c r="AC3118" s="21">
        <v>4</v>
      </c>
      <c r="AD3118" s="21"/>
      <c r="AE3118" s="21"/>
      <c r="AF3118" s="21"/>
      <c r="AG3118" s="21"/>
      <c r="AH3118" s="21">
        <v>9</v>
      </c>
      <c r="AI3118" s="21"/>
      <c r="AJ3118" s="21"/>
      <c r="AK3118" s="21"/>
      <c r="AL3118" s="21"/>
      <c r="AM3118" s="21">
        <v>13</v>
      </c>
      <c r="AN3118" s="21"/>
      <c r="AO3118" s="21"/>
      <c r="AP3118" s="21"/>
      <c r="AQ3118" s="21"/>
      <c r="AR3118" s="21"/>
      <c r="AS3118" s="21"/>
      <c r="AT3118" s="12" t="str">
        <f>HYPERLINK("http://www.openstreetmap.org/?mlat=32.9135&amp;mlon=45.0585&amp;zoom=12#map=12/32.9135/45.0585","Maplink1")</f>
        <v>Maplink1</v>
      </c>
      <c r="AU3118" s="12" t="str">
        <f>HYPERLINK("https://www.google.iq/maps/search/+32.9135,45.0585/@32.9135,45.0585,14z?hl=en","Maplink2")</f>
        <v>Maplink2</v>
      </c>
      <c r="AV3118" s="12" t="str">
        <f>HYPERLINK("http://www.bing.com/maps/?lvl=14&amp;sty=h&amp;cp=32.9135~45.0585&amp;sp=point.32.9135_45.0585","Maplink3")</f>
        <v>Maplink3</v>
      </c>
    </row>
    <row r="3119" spans="1:48" ht="15" customHeight="1" x14ac:dyDescent="0.25">
      <c r="A3119" s="19">
        <v>19454</v>
      </c>
      <c r="B3119" s="20" t="s">
        <v>26</v>
      </c>
      <c r="C3119" s="20" t="s">
        <v>5342</v>
      </c>
      <c r="D3119" s="20" t="s">
        <v>5360</v>
      </c>
      <c r="E3119" s="20" t="s">
        <v>5361</v>
      </c>
      <c r="F3119" s="20">
        <v>32.957270749999999</v>
      </c>
      <c r="G3119" s="20">
        <v>44.889357969999999</v>
      </c>
      <c r="H3119" s="22">
        <v>17</v>
      </c>
      <c r="I3119" s="22">
        <v>102</v>
      </c>
      <c r="J3119" s="21"/>
      <c r="K3119" s="21"/>
      <c r="L3119" s="21"/>
      <c r="M3119" s="21"/>
      <c r="N3119" s="21"/>
      <c r="O3119" s="21"/>
      <c r="P3119" s="21"/>
      <c r="Q3119" s="21"/>
      <c r="R3119" s="21">
        <v>4</v>
      </c>
      <c r="S3119" s="21"/>
      <c r="T3119" s="21"/>
      <c r="U3119" s="21"/>
      <c r="V3119" s="21">
        <v>13</v>
      </c>
      <c r="W3119" s="21"/>
      <c r="X3119" s="21"/>
      <c r="Y3119" s="21"/>
      <c r="Z3119" s="21"/>
      <c r="AA3119" s="21"/>
      <c r="AB3119" s="21"/>
      <c r="AC3119" s="21"/>
      <c r="AD3119" s="21"/>
      <c r="AE3119" s="21"/>
      <c r="AF3119" s="21"/>
      <c r="AG3119" s="21"/>
      <c r="AH3119" s="21">
        <v>17</v>
      </c>
      <c r="AI3119" s="21"/>
      <c r="AJ3119" s="21"/>
      <c r="AK3119" s="21"/>
      <c r="AL3119" s="21"/>
      <c r="AM3119" s="21">
        <v>15</v>
      </c>
      <c r="AN3119" s="21"/>
      <c r="AO3119" s="21"/>
      <c r="AP3119" s="21"/>
      <c r="AQ3119" s="21"/>
      <c r="AR3119" s="21">
        <v>2</v>
      </c>
      <c r="AS3119" s="21"/>
      <c r="AT3119" s="12" t="str">
        <f>HYPERLINK("http://www.openstreetmap.org/?mlat=32.9573&amp;mlon=44.8894&amp;zoom=12#map=12/32.9573/44.8894","Maplink1")</f>
        <v>Maplink1</v>
      </c>
      <c r="AU3119" s="12" t="str">
        <f>HYPERLINK("https://www.google.iq/maps/search/+32.9573,44.8894/@32.9573,44.8894,14z?hl=en","Maplink2")</f>
        <v>Maplink2</v>
      </c>
      <c r="AV3119" s="12" t="str">
        <f>HYPERLINK("http://www.bing.com/maps/?lvl=14&amp;sty=h&amp;cp=32.9573~44.8894&amp;sp=point.32.9573_44.8894","Maplink3")</f>
        <v>Maplink3</v>
      </c>
    </row>
    <row r="3120" spans="1:48" ht="15" customHeight="1" x14ac:dyDescent="0.25">
      <c r="A3120" s="19">
        <v>24849</v>
      </c>
      <c r="B3120" s="20" t="s">
        <v>26</v>
      </c>
      <c r="C3120" s="20" t="s">
        <v>5342</v>
      </c>
      <c r="D3120" s="20" t="s">
        <v>5362</v>
      </c>
      <c r="E3120" s="20" t="s">
        <v>5363</v>
      </c>
      <c r="F3120" s="20">
        <v>32.96533427</v>
      </c>
      <c r="G3120" s="20">
        <v>44.863150840000003</v>
      </c>
      <c r="H3120" s="22">
        <v>10</v>
      </c>
      <c r="I3120" s="22">
        <v>60</v>
      </c>
      <c r="J3120" s="21"/>
      <c r="K3120" s="21"/>
      <c r="L3120" s="21"/>
      <c r="M3120" s="21"/>
      <c r="N3120" s="21"/>
      <c r="O3120" s="21"/>
      <c r="P3120" s="21"/>
      <c r="Q3120" s="21"/>
      <c r="R3120" s="21">
        <v>6</v>
      </c>
      <c r="S3120" s="21"/>
      <c r="T3120" s="21"/>
      <c r="U3120" s="21"/>
      <c r="V3120" s="21">
        <v>4</v>
      </c>
      <c r="W3120" s="21"/>
      <c r="X3120" s="21"/>
      <c r="Y3120" s="21"/>
      <c r="Z3120" s="21"/>
      <c r="AA3120" s="21"/>
      <c r="AB3120" s="21"/>
      <c r="AC3120" s="21"/>
      <c r="AD3120" s="21"/>
      <c r="AE3120" s="21"/>
      <c r="AF3120" s="21"/>
      <c r="AG3120" s="21"/>
      <c r="AH3120" s="21">
        <v>10</v>
      </c>
      <c r="AI3120" s="21"/>
      <c r="AJ3120" s="21"/>
      <c r="AK3120" s="21"/>
      <c r="AL3120" s="21"/>
      <c r="AM3120" s="21">
        <v>4</v>
      </c>
      <c r="AN3120" s="21">
        <v>6</v>
      </c>
      <c r="AO3120" s="21"/>
      <c r="AP3120" s="21"/>
      <c r="AQ3120" s="21"/>
      <c r="AR3120" s="21"/>
      <c r="AS3120" s="21"/>
      <c r="AT3120" s="12" t="str">
        <f>HYPERLINK("http://www.openstreetmap.org/?mlat=32.9653&amp;mlon=44.8632&amp;zoom=12#map=12/32.9653/44.8632","Maplink1")</f>
        <v>Maplink1</v>
      </c>
      <c r="AU3120" s="12" t="str">
        <f>HYPERLINK("https://www.google.iq/maps/search/+32.9653,44.8632/@32.9653,44.8632,14z?hl=en","Maplink2")</f>
        <v>Maplink2</v>
      </c>
      <c r="AV3120" s="12" t="str">
        <f>HYPERLINK("http://www.bing.com/maps/?lvl=14&amp;sty=h&amp;cp=32.9653~44.8632&amp;sp=point.32.9653_44.8632","Maplink3")</f>
        <v>Maplink3</v>
      </c>
    </row>
    <row r="3121" spans="1:48" ht="15" customHeight="1" x14ac:dyDescent="0.25">
      <c r="A3121" s="19">
        <v>18443</v>
      </c>
      <c r="B3121" s="20" t="s">
        <v>26</v>
      </c>
      <c r="C3121" s="20" t="s">
        <v>5342</v>
      </c>
      <c r="D3121" s="20" t="s">
        <v>5364</v>
      </c>
      <c r="E3121" s="20" t="s">
        <v>5365</v>
      </c>
      <c r="F3121" s="20">
        <v>32.91141871</v>
      </c>
      <c r="G3121" s="20">
        <v>45.062006879999998</v>
      </c>
      <c r="H3121" s="22">
        <v>15</v>
      </c>
      <c r="I3121" s="22">
        <v>90</v>
      </c>
      <c r="J3121" s="21"/>
      <c r="K3121" s="21"/>
      <c r="L3121" s="21"/>
      <c r="M3121" s="21"/>
      <c r="N3121" s="21"/>
      <c r="O3121" s="21"/>
      <c r="P3121" s="21"/>
      <c r="Q3121" s="21"/>
      <c r="R3121" s="21"/>
      <c r="S3121" s="21"/>
      <c r="T3121" s="21"/>
      <c r="U3121" s="21"/>
      <c r="V3121" s="21">
        <v>15</v>
      </c>
      <c r="W3121" s="21"/>
      <c r="X3121" s="21"/>
      <c r="Y3121" s="21"/>
      <c r="Z3121" s="21"/>
      <c r="AA3121" s="21"/>
      <c r="AB3121" s="21"/>
      <c r="AC3121" s="21"/>
      <c r="AD3121" s="21"/>
      <c r="AE3121" s="21"/>
      <c r="AF3121" s="21"/>
      <c r="AG3121" s="21"/>
      <c r="AH3121" s="21">
        <v>15</v>
      </c>
      <c r="AI3121" s="21"/>
      <c r="AJ3121" s="21"/>
      <c r="AK3121" s="21"/>
      <c r="AL3121" s="21"/>
      <c r="AM3121" s="21"/>
      <c r="AN3121" s="21">
        <v>15</v>
      </c>
      <c r="AO3121" s="21"/>
      <c r="AP3121" s="21"/>
      <c r="AQ3121" s="21"/>
      <c r="AR3121" s="21"/>
      <c r="AS3121" s="21"/>
      <c r="AT3121" s="12" t="str">
        <f>HYPERLINK("http://www.openstreetmap.org/?mlat=32.9114&amp;mlon=45.062&amp;zoom=12#map=12/32.9114/45.062","Maplink1")</f>
        <v>Maplink1</v>
      </c>
      <c r="AU3121" s="12" t="str">
        <f>HYPERLINK("https://www.google.iq/maps/search/+32.9114,45.062/@32.9114,45.062,14z?hl=en","Maplink2")</f>
        <v>Maplink2</v>
      </c>
      <c r="AV3121" s="12" t="str">
        <f>HYPERLINK("http://www.bing.com/maps/?lvl=14&amp;sty=h&amp;cp=32.9114~45.062&amp;sp=point.32.9114_45.062","Maplink3")</f>
        <v>Maplink3</v>
      </c>
    </row>
    <row r="3122" spans="1:48" ht="15" customHeight="1" x14ac:dyDescent="0.25">
      <c r="A3122" s="19">
        <v>22360</v>
      </c>
      <c r="B3122" s="20" t="s">
        <v>26</v>
      </c>
      <c r="C3122" s="20" t="s">
        <v>5342</v>
      </c>
      <c r="D3122" s="20" t="s">
        <v>5366</v>
      </c>
      <c r="E3122" s="20" t="s">
        <v>3246</v>
      </c>
      <c r="F3122" s="20">
        <v>32.917172119999996</v>
      </c>
      <c r="G3122" s="20">
        <v>45.058617640000001</v>
      </c>
      <c r="H3122" s="22">
        <v>8</v>
      </c>
      <c r="I3122" s="22">
        <v>48</v>
      </c>
      <c r="J3122" s="21"/>
      <c r="K3122" s="21"/>
      <c r="L3122" s="21"/>
      <c r="M3122" s="21"/>
      <c r="N3122" s="21"/>
      <c r="O3122" s="21"/>
      <c r="P3122" s="21"/>
      <c r="Q3122" s="21"/>
      <c r="R3122" s="21"/>
      <c r="S3122" s="21"/>
      <c r="T3122" s="21"/>
      <c r="U3122" s="21"/>
      <c r="V3122" s="21">
        <v>8</v>
      </c>
      <c r="W3122" s="21"/>
      <c r="X3122" s="21"/>
      <c r="Y3122" s="21"/>
      <c r="Z3122" s="21"/>
      <c r="AA3122" s="21"/>
      <c r="AB3122" s="21"/>
      <c r="AC3122" s="21"/>
      <c r="AD3122" s="21"/>
      <c r="AE3122" s="21"/>
      <c r="AF3122" s="21"/>
      <c r="AG3122" s="21"/>
      <c r="AH3122" s="21">
        <v>8</v>
      </c>
      <c r="AI3122" s="21"/>
      <c r="AJ3122" s="21"/>
      <c r="AK3122" s="21"/>
      <c r="AL3122" s="21"/>
      <c r="AM3122" s="21">
        <v>8</v>
      </c>
      <c r="AN3122" s="21"/>
      <c r="AO3122" s="21"/>
      <c r="AP3122" s="21"/>
      <c r="AQ3122" s="21"/>
      <c r="AR3122" s="21"/>
      <c r="AS3122" s="21"/>
      <c r="AT3122" s="12" t="str">
        <f>HYPERLINK("http://www.openstreetmap.org/?mlat=32.9172&amp;mlon=45.0586&amp;zoom=12#map=12/32.9172/45.0586","Maplink1")</f>
        <v>Maplink1</v>
      </c>
      <c r="AU3122" s="12" t="str">
        <f>HYPERLINK("https://www.google.iq/maps/search/+32.9172,45.0586/@32.9172,45.0586,14z?hl=en","Maplink2")</f>
        <v>Maplink2</v>
      </c>
      <c r="AV3122" s="12" t="str">
        <f>HYPERLINK("http://www.bing.com/maps/?lvl=14&amp;sty=h&amp;cp=32.9172~45.0586&amp;sp=point.32.9172_45.0586","Maplink3")</f>
        <v>Maplink3</v>
      </c>
    </row>
    <row r="3123" spans="1:48" ht="15" customHeight="1" x14ac:dyDescent="0.25">
      <c r="A3123" s="19">
        <v>24845</v>
      </c>
      <c r="B3123" s="20" t="s">
        <v>26</v>
      </c>
      <c r="C3123" s="20" t="s">
        <v>5342</v>
      </c>
      <c r="D3123" s="20" t="s">
        <v>5367</v>
      </c>
      <c r="E3123" s="20" t="s">
        <v>5368</v>
      </c>
      <c r="F3123" s="20">
        <v>32.912592220000001</v>
      </c>
      <c r="G3123" s="20">
        <v>45.057023630000003</v>
      </c>
      <c r="H3123" s="22">
        <v>9</v>
      </c>
      <c r="I3123" s="22">
        <v>54</v>
      </c>
      <c r="J3123" s="21"/>
      <c r="K3123" s="21"/>
      <c r="L3123" s="21"/>
      <c r="M3123" s="21"/>
      <c r="N3123" s="21"/>
      <c r="O3123" s="21"/>
      <c r="P3123" s="21"/>
      <c r="Q3123" s="21"/>
      <c r="R3123" s="21"/>
      <c r="S3123" s="21"/>
      <c r="T3123" s="21"/>
      <c r="U3123" s="21"/>
      <c r="V3123" s="21">
        <v>9</v>
      </c>
      <c r="W3123" s="21"/>
      <c r="X3123" s="21"/>
      <c r="Y3123" s="21"/>
      <c r="Z3123" s="21"/>
      <c r="AA3123" s="21"/>
      <c r="AB3123" s="21"/>
      <c r="AC3123" s="21"/>
      <c r="AD3123" s="21"/>
      <c r="AE3123" s="21"/>
      <c r="AF3123" s="21"/>
      <c r="AG3123" s="21"/>
      <c r="AH3123" s="21">
        <v>9</v>
      </c>
      <c r="AI3123" s="21"/>
      <c r="AJ3123" s="21"/>
      <c r="AK3123" s="21"/>
      <c r="AL3123" s="21"/>
      <c r="AM3123" s="21">
        <v>9</v>
      </c>
      <c r="AN3123" s="21"/>
      <c r="AO3123" s="21"/>
      <c r="AP3123" s="21"/>
      <c r="AQ3123" s="21"/>
      <c r="AR3123" s="21"/>
      <c r="AS3123" s="21"/>
      <c r="AT3123" s="12" t="str">
        <f>HYPERLINK("http://www.openstreetmap.org/?mlat=32.9126&amp;mlon=45.057&amp;zoom=12#map=12/32.9126/45.057","Maplink1")</f>
        <v>Maplink1</v>
      </c>
      <c r="AU3123" s="12" t="str">
        <f>HYPERLINK("https://www.google.iq/maps/search/+32.9126,45.057/@32.9126,45.057,14z?hl=en","Maplink2")</f>
        <v>Maplink2</v>
      </c>
      <c r="AV3123" s="12" t="str">
        <f>HYPERLINK("http://www.bing.com/maps/?lvl=14&amp;sty=h&amp;cp=32.9126~45.057&amp;sp=point.32.9126_45.057","Maplink3")</f>
        <v>Maplink3</v>
      </c>
    </row>
    <row r="3124" spans="1:48" ht="15" customHeight="1" x14ac:dyDescent="0.25">
      <c r="A3124" s="19">
        <v>24846</v>
      </c>
      <c r="B3124" s="20" t="s">
        <v>26</v>
      </c>
      <c r="C3124" s="20" t="s">
        <v>5342</v>
      </c>
      <c r="D3124" s="20" t="s">
        <v>5369</v>
      </c>
      <c r="E3124" s="20" t="s">
        <v>5370</v>
      </c>
      <c r="F3124" s="20">
        <v>32.911068409999999</v>
      </c>
      <c r="G3124" s="20">
        <v>45.060520850000003</v>
      </c>
      <c r="H3124" s="22">
        <v>8</v>
      </c>
      <c r="I3124" s="22">
        <v>48</v>
      </c>
      <c r="J3124" s="21"/>
      <c r="K3124" s="21"/>
      <c r="L3124" s="21"/>
      <c r="M3124" s="21"/>
      <c r="N3124" s="21"/>
      <c r="O3124" s="21"/>
      <c r="P3124" s="21"/>
      <c r="Q3124" s="21"/>
      <c r="R3124" s="21"/>
      <c r="S3124" s="21"/>
      <c r="T3124" s="21"/>
      <c r="U3124" s="21"/>
      <c r="V3124" s="21">
        <v>8</v>
      </c>
      <c r="W3124" s="21"/>
      <c r="X3124" s="21"/>
      <c r="Y3124" s="21"/>
      <c r="Z3124" s="21"/>
      <c r="AA3124" s="21"/>
      <c r="AB3124" s="21"/>
      <c r="AC3124" s="21"/>
      <c r="AD3124" s="21"/>
      <c r="AE3124" s="21"/>
      <c r="AF3124" s="21"/>
      <c r="AG3124" s="21"/>
      <c r="AH3124" s="21">
        <v>8</v>
      </c>
      <c r="AI3124" s="21"/>
      <c r="AJ3124" s="21"/>
      <c r="AK3124" s="21"/>
      <c r="AL3124" s="21"/>
      <c r="AM3124" s="21">
        <v>8</v>
      </c>
      <c r="AN3124" s="21"/>
      <c r="AO3124" s="21"/>
      <c r="AP3124" s="21"/>
      <c r="AQ3124" s="21"/>
      <c r="AR3124" s="21"/>
      <c r="AS3124" s="21"/>
      <c r="AT3124" s="12" t="str">
        <f>HYPERLINK("http://www.openstreetmap.org/?mlat=32.9111&amp;mlon=45.0605&amp;zoom=12#map=12/32.9111/45.0605","Maplink1")</f>
        <v>Maplink1</v>
      </c>
      <c r="AU3124" s="12" t="str">
        <f>HYPERLINK("https://www.google.iq/maps/search/+32.9111,45.0605/@32.9111,45.0605,14z?hl=en","Maplink2")</f>
        <v>Maplink2</v>
      </c>
      <c r="AV3124" s="12" t="str">
        <f>HYPERLINK("http://www.bing.com/maps/?lvl=14&amp;sty=h&amp;cp=32.9111~45.0605&amp;sp=point.32.9111_45.0605","Maplink3")</f>
        <v>Maplink3</v>
      </c>
    </row>
    <row r="3125" spans="1:48" ht="15" customHeight="1" x14ac:dyDescent="0.25">
      <c r="A3125" s="19">
        <v>24839</v>
      </c>
      <c r="B3125" s="20" t="s">
        <v>26</v>
      </c>
      <c r="C3125" s="20" t="s">
        <v>5342</v>
      </c>
      <c r="D3125" s="20" t="s">
        <v>5371</v>
      </c>
      <c r="E3125" s="20" t="s">
        <v>5372</v>
      </c>
      <c r="F3125" s="20">
        <v>32.907913829999998</v>
      </c>
      <c r="G3125" s="20">
        <v>45.052621889999998</v>
      </c>
      <c r="H3125" s="22">
        <v>5</v>
      </c>
      <c r="I3125" s="22">
        <v>30</v>
      </c>
      <c r="J3125" s="21"/>
      <c r="K3125" s="21"/>
      <c r="L3125" s="21"/>
      <c r="M3125" s="21"/>
      <c r="N3125" s="21"/>
      <c r="O3125" s="21"/>
      <c r="P3125" s="21"/>
      <c r="Q3125" s="21"/>
      <c r="R3125" s="21"/>
      <c r="S3125" s="21"/>
      <c r="T3125" s="21"/>
      <c r="U3125" s="21"/>
      <c r="V3125" s="21">
        <v>2</v>
      </c>
      <c r="W3125" s="21"/>
      <c r="X3125" s="21">
        <v>3</v>
      </c>
      <c r="Y3125" s="21"/>
      <c r="Z3125" s="21"/>
      <c r="AA3125" s="21"/>
      <c r="AB3125" s="21"/>
      <c r="AC3125" s="21"/>
      <c r="AD3125" s="21"/>
      <c r="AE3125" s="21"/>
      <c r="AF3125" s="21"/>
      <c r="AG3125" s="21"/>
      <c r="AH3125" s="21">
        <v>5</v>
      </c>
      <c r="AI3125" s="21"/>
      <c r="AJ3125" s="21"/>
      <c r="AK3125" s="21"/>
      <c r="AL3125" s="21"/>
      <c r="AM3125" s="21">
        <v>5</v>
      </c>
      <c r="AN3125" s="21"/>
      <c r="AO3125" s="21"/>
      <c r="AP3125" s="21"/>
      <c r="AQ3125" s="21"/>
      <c r="AR3125" s="21"/>
      <c r="AS3125" s="21"/>
      <c r="AT3125" s="12" t="str">
        <f>HYPERLINK("http://www.openstreetmap.org/?mlat=32.9079&amp;mlon=45.0526&amp;zoom=12#map=12/32.9079/45.0526","Maplink1")</f>
        <v>Maplink1</v>
      </c>
      <c r="AU3125" s="12" t="str">
        <f>HYPERLINK("https://www.google.iq/maps/search/+32.9079,45.0526/@32.9079,45.0526,14z?hl=en","Maplink2")</f>
        <v>Maplink2</v>
      </c>
      <c r="AV3125" s="12" t="str">
        <f>HYPERLINK("http://www.bing.com/maps/?lvl=14&amp;sty=h&amp;cp=32.9079~45.0526&amp;sp=point.32.9079_45.0526","Maplink3")</f>
        <v>Maplink3</v>
      </c>
    </row>
    <row r="3126" spans="1:48" ht="15" customHeight="1" x14ac:dyDescent="0.25">
      <c r="A3126" s="19">
        <v>19442</v>
      </c>
      <c r="B3126" s="20" t="s">
        <v>26</v>
      </c>
      <c r="C3126" s="20" t="s">
        <v>5342</v>
      </c>
      <c r="D3126" s="20" t="s">
        <v>5373</v>
      </c>
      <c r="E3126" s="20" t="s">
        <v>5374</v>
      </c>
      <c r="F3126" s="20">
        <v>32.984265999999998</v>
      </c>
      <c r="G3126" s="20">
        <v>44.860331000000002</v>
      </c>
      <c r="H3126" s="22">
        <v>30</v>
      </c>
      <c r="I3126" s="22">
        <v>180</v>
      </c>
      <c r="J3126" s="21">
        <v>8</v>
      </c>
      <c r="K3126" s="21"/>
      <c r="L3126" s="21"/>
      <c r="M3126" s="21"/>
      <c r="N3126" s="21"/>
      <c r="O3126" s="21"/>
      <c r="P3126" s="21"/>
      <c r="Q3126" s="21"/>
      <c r="R3126" s="21">
        <v>10</v>
      </c>
      <c r="S3126" s="21"/>
      <c r="T3126" s="21"/>
      <c r="U3126" s="21"/>
      <c r="V3126" s="21"/>
      <c r="W3126" s="21"/>
      <c r="X3126" s="21">
        <v>12</v>
      </c>
      <c r="Y3126" s="21"/>
      <c r="Z3126" s="21"/>
      <c r="AA3126" s="21"/>
      <c r="AB3126" s="21"/>
      <c r="AC3126" s="21"/>
      <c r="AD3126" s="21"/>
      <c r="AE3126" s="21"/>
      <c r="AF3126" s="21"/>
      <c r="AG3126" s="21"/>
      <c r="AH3126" s="21">
        <v>30</v>
      </c>
      <c r="AI3126" s="21"/>
      <c r="AJ3126" s="21"/>
      <c r="AK3126" s="21"/>
      <c r="AL3126" s="21">
        <v>13</v>
      </c>
      <c r="AM3126" s="21"/>
      <c r="AN3126" s="21">
        <v>12</v>
      </c>
      <c r="AO3126" s="21"/>
      <c r="AP3126" s="21">
        <v>5</v>
      </c>
      <c r="AQ3126" s="21"/>
      <c r="AR3126" s="21"/>
      <c r="AS3126" s="21"/>
      <c r="AT3126" s="12" t="str">
        <f>HYPERLINK("http://www.openstreetmap.org/?mlat=32.9843&amp;mlon=44.8603&amp;zoom=12#map=12/32.9843/44.8603","Maplink1")</f>
        <v>Maplink1</v>
      </c>
      <c r="AU3126" s="12" t="str">
        <f>HYPERLINK("https://www.google.iq/maps/search/+32.9843,44.8603/@32.9843,44.8603,14z?hl=en","Maplink2")</f>
        <v>Maplink2</v>
      </c>
      <c r="AV3126" s="12" t="str">
        <f>HYPERLINK("http://www.bing.com/maps/?lvl=14&amp;sty=h&amp;cp=32.9843~44.8603&amp;sp=point.32.9843_44.8603","Maplink3")</f>
        <v>Maplink3</v>
      </c>
    </row>
    <row r="3127" spans="1:48" ht="15" customHeight="1" x14ac:dyDescent="0.25">
      <c r="A3127" s="19">
        <v>24967</v>
      </c>
      <c r="B3127" s="20" t="s">
        <v>26</v>
      </c>
      <c r="C3127" s="20" t="s">
        <v>5342</v>
      </c>
      <c r="D3127" s="20" t="s">
        <v>5375</v>
      </c>
      <c r="E3127" s="20" t="s">
        <v>5376</v>
      </c>
      <c r="F3127" s="20">
        <v>32.987223909999997</v>
      </c>
      <c r="G3127" s="20">
        <v>44.84393317</v>
      </c>
      <c r="H3127" s="22">
        <v>33</v>
      </c>
      <c r="I3127" s="22">
        <v>198</v>
      </c>
      <c r="J3127" s="21"/>
      <c r="K3127" s="21"/>
      <c r="L3127" s="21"/>
      <c r="M3127" s="21"/>
      <c r="N3127" s="21"/>
      <c r="O3127" s="21">
        <v>10</v>
      </c>
      <c r="P3127" s="21"/>
      <c r="Q3127" s="21"/>
      <c r="R3127" s="21"/>
      <c r="S3127" s="21"/>
      <c r="T3127" s="21"/>
      <c r="U3127" s="21"/>
      <c r="V3127" s="21">
        <v>10</v>
      </c>
      <c r="W3127" s="21"/>
      <c r="X3127" s="21">
        <v>13</v>
      </c>
      <c r="Y3127" s="21"/>
      <c r="Z3127" s="21"/>
      <c r="AA3127" s="21"/>
      <c r="AB3127" s="21"/>
      <c r="AC3127" s="21"/>
      <c r="AD3127" s="21"/>
      <c r="AE3127" s="21"/>
      <c r="AF3127" s="21"/>
      <c r="AG3127" s="21"/>
      <c r="AH3127" s="21">
        <v>24</v>
      </c>
      <c r="AI3127" s="21"/>
      <c r="AJ3127" s="21">
        <v>9</v>
      </c>
      <c r="AK3127" s="21"/>
      <c r="AL3127" s="21"/>
      <c r="AM3127" s="21">
        <v>10</v>
      </c>
      <c r="AN3127" s="21">
        <v>23</v>
      </c>
      <c r="AO3127" s="21"/>
      <c r="AP3127" s="21"/>
      <c r="AQ3127" s="21"/>
      <c r="AR3127" s="21"/>
      <c r="AS3127" s="21"/>
      <c r="AT3127" s="12" t="str">
        <f>HYPERLINK("http://www.openstreetmap.org/?mlat=32.9872&amp;mlon=44.8439&amp;zoom=12#map=12/32.9872/44.8439","Maplink1")</f>
        <v>Maplink1</v>
      </c>
      <c r="AU3127" s="12" t="str">
        <f>HYPERLINK("https://www.google.iq/maps/search/+32.9872,44.8439/@32.9872,44.8439,14z?hl=en","Maplink2")</f>
        <v>Maplink2</v>
      </c>
      <c r="AV3127" s="12" t="str">
        <f>HYPERLINK("http://www.bing.com/maps/?lvl=14&amp;sty=h&amp;cp=32.9872~44.8439&amp;sp=point.32.9872_44.8439","Maplink3")</f>
        <v>Maplink3</v>
      </c>
    </row>
    <row r="3128" spans="1:48" ht="15" customHeight="1" x14ac:dyDescent="0.25">
      <c r="A3128" s="19">
        <v>19464</v>
      </c>
      <c r="B3128" s="20" t="s">
        <v>26</v>
      </c>
      <c r="C3128" s="20" t="s">
        <v>5342</v>
      </c>
      <c r="D3128" s="20" t="s">
        <v>5377</v>
      </c>
      <c r="E3128" s="20" t="s">
        <v>5378</v>
      </c>
      <c r="F3128" s="20">
        <v>32.94403801</v>
      </c>
      <c r="G3128" s="20">
        <v>44.93389895</v>
      </c>
      <c r="H3128" s="22">
        <v>14</v>
      </c>
      <c r="I3128" s="22">
        <v>84</v>
      </c>
      <c r="J3128" s="21"/>
      <c r="K3128" s="21"/>
      <c r="L3128" s="21"/>
      <c r="M3128" s="21"/>
      <c r="N3128" s="21"/>
      <c r="O3128" s="21"/>
      <c r="P3128" s="21"/>
      <c r="Q3128" s="21"/>
      <c r="R3128" s="21"/>
      <c r="S3128" s="21"/>
      <c r="T3128" s="21"/>
      <c r="U3128" s="21"/>
      <c r="V3128" s="21">
        <v>13</v>
      </c>
      <c r="W3128" s="21"/>
      <c r="X3128" s="21">
        <v>1</v>
      </c>
      <c r="Y3128" s="21"/>
      <c r="Z3128" s="21"/>
      <c r="AA3128" s="21"/>
      <c r="AB3128" s="21"/>
      <c r="AC3128" s="21">
        <v>14</v>
      </c>
      <c r="AD3128" s="21"/>
      <c r="AE3128" s="21"/>
      <c r="AF3128" s="21"/>
      <c r="AG3128" s="21"/>
      <c r="AH3128" s="21"/>
      <c r="AI3128" s="21"/>
      <c r="AJ3128" s="21"/>
      <c r="AK3128" s="21"/>
      <c r="AL3128" s="21"/>
      <c r="AM3128" s="21">
        <v>14</v>
      </c>
      <c r="AN3128" s="21"/>
      <c r="AO3128" s="21"/>
      <c r="AP3128" s="21"/>
      <c r="AQ3128" s="21"/>
      <c r="AR3128" s="21"/>
      <c r="AS3128" s="21"/>
      <c r="AT3128" s="12" t="str">
        <f>HYPERLINK("http://www.openstreetmap.org/?mlat=32.944&amp;mlon=44.9339&amp;zoom=12#map=12/32.944/44.9339","Maplink1")</f>
        <v>Maplink1</v>
      </c>
      <c r="AU3128" s="12" t="str">
        <f>HYPERLINK("https://www.google.iq/maps/search/+32.944,44.9339/@32.944,44.9339,14z?hl=en","Maplink2")</f>
        <v>Maplink2</v>
      </c>
      <c r="AV3128" s="12" t="str">
        <f>HYPERLINK("http://www.bing.com/maps/?lvl=14&amp;sty=h&amp;cp=32.944~44.9339&amp;sp=point.32.944_44.9339","Maplink3")</f>
        <v>Maplink3</v>
      </c>
    </row>
    <row r="3129" spans="1:48" ht="15" customHeight="1" x14ac:dyDescent="0.25">
      <c r="A3129" s="19">
        <v>19509</v>
      </c>
      <c r="B3129" s="20" t="s">
        <v>26</v>
      </c>
      <c r="C3129" s="20" t="s">
        <v>5379</v>
      </c>
      <c r="D3129" s="20" t="s">
        <v>5380</v>
      </c>
      <c r="E3129" s="20" t="s">
        <v>5381</v>
      </c>
      <c r="F3129" s="20">
        <v>32.124803550000003</v>
      </c>
      <c r="G3129" s="20">
        <v>46.11565719</v>
      </c>
      <c r="H3129" s="22">
        <v>5</v>
      </c>
      <c r="I3129" s="22">
        <v>30</v>
      </c>
      <c r="J3129" s="21"/>
      <c r="K3129" s="21"/>
      <c r="L3129" s="21"/>
      <c r="M3129" s="21"/>
      <c r="N3129" s="21"/>
      <c r="O3129" s="21"/>
      <c r="P3129" s="21"/>
      <c r="Q3129" s="21"/>
      <c r="R3129" s="21"/>
      <c r="S3129" s="21"/>
      <c r="T3129" s="21"/>
      <c r="U3129" s="21"/>
      <c r="V3129" s="21">
        <v>5</v>
      </c>
      <c r="W3129" s="21"/>
      <c r="X3129" s="21"/>
      <c r="Y3129" s="21"/>
      <c r="Z3129" s="21"/>
      <c r="AA3129" s="21"/>
      <c r="AB3129" s="21"/>
      <c r="AC3129" s="21"/>
      <c r="AD3129" s="21"/>
      <c r="AE3129" s="21"/>
      <c r="AF3129" s="21"/>
      <c r="AG3129" s="21"/>
      <c r="AH3129" s="21">
        <v>5</v>
      </c>
      <c r="AI3129" s="21"/>
      <c r="AJ3129" s="21"/>
      <c r="AK3129" s="21"/>
      <c r="AL3129" s="21"/>
      <c r="AM3129" s="21"/>
      <c r="AN3129" s="21"/>
      <c r="AO3129" s="21">
        <v>5</v>
      </c>
      <c r="AP3129" s="21"/>
      <c r="AQ3129" s="21"/>
      <c r="AR3129" s="21"/>
      <c r="AS3129" s="21"/>
      <c r="AT3129" s="12" t="str">
        <f>HYPERLINK("http://www.openstreetmap.org/?mlat=32.1248&amp;mlon=46.1157&amp;zoom=12#map=12/32.1248/46.1157","Maplink1")</f>
        <v>Maplink1</v>
      </c>
      <c r="AU3129" s="12" t="str">
        <f>HYPERLINK("https://www.google.iq/maps/search/+32.1248,46.1157/@32.1248,46.1157,14z?hl=en","Maplink2")</f>
        <v>Maplink2</v>
      </c>
      <c r="AV3129" s="12" t="str">
        <f>HYPERLINK("http://www.bing.com/maps/?lvl=14&amp;sty=h&amp;cp=32.1248~46.1157&amp;sp=point.32.1248_46.1157","Maplink3")</f>
        <v>Maplink3</v>
      </c>
    </row>
    <row r="3130" spans="1:48" ht="15" customHeight="1" x14ac:dyDescent="0.25">
      <c r="A3130" s="19">
        <v>18593</v>
      </c>
      <c r="B3130" s="20" t="s">
        <v>26</v>
      </c>
      <c r="C3130" s="20" t="s">
        <v>5379</v>
      </c>
      <c r="D3130" s="20" t="s">
        <v>5382</v>
      </c>
      <c r="E3130" s="20" t="s">
        <v>5383</v>
      </c>
      <c r="F3130" s="20">
        <v>32.267585060000002</v>
      </c>
      <c r="G3130" s="20">
        <v>45.929795489999997</v>
      </c>
      <c r="H3130" s="22">
        <v>8</v>
      </c>
      <c r="I3130" s="22">
        <v>48</v>
      </c>
      <c r="J3130" s="21"/>
      <c r="K3130" s="21"/>
      <c r="L3130" s="21"/>
      <c r="M3130" s="21"/>
      <c r="N3130" s="21"/>
      <c r="O3130" s="21"/>
      <c r="P3130" s="21"/>
      <c r="Q3130" s="21"/>
      <c r="R3130" s="21"/>
      <c r="S3130" s="21"/>
      <c r="T3130" s="21"/>
      <c r="U3130" s="21"/>
      <c r="V3130" s="21">
        <v>8</v>
      </c>
      <c r="W3130" s="21"/>
      <c r="X3130" s="21"/>
      <c r="Y3130" s="21"/>
      <c r="Z3130" s="21"/>
      <c r="AA3130" s="21"/>
      <c r="AB3130" s="21"/>
      <c r="AC3130" s="21"/>
      <c r="AD3130" s="21"/>
      <c r="AE3130" s="21"/>
      <c r="AF3130" s="21"/>
      <c r="AG3130" s="21"/>
      <c r="AH3130" s="21"/>
      <c r="AI3130" s="21"/>
      <c r="AJ3130" s="21">
        <v>8</v>
      </c>
      <c r="AK3130" s="21"/>
      <c r="AL3130" s="21"/>
      <c r="AM3130" s="21">
        <v>8</v>
      </c>
      <c r="AN3130" s="21"/>
      <c r="AO3130" s="21"/>
      <c r="AP3130" s="21"/>
      <c r="AQ3130" s="21"/>
      <c r="AR3130" s="21"/>
      <c r="AS3130" s="21"/>
      <c r="AT3130" s="12" t="str">
        <f>HYPERLINK("http://www.openstreetmap.org/?mlat=32.2676&amp;mlon=45.9298&amp;zoom=12#map=12/32.2676/45.9298","Maplink1")</f>
        <v>Maplink1</v>
      </c>
      <c r="AU3130" s="12" t="str">
        <f>HYPERLINK("https://www.google.iq/maps/search/+32.2676,45.9298/@32.2676,45.9298,14z?hl=en","Maplink2")</f>
        <v>Maplink2</v>
      </c>
      <c r="AV3130" s="12" t="str">
        <f>HYPERLINK("http://www.bing.com/maps/?lvl=14&amp;sty=h&amp;cp=32.2676~45.9298&amp;sp=point.32.2676_45.9298","Maplink3")</f>
        <v>Maplink3</v>
      </c>
    </row>
    <row r="3131" spans="1:48" ht="15" customHeight="1" x14ac:dyDescent="0.25">
      <c r="A3131" s="19">
        <v>25579</v>
      </c>
      <c r="B3131" s="20" t="s">
        <v>26</v>
      </c>
      <c r="C3131" s="20" t="s">
        <v>5379</v>
      </c>
      <c r="D3131" s="20" t="s">
        <v>5384</v>
      </c>
      <c r="E3131" s="20" t="s">
        <v>5385</v>
      </c>
      <c r="F3131" s="20">
        <v>32.183897889999997</v>
      </c>
      <c r="G3131" s="20">
        <v>46.038032559999998</v>
      </c>
      <c r="H3131" s="22">
        <v>3</v>
      </c>
      <c r="I3131" s="22">
        <v>18</v>
      </c>
      <c r="J3131" s="21"/>
      <c r="K3131" s="21"/>
      <c r="L3131" s="21"/>
      <c r="M3131" s="21"/>
      <c r="N3131" s="21"/>
      <c r="O3131" s="21"/>
      <c r="P3131" s="21"/>
      <c r="Q3131" s="21"/>
      <c r="R3131" s="21"/>
      <c r="S3131" s="21"/>
      <c r="T3131" s="21"/>
      <c r="U3131" s="21"/>
      <c r="V3131" s="21"/>
      <c r="W3131" s="21"/>
      <c r="X3131" s="21">
        <v>3</v>
      </c>
      <c r="Y3131" s="21"/>
      <c r="Z3131" s="21"/>
      <c r="AA3131" s="21"/>
      <c r="AB3131" s="21"/>
      <c r="AC3131" s="21">
        <v>3</v>
      </c>
      <c r="AD3131" s="21"/>
      <c r="AE3131" s="21"/>
      <c r="AF3131" s="21"/>
      <c r="AG3131" s="21"/>
      <c r="AH3131" s="21"/>
      <c r="AI3131" s="21"/>
      <c r="AJ3131" s="21"/>
      <c r="AK3131" s="21"/>
      <c r="AL3131" s="21"/>
      <c r="AM3131" s="21"/>
      <c r="AN3131" s="21">
        <v>3</v>
      </c>
      <c r="AO3131" s="21"/>
      <c r="AP3131" s="21"/>
      <c r="AQ3131" s="21"/>
      <c r="AR3131" s="21"/>
      <c r="AS3131" s="21"/>
      <c r="AT3131" s="12" t="str">
        <f>HYPERLINK("http://www.openstreetmap.org/?mlat=32.1839&amp;mlon=46.038&amp;zoom=12#map=12/32.1839/46.038","Maplink1")</f>
        <v>Maplink1</v>
      </c>
      <c r="AU3131" s="12" t="str">
        <f>HYPERLINK("https://www.google.iq/maps/search/+32.1839,46.038/@32.1839,46.038,14z?hl=en","Maplink2")</f>
        <v>Maplink2</v>
      </c>
      <c r="AV3131" s="12" t="str">
        <f>HYPERLINK("http://www.bing.com/maps/?lvl=14&amp;sty=h&amp;cp=32.1839~46.038&amp;sp=point.32.1839_46.038","Maplink3")</f>
        <v>Maplink3</v>
      </c>
    </row>
    <row r="3132" spans="1:48" ht="15" customHeight="1" x14ac:dyDescent="0.25">
      <c r="A3132" s="19">
        <v>25580</v>
      </c>
      <c r="B3132" s="20" t="s">
        <v>26</v>
      </c>
      <c r="C3132" s="20" t="s">
        <v>5379</v>
      </c>
      <c r="D3132" s="20" t="s">
        <v>5386</v>
      </c>
      <c r="E3132" s="20" t="s">
        <v>5387</v>
      </c>
      <c r="F3132" s="20">
        <v>32.187507029999999</v>
      </c>
      <c r="G3132" s="20">
        <v>46.036499139999997</v>
      </c>
      <c r="H3132" s="22">
        <v>11</v>
      </c>
      <c r="I3132" s="22">
        <v>66</v>
      </c>
      <c r="J3132" s="21"/>
      <c r="K3132" s="21"/>
      <c r="L3132" s="21"/>
      <c r="M3132" s="21"/>
      <c r="N3132" s="21"/>
      <c r="O3132" s="21"/>
      <c r="P3132" s="21"/>
      <c r="Q3132" s="21"/>
      <c r="R3132" s="21"/>
      <c r="S3132" s="21"/>
      <c r="T3132" s="21"/>
      <c r="U3132" s="21"/>
      <c r="V3132" s="21">
        <v>11</v>
      </c>
      <c r="W3132" s="21"/>
      <c r="X3132" s="21"/>
      <c r="Y3132" s="21"/>
      <c r="Z3132" s="21"/>
      <c r="AA3132" s="21"/>
      <c r="AB3132" s="21"/>
      <c r="AC3132" s="21"/>
      <c r="AD3132" s="21"/>
      <c r="AE3132" s="21"/>
      <c r="AF3132" s="21"/>
      <c r="AG3132" s="21"/>
      <c r="AH3132" s="21">
        <v>11</v>
      </c>
      <c r="AI3132" s="21"/>
      <c r="AJ3132" s="21"/>
      <c r="AK3132" s="21"/>
      <c r="AL3132" s="21"/>
      <c r="AM3132" s="21">
        <v>11</v>
      </c>
      <c r="AN3132" s="21"/>
      <c r="AO3132" s="21"/>
      <c r="AP3132" s="21"/>
      <c r="AQ3132" s="21"/>
      <c r="AR3132" s="21"/>
      <c r="AS3132" s="21"/>
      <c r="AT3132" s="12" t="str">
        <f>HYPERLINK("http://www.openstreetmap.org/?mlat=32.1875&amp;mlon=46.0365&amp;zoom=12#map=12/32.1875/46.0365","Maplink1")</f>
        <v>Maplink1</v>
      </c>
      <c r="AU3132" s="12" t="str">
        <f>HYPERLINK("https://www.google.iq/maps/search/+32.1875,46.0365/@32.1875,46.0365,14z?hl=en","Maplink2")</f>
        <v>Maplink2</v>
      </c>
      <c r="AV3132" s="12" t="str">
        <f>HYPERLINK("http://www.bing.com/maps/?lvl=14&amp;sty=h&amp;cp=32.1875~46.0365&amp;sp=point.32.1875_46.0365","Maplink3")</f>
        <v>Maplink3</v>
      </c>
    </row>
    <row r="3133" spans="1:48" ht="15" customHeight="1" x14ac:dyDescent="0.25">
      <c r="A3133" s="19">
        <v>18733</v>
      </c>
      <c r="B3133" s="20" t="s">
        <v>26</v>
      </c>
      <c r="C3133" s="20" t="s">
        <v>5379</v>
      </c>
      <c r="D3133" s="20" t="s">
        <v>5388</v>
      </c>
      <c r="E3133" s="20" t="s">
        <v>2262</v>
      </c>
      <c r="F3133" s="20">
        <v>32.17625615</v>
      </c>
      <c r="G3133" s="20">
        <v>46.04803021</v>
      </c>
      <c r="H3133" s="22">
        <v>14</v>
      </c>
      <c r="I3133" s="22">
        <v>84</v>
      </c>
      <c r="J3133" s="21"/>
      <c r="K3133" s="21"/>
      <c r="L3133" s="21"/>
      <c r="M3133" s="21"/>
      <c r="N3133" s="21"/>
      <c r="O3133" s="21"/>
      <c r="P3133" s="21"/>
      <c r="Q3133" s="21"/>
      <c r="R3133" s="21"/>
      <c r="S3133" s="21"/>
      <c r="T3133" s="21"/>
      <c r="U3133" s="21"/>
      <c r="V3133" s="21">
        <v>14</v>
      </c>
      <c r="W3133" s="21"/>
      <c r="X3133" s="21"/>
      <c r="Y3133" s="21"/>
      <c r="Z3133" s="21"/>
      <c r="AA3133" s="21"/>
      <c r="AB3133" s="21"/>
      <c r="AC3133" s="21">
        <v>14</v>
      </c>
      <c r="AD3133" s="21"/>
      <c r="AE3133" s="21"/>
      <c r="AF3133" s="21"/>
      <c r="AG3133" s="21"/>
      <c r="AH3133" s="21"/>
      <c r="AI3133" s="21"/>
      <c r="AJ3133" s="21"/>
      <c r="AK3133" s="21"/>
      <c r="AL3133" s="21"/>
      <c r="AM3133" s="21">
        <v>14</v>
      </c>
      <c r="AN3133" s="21"/>
      <c r="AO3133" s="21"/>
      <c r="AP3133" s="21"/>
      <c r="AQ3133" s="21"/>
      <c r="AR3133" s="21"/>
      <c r="AS3133" s="21"/>
      <c r="AT3133" s="12" t="str">
        <f>HYPERLINK("http://www.openstreetmap.org/?mlat=32.1763&amp;mlon=46.048&amp;zoom=12#map=12/32.1763/46.048","Maplink1")</f>
        <v>Maplink1</v>
      </c>
      <c r="AU3133" s="12" t="str">
        <f>HYPERLINK("https://www.google.iq/maps/search/+32.1763,46.048/@32.1763,46.048,14z?hl=en","Maplink2")</f>
        <v>Maplink2</v>
      </c>
      <c r="AV3133" s="12" t="str">
        <f>HYPERLINK("http://www.bing.com/maps/?lvl=14&amp;sty=h&amp;cp=32.1763~46.048&amp;sp=point.32.1763_46.048","Maplink3")</f>
        <v>Maplink3</v>
      </c>
    </row>
    <row r="3134" spans="1:48" ht="15" customHeight="1" x14ac:dyDescent="0.25">
      <c r="A3134" s="19">
        <v>25576</v>
      </c>
      <c r="B3134" s="20" t="s">
        <v>26</v>
      </c>
      <c r="C3134" s="20" t="s">
        <v>5379</v>
      </c>
      <c r="D3134" s="20" t="s">
        <v>5389</v>
      </c>
      <c r="E3134" s="20" t="s">
        <v>5390</v>
      </c>
      <c r="F3134" s="20">
        <v>32.177925860000002</v>
      </c>
      <c r="G3134" s="20">
        <v>46.043206470000001</v>
      </c>
      <c r="H3134" s="22">
        <v>4</v>
      </c>
      <c r="I3134" s="22">
        <v>24</v>
      </c>
      <c r="J3134" s="21"/>
      <c r="K3134" s="21"/>
      <c r="L3134" s="21"/>
      <c r="M3134" s="21"/>
      <c r="N3134" s="21"/>
      <c r="O3134" s="21"/>
      <c r="P3134" s="21"/>
      <c r="Q3134" s="21"/>
      <c r="R3134" s="21"/>
      <c r="S3134" s="21"/>
      <c r="T3134" s="21"/>
      <c r="U3134" s="21"/>
      <c r="V3134" s="21">
        <v>4</v>
      </c>
      <c r="W3134" s="21"/>
      <c r="X3134" s="21"/>
      <c r="Y3134" s="21"/>
      <c r="Z3134" s="21"/>
      <c r="AA3134" s="21"/>
      <c r="AB3134" s="21"/>
      <c r="AC3134" s="21">
        <v>4</v>
      </c>
      <c r="AD3134" s="21"/>
      <c r="AE3134" s="21"/>
      <c r="AF3134" s="21"/>
      <c r="AG3134" s="21"/>
      <c r="AH3134" s="21"/>
      <c r="AI3134" s="21"/>
      <c r="AJ3134" s="21"/>
      <c r="AK3134" s="21"/>
      <c r="AL3134" s="21"/>
      <c r="AM3134" s="21">
        <v>4</v>
      </c>
      <c r="AN3134" s="21"/>
      <c r="AO3134" s="21"/>
      <c r="AP3134" s="21"/>
      <c r="AQ3134" s="21"/>
      <c r="AR3134" s="21"/>
      <c r="AS3134" s="21"/>
      <c r="AT3134" s="12" t="str">
        <f>HYPERLINK("http://www.openstreetmap.org/?mlat=32.1779&amp;mlon=46.0432&amp;zoom=12#map=12/32.1779/46.0432","Maplink1")</f>
        <v>Maplink1</v>
      </c>
      <c r="AU3134" s="12" t="str">
        <f>HYPERLINK("https://www.google.iq/maps/search/+32.1779,46.0432/@32.1779,46.0432,14z?hl=en","Maplink2")</f>
        <v>Maplink2</v>
      </c>
      <c r="AV3134" s="12" t="str">
        <f>HYPERLINK("http://www.bing.com/maps/?lvl=14&amp;sty=h&amp;cp=32.1779~46.0432&amp;sp=point.32.1779_46.0432","Maplink3")</f>
        <v>Maplink3</v>
      </c>
    </row>
    <row r="3135" spans="1:48" ht="15" customHeight="1" x14ac:dyDescent="0.25">
      <c r="A3135" s="19">
        <v>25583</v>
      </c>
      <c r="B3135" s="20" t="s">
        <v>26</v>
      </c>
      <c r="C3135" s="20" t="s">
        <v>5379</v>
      </c>
      <c r="D3135" s="20" t="s">
        <v>5391</v>
      </c>
      <c r="E3135" s="20" t="s">
        <v>1418</v>
      </c>
      <c r="F3135" s="20">
        <v>32.170436930000001</v>
      </c>
      <c r="G3135" s="20">
        <v>46.050901830000001</v>
      </c>
      <c r="H3135" s="22">
        <v>4</v>
      </c>
      <c r="I3135" s="22">
        <v>24</v>
      </c>
      <c r="J3135" s="21"/>
      <c r="K3135" s="21"/>
      <c r="L3135" s="21"/>
      <c r="M3135" s="21"/>
      <c r="N3135" s="21"/>
      <c r="O3135" s="21"/>
      <c r="P3135" s="21"/>
      <c r="Q3135" s="21"/>
      <c r="R3135" s="21"/>
      <c r="S3135" s="21"/>
      <c r="T3135" s="21"/>
      <c r="U3135" s="21"/>
      <c r="V3135" s="21">
        <v>4</v>
      </c>
      <c r="W3135" s="21"/>
      <c r="X3135" s="21"/>
      <c r="Y3135" s="21"/>
      <c r="Z3135" s="21"/>
      <c r="AA3135" s="21"/>
      <c r="AB3135" s="21"/>
      <c r="AC3135" s="21">
        <v>4</v>
      </c>
      <c r="AD3135" s="21"/>
      <c r="AE3135" s="21"/>
      <c r="AF3135" s="21"/>
      <c r="AG3135" s="21"/>
      <c r="AH3135" s="21"/>
      <c r="AI3135" s="21"/>
      <c r="AJ3135" s="21"/>
      <c r="AK3135" s="21"/>
      <c r="AL3135" s="21"/>
      <c r="AM3135" s="21">
        <v>4</v>
      </c>
      <c r="AN3135" s="21"/>
      <c r="AO3135" s="21"/>
      <c r="AP3135" s="21"/>
      <c r="AQ3135" s="21"/>
      <c r="AR3135" s="21"/>
      <c r="AS3135" s="21"/>
      <c r="AT3135" s="12" t="str">
        <f>HYPERLINK("http://www.openstreetmap.org/?mlat=32.1704&amp;mlon=46.0509&amp;zoom=12#map=12/32.1704/46.0509","Maplink1")</f>
        <v>Maplink1</v>
      </c>
      <c r="AU3135" s="12" t="str">
        <f>HYPERLINK("https://www.google.iq/maps/search/+32.1704,46.0509/@32.1704,46.0509,14z?hl=en","Maplink2")</f>
        <v>Maplink2</v>
      </c>
      <c r="AV3135" s="12" t="str">
        <f>HYPERLINK("http://www.bing.com/maps/?lvl=14&amp;sty=h&amp;cp=32.1704~46.0509&amp;sp=point.32.1704_46.0509","Maplink3")</f>
        <v>Maplink3</v>
      </c>
    </row>
    <row r="3136" spans="1:48" ht="15" customHeight="1" x14ac:dyDescent="0.25">
      <c r="A3136" s="19">
        <v>18718</v>
      </c>
      <c r="B3136" s="20" t="s">
        <v>26</v>
      </c>
      <c r="C3136" s="20" t="s">
        <v>5379</v>
      </c>
      <c r="D3136" s="20" t="s">
        <v>5392</v>
      </c>
      <c r="E3136" s="20" t="s">
        <v>5393</v>
      </c>
      <c r="F3136" s="20">
        <v>32.126534419499997</v>
      </c>
      <c r="G3136" s="20">
        <v>46.113875889100001</v>
      </c>
      <c r="H3136" s="22">
        <v>4</v>
      </c>
      <c r="I3136" s="22">
        <v>24</v>
      </c>
      <c r="J3136" s="21"/>
      <c r="K3136" s="21"/>
      <c r="L3136" s="21"/>
      <c r="M3136" s="21"/>
      <c r="N3136" s="21"/>
      <c r="O3136" s="21"/>
      <c r="P3136" s="21"/>
      <c r="Q3136" s="21"/>
      <c r="R3136" s="21"/>
      <c r="S3136" s="21"/>
      <c r="T3136" s="21"/>
      <c r="U3136" s="21"/>
      <c r="V3136" s="21">
        <v>4</v>
      </c>
      <c r="W3136" s="21"/>
      <c r="X3136" s="21"/>
      <c r="Y3136" s="21"/>
      <c r="Z3136" s="21"/>
      <c r="AA3136" s="21"/>
      <c r="AB3136" s="21"/>
      <c r="AC3136" s="21">
        <v>4</v>
      </c>
      <c r="AD3136" s="21"/>
      <c r="AE3136" s="21"/>
      <c r="AF3136" s="21"/>
      <c r="AG3136" s="21"/>
      <c r="AH3136" s="21"/>
      <c r="AI3136" s="21"/>
      <c r="AJ3136" s="21"/>
      <c r="AK3136" s="21"/>
      <c r="AL3136" s="21"/>
      <c r="AM3136" s="21">
        <v>4</v>
      </c>
      <c r="AN3136" s="21"/>
      <c r="AO3136" s="21"/>
      <c r="AP3136" s="21"/>
      <c r="AQ3136" s="21"/>
      <c r="AR3136" s="21"/>
      <c r="AS3136" s="21"/>
      <c r="AT3136" s="12" t="str">
        <f>HYPERLINK("http://www.openstreetmap.org/?mlat=32.1265&amp;mlon=46.1139&amp;zoom=12#map=12/32.1265/46.1139","Maplink1")</f>
        <v>Maplink1</v>
      </c>
      <c r="AU3136" s="12" t="str">
        <f>HYPERLINK("https://www.google.iq/maps/search/+32.1265,46.1139/@32.1265,46.1139,14z?hl=en","Maplink2")</f>
        <v>Maplink2</v>
      </c>
      <c r="AV3136" s="12" t="str">
        <f>HYPERLINK("http://www.bing.com/maps/?lvl=14&amp;sty=h&amp;cp=32.1265~46.1139&amp;sp=point.32.1265_46.1139","Maplink3")</f>
        <v>Maplink3</v>
      </c>
    </row>
    <row r="3137" spans="1:48" ht="15" customHeight="1" x14ac:dyDescent="0.25">
      <c r="A3137" s="19">
        <v>24875</v>
      </c>
      <c r="B3137" s="20" t="s">
        <v>26</v>
      </c>
      <c r="C3137" s="20" t="s">
        <v>5379</v>
      </c>
      <c r="D3137" s="20" t="s">
        <v>5364</v>
      </c>
      <c r="E3137" s="20" t="s">
        <v>5365</v>
      </c>
      <c r="F3137" s="20">
        <v>32.1711294236</v>
      </c>
      <c r="G3137" s="20">
        <v>46.046239538899997</v>
      </c>
      <c r="H3137" s="22">
        <v>10</v>
      </c>
      <c r="I3137" s="22">
        <v>60</v>
      </c>
      <c r="J3137" s="21"/>
      <c r="K3137" s="21"/>
      <c r="L3137" s="21"/>
      <c r="M3137" s="21"/>
      <c r="N3137" s="21"/>
      <c r="O3137" s="21"/>
      <c r="P3137" s="21"/>
      <c r="Q3137" s="21"/>
      <c r="R3137" s="21"/>
      <c r="S3137" s="21"/>
      <c r="T3137" s="21"/>
      <c r="U3137" s="21"/>
      <c r="V3137" s="21">
        <v>10</v>
      </c>
      <c r="W3137" s="21"/>
      <c r="X3137" s="21"/>
      <c r="Y3137" s="21"/>
      <c r="Z3137" s="21"/>
      <c r="AA3137" s="21"/>
      <c r="AB3137" s="21"/>
      <c r="AC3137" s="21"/>
      <c r="AD3137" s="21"/>
      <c r="AE3137" s="21"/>
      <c r="AF3137" s="21"/>
      <c r="AG3137" s="21"/>
      <c r="AH3137" s="21">
        <v>10</v>
      </c>
      <c r="AI3137" s="21"/>
      <c r="AJ3137" s="21"/>
      <c r="AK3137" s="21"/>
      <c r="AL3137" s="21"/>
      <c r="AM3137" s="21">
        <v>10</v>
      </c>
      <c r="AN3137" s="21"/>
      <c r="AO3137" s="21"/>
      <c r="AP3137" s="21"/>
      <c r="AQ3137" s="21"/>
      <c r="AR3137" s="21"/>
      <c r="AS3137" s="21"/>
      <c r="AT3137" s="12" t="str">
        <f>HYPERLINK("http://www.openstreetmap.org/?mlat=32.1711&amp;mlon=46.0462&amp;zoom=12#map=12/32.1711/46.0462","Maplink1")</f>
        <v>Maplink1</v>
      </c>
      <c r="AU3137" s="12" t="str">
        <f>HYPERLINK("https://www.google.iq/maps/search/+32.1711,46.0462/@32.1711,46.0462,14z?hl=en","Maplink2")</f>
        <v>Maplink2</v>
      </c>
      <c r="AV3137" s="12" t="str">
        <f>HYPERLINK("http://www.bing.com/maps/?lvl=14&amp;sty=h&amp;cp=32.1711~46.0462&amp;sp=point.32.1711_46.0462","Maplink3")</f>
        <v>Maplink3</v>
      </c>
    </row>
    <row r="3138" spans="1:48" ht="15" customHeight="1" x14ac:dyDescent="0.25">
      <c r="A3138" s="19">
        <v>24876</v>
      </c>
      <c r="B3138" s="20" t="s">
        <v>26</v>
      </c>
      <c r="C3138" s="20" t="s">
        <v>5379</v>
      </c>
      <c r="D3138" s="20" t="s">
        <v>3343</v>
      </c>
      <c r="E3138" s="20" t="s">
        <v>365</v>
      </c>
      <c r="F3138" s="20">
        <v>32.2676485629</v>
      </c>
      <c r="G3138" s="20">
        <v>45.922245011800001</v>
      </c>
      <c r="H3138" s="22">
        <v>9</v>
      </c>
      <c r="I3138" s="22">
        <v>54</v>
      </c>
      <c r="J3138" s="21"/>
      <c r="K3138" s="21"/>
      <c r="L3138" s="21"/>
      <c r="M3138" s="21"/>
      <c r="N3138" s="21"/>
      <c r="O3138" s="21"/>
      <c r="P3138" s="21"/>
      <c r="Q3138" s="21"/>
      <c r="R3138" s="21"/>
      <c r="S3138" s="21"/>
      <c r="T3138" s="21"/>
      <c r="U3138" s="21"/>
      <c r="V3138" s="21">
        <v>9</v>
      </c>
      <c r="W3138" s="21"/>
      <c r="X3138" s="21"/>
      <c r="Y3138" s="21"/>
      <c r="Z3138" s="21"/>
      <c r="AA3138" s="21"/>
      <c r="AB3138" s="21"/>
      <c r="AC3138" s="21"/>
      <c r="AD3138" s="21"/>
      <c r="AE3138" s="21"/>
      <c r="AF3138" s="21"/>
      <c r="AG3138" s="21"/>
      <c r="AH3138" s="21">
        <v>9</v>
      </c>
      <c r="AI3138" s="21"/>
      <c r="AJ3138" s="21"/>
      <c r="AK3138" s="21"/>
      <c r="AL3138" s="21"/>
      <c r="AM3138" s="21">
        <v>9</v>
      </c>
      <c r="AN3138" s="21"/>
      <c r="AO3138" s="21"/>
      <c r="AP3138" s="21"/>
      <c r="AQ3138" s="21"/>
      <c r="AR3138" s="21"/>
      <c r="AS3138" s="21"/>
      <c r="AT3138" s="12" t="str">
        <f>HYPERLINK("http://www.openstreetmap.org/?mlat=32.2676&amp;mlon=45.9222&amp;zoom=12#map=12/32.2676/45.9222","Maplink1")</f>
        <v>Maplink1</v>
      </c>
      <c r="AU3138" s="12" t="str">
        <f>HYPERLINK("https://www.google.iq/maps/search/+32.2676,45.9222/@32.2676,45.9222,14z?hl=en","Maplink2")</f>
        <v>Maplink2</v>
      </c>
      <c r="AV3138" s="12" t="str">
        <f>HYPERLINK("http://www.bing.com/maps/?lvl=14&amp;sty=h&amp;cp=32.2676~45.9222&amp;sp=point.32.2676_45.9222","Maplink3")</f>
        <v>Maplink3</v>
      </c>
    </row>
    <row r="3139" spans="1:48" ht="15" customHeight="1" x14ac:dyDescent="0.25">
      <c r="A3139" s="19">
        <v>25584</v>
      </c>
      <c r="B3139" s="20" t="s">
        <v>26</v>
      </c>
      <c r="C3139" s="20" t="s">
        <v>5379</v>
      </c>
      <c r="D3139" s="20" t="s">
        <v>5394</v>
      </c>
      <c r="E3139" s="20" t="s">
        <v>5395</v>
      </c>
      <c r="F3139" s="20">
        <v>32.163152870799998</v>
      </c>
      <c r="G3139" s="20">
        <v>46.045766817900002</v>
      </c>
      <c r="H3139" s="22">
        <v>5</v>
      </c>
      <c r="I3139" s="22">
        <v>30</v>
      </c>
      <c r="J3139" s="21"/>
      <c r="K3139" s="21"/>
      <c r="L3139" s="21"/>
      <c r="M3139" s="21"/>
      <c r="N3139" s="21"/>
      <c r="O3139" s="21"/>
      <c r="P3139" s="21"/>
      <c r="Q3139" s="21"/>
      <c r="R3139" s="21"/>
      <c r="S3139" s="21"/>
      <c r="T3139" s="21"/>
      <c r="U3139" s="21"/>
      <c r="V3139" s="21">
        <v>5</v>
      </c>
      <c r="W3139" s="21"/>
      <c r="X3139" s="21"/>
      <c r="Y3139" s="21"/>
      <c r="Z3139" s="21"/>
      <c r="AA3139" s="21"/>
      <c r="AB3139" s="21"/>
      <c r="AC3139" s="21"/>
      <c r="AD3139" s="21"/>
      <c r="AE3139" s="21"/>
      <c r="AF3139" s="21"/>
      <c r="AG3139" s="21"/>
      <c r="AH3139" s="21">
        <v>5</v>
      </c>
      <c r="AI3139" s="21"/>
      <c r="AJ3139" s="21"/>
      <c r="AK3139" s="21"/>
      <c r="AL3139" s="21"/>
      <c r="AM3139" s="21">
        <v>5</v>
      </c>
      <c r="AN3139" s="21"/>
      <c r="AO3139" s="21"/>
      <c r="AP3139" s="21"/>
      <c r="AQ3139" s="21"/>
      <c r="AR3139" s="21"/>
      <c r="AS3139" s="21"/>
      <c r="AT3139" s="12" t="str">
        <f>HYPERLINK("http://www.openstreetmap.org/?mlat=32.1632&amp;mlon=46.0458&amp;zoom=12#map=12/32.1632/46.0458","Maplink1")</f>
        <v>Maplink1</v>
      </c>
      <c r="AU3139" s="12" t="str">
        <f>HYPERLINK("https://www.google.iq/maps/search/+32.1632,46.0458/@32.1632,46.0458,14z?hl=en","Maplink2")</f>
        <v>Maplink2</v>
      </c>
      <c r="AV3139" s="12" t="str">
        <f>HYPERLINK("http://www.bing.com/maps/?lvl=14&amp;sty=h&amp;cp=32.1632~46.0458&amp;sp=point.32.1632_46.0458","Maplink3")</f>
        <v>Maplink3</v>
      </c>
    </row>
    <row r="3140" spans="1:48" ht="15" customHeight="1" x14ac:dyDescent="0.25">
      <c r="A3140" s="19">
        <v>18732</v>
      </c>
      <c r="B3140" s="20" t="s">
        <v>26</v>
      </c>
      <c r="C3140" s="20" t="s">
        <v>5379</v>
      </c>
      <c r="D3140" s="20" t="s">
        <v>5396</v>
      </c>
      <c r="E3140" s="20" t="s">
        <v>5397</v>
      </c>
      <c r="F3140" s="20">
        <v>32.177786089999998</v>
      </c>
      <c r="G3140" s="20">
        <v>46.030992099999999</v>
      </c>
      <c r="H3140" s="22">
        <v>9</v>
      </c>
      <c r="I3140" s="22">
        <v>54</v>
      </c>
      <c r="J3140" s="21"/>
      <c r="K3140" s="21"/>
      <c r="L3140" s="21"/>
      <c r="M3140" s="21"/>
      <c r="N3140" s="21"/>
      <c r="O3140" s="21"/>
      <c r="P3140" s="21"/>
      <c r="Q3140" s="21"/>
      <c r="R3140" s="21"/>
      <c r="S3140" s="21"/>
      <c r="T3140" s="21"/>
      <c r="U3140" s="21"/>
      <c r="V3140" s="21">
        <v>9</v>
      </c>
      <c r="W3140" s="21"/>
      <c r="X3140" s="21"/>
      <c r="Y3140" s="21"/>
      <c r="Z3140" s="21"/>
      <c r="AA3140" s="21"/>
      <c r="AB3140" s="21"/>
      <c r="AC3140" s="21"/>
      <c r="AD3140" s="21"/>
      <c r="AE3140" s="21"/>
      <c r="AF3140" s="21"/>
      <c r="AG3140" s="21"/>
      <c r="AH3140" s="21">
        <v>9</v>
      </c>
      <c r="AI3140" s="21"/>
      <c r="AJ3140" s="21"/>
      <c r="AK3140" s="21"/>
      <c r="AL3140" s="21"/>
      <c r="AM3140" s="21">
        <v>9</v>
      </c>
      <c r="AN3140" s="21"/>
      <c r="AO3140" s="21"/>
      <c r="AP3140" s="21"/>
      <c r="AQ3140" s="21"/>
      <c r="AR3140" s="21"/>
      <c r="AS3140" s="21"/>
      <c r="AT3140" s="12" t="str">
        <f>HYPERLINK("http://www.openstreetmap.org/?mlat=32.1778&amp;mlon=46.031&amp;zoom=12#map=12/32.1778/46.031","Maplink1")</f>
        <v>Maplink1</v>
      </c>
      <c r="AU3140" s="12" t="str">
        <f>HYPERLINK("https://www.google.iq/maps/search/+32.1778,46.031/@32.1778,46.031,14z?hl=en","Maplink2")</f>
        <v>Maplink2</v>
      </c>
      <c r="AV3140" s="12" t="str">
        <f>HYPERLINK("http://www.bing.com/maps/?lvl=14&amp;sty=h&amp;cp=32.1778~46.031&amp;sp=point.32.1778_46.031","Maplink3")</f>
        <v>Maplink3</v>
      </c>
    </row>
    <row r="3141" spans="1:48" ht="15" customHeight="1" x14ac:dyDescent="0.25">
      <c r="A3141" s="19">
        <v>18686</v>
      </c>
      <c r="B3141" s="20" t="s">
        <v>26</v>
      </c>
      <c r="C3141" s="20" t="s">
        <v>5379</v>
      </c>
      <c r="D3141" s="20" t="s">
        <v>5398</v>
      </c>
      <c r="E3141" s="20" t="s">
        <v>216</v>
      </c>
      <c r="F3141" s="20">
        <v>32.272840590000001</v>
      </c>
      <c r="G3141" s="20">
        <v>45.924100750000001</v>
      </c>
      <c r="H3141" s="22">
        <v>16</v>
      </c>
      <c r="I3141" s="22">
        <v>96</v>
      </c>
      <c r="J3141" s="21"/>
      <c r="K3141" s="21"/>
      <c r="L3141" s="21"/>
      <c r="M3141" s="21"/>
      <c r="N3141" s="21"/>
      <c r="O3141" s="21"/>
      <c r="P3141" s="21"/>
      <c r="Q3141" s="21"/>
      <c r="R3141" s="21"/>
      <c r="S3141" s="21"/>
      <c r="T3141" s="21"/>
      <c r="U3141" s="21"/>
      <c r="V3141" s="21">
        <v>16</v>
      </c>
      <c r="W3141" s="21"/>
      <c r="X3141" s="21"/>
      <c r="Y3141" s="21"/>
      <c r="Z3141" s="21"/>
      <c r="AA3141" s="21"/>
      <c r="AB3141" s="21"/>
      <c r="AC3141" s="21">
        <v>16</v>
      </c>
      <c r="AD3141" s="21"/>
      <c r="AE3141" s="21"/>
      <c r="AF3141" s="21"/>
      <c r="AG3141" s="21"/>
      <c r="AH3141" s="21"/>
      <c r="AI3141" s="21"/>
      <c r="AJ3141" s="21"/>
      <c r="AK3141" s="21"/>
      <c r="AL3141" s="21"/>
      <c r="AM3141" s="21">
        <v>16</v>
      </c>
      <c r="AN3141" s="21"/>
      <c r="AO3141" s="21"/>
      <c r="AP3141" s="21"/>
      <c r="AQ3141" s="21"/>
      <c r="AR3141" s="21"/>
      <c r="AS3141" s="21"/>
      <c r="AT3141" s="12" t="str">
        <f>HYPERLINK("http://www.openstreetmap.org/?mlat=32.2728&amp;mlon=45.9241&amp;zoom=12#map=12/32.2728/45.9241","Maplink1")</f>
        <v>Maplink1</v>
      </c>
      <c r="AU3141" s="12" t="str">
        <f>HYPERLINK("https://www.google.iq/maps/search/+32.2728,45.9241/@32.2728,45.9241,14z?hl=en","Maplink2")</f>
        <v>Maplink2</v>
      </c>
      <c r="AV3141" s="12" t="str">
        <f>HYPERLINK("http://www.bing.com/maps/?lvl=14&amp;sty=h&amp;cp=32.2728~45.9241&amp;sp=point.32.2728_45.9241","Maplink3")</f>
        <v>Maplink3</v>
      </c>
    </row>
    <row r="3142" spans="1:48" ht="15" customHeight="1" x14ac:dyDescent="0.25">
      <c r="A3142" s="19">
        <v>18722</v>
      </c>
      <c r="B3142" s="20" t="s">
        <v>26</v>
      </c>
      <c r="C3142" s="20" t="s">
        <v>5379</v>
      </c>
      <c r="D3142" s="20" t="s">
        <v>5399</v>
      </c>
      <c r="E3142" s="20" t="s">
        <v>119</v>
      </c>
      <c r="F3142" s="20">
        <v>32.167008279999997</v>
      </c>
      <c r="G3142" s="20">
        <v>46.044844359999999</v>
      </c>
      <c r="H3142" s="22">
        <v>20</v>
      </c>
      <c r="I3142" s="22">
        <v>120</v>
      </c>
      <c r="J3142" s="21"/>
      <c r="K3142" s="21"/>
      <c r="L3142" s="21"/>
      <c r="M3142" s="21"/>
      <c r="N3142" s="21"/>
      <c r="O3142" s="21"/>
      <c r="P3142" s="21"/>
      <c r="Q3142" s="21"/>
      <c r="R3142" s="21"/>
      <c r="S3142" s="21"/>
      <c r="T3142" s="21"/>
      <c r="U3142" s="21"/>
      <c r="V3142" s="21">
        <v>20</v>
      </c>
      <c r="W3142" s="21"/>
      <c r="X3142" s="21"/>
      <c r="Y3142" s="21"/>
      <c r="Z3142" s="21"/>
      <c r="AA3142" s="21"/>
      <c r="AB3142" s="21"/>
      <c r="AC3142" s="21"/>
      <c r="AD3142" s="21"/>
      <c r="AE3142" s="21"/>
      <c r="AF3142" s="21"/>
      <c r="AG3142" s="21"/>
      <c r="AH3142" s="21">
        <v>20</v>
      </c>
      <c r="AI3142" s="21"/>
      <c r="AJ3142" s="21"/>
      <c r="AK3142" s="21"/>
      <c r="AL3142" s="21"/>
      <c r="AM3142" s="21"/>
      <c r="AN3142" s="21">
        <v>20</v>
      </c>
      <c r="AO3142" s="21"/>
      <c r="AP3142" s="21"/>
      <c r="AQ3142" s="21"/>
      <c r="AR3142" s="21"/>
      <c r="AS3142" s="21"/>
      <c r="AT3142" s="12" t="str">
        <f>HYPERLINK("http://www.openstreetmap.org/?mlat=32.167&amp;mlon=46.0448&amp;zoom=12#map=12/32.167/46.0448","Maplink1")</f>
        <v>Maplink1</v>
      </c>
      <c r="AU3142" s="12" t="str">
        <f>HYPERLINK("https://www.google.iq/maps/search/+32.167,46.0448/@32.167,46.0448,14z?hl=en","Maplink2")</f>
        <v>Maplink2</v>
      </c>
      <c r="AV3142" s="12" t="str">
        <f>HYPERLINK("http://www.bing.com/maps/?lvl=14&amp;sty=h&amp;cp=32.167~46.0448&amp;sp=point.32.167_46.0448","Maplink3")</f>
        <v>Maplink3</v>
      </c>
    </row>
    <row r="3143" spans="1:48" ht="15" customHeight="1" x14ac:dyDescent="0.25">
      <c r="A3143" s="19">
        <v>24105</v>
      </c>
      <c r="B3143" s="20" t="s">
        <v>26</v>
      </c>
      <c r="C3143" s="20" t="s">
        <v>5379</v>
      </c>
      <c r="D3143" s="20" t="s">
        <v>5400</v>
      </c>
      <c r="E3143" s="20" t="s">
        <v>5401</v>
      </c>
      <c r="F3143" s="20">
        <v>32.173732447500001</v>
      </c>
      <c r="G3143" s="20">
        <v>46.038150470799998</v>
      </c>
      <c r="H3143" s="22">
        <v>11</v>
      </c>
      <c r="I3143" s="22">
        <v>66</v>
      </c>
      <c r="J3143" s="21"/>
      <c r="K3143" s="21"/>
      <c r="L3143" s="21"/>
      <c r="M3143" s="21"/>
      <c r="N3143" s="21"/>
      <c r="O3143" s="21"/>
      <c r="P3143" s="21"/>
      <c r="Q3143" s="21"/>
      <c r="R3143" s="21"/>
      <c r="S3143" s="21"/>
      <c r="T3143" s="21"/>
      <c r="U3143" s="21"/>
      <c r="V3143" s="21">
        <v>11</v>
      </c>
      <c r="W3143" s="21"/>
      <c r="X3143" s="21"/>
      <c r="Y3143" s="21"/>
      <c r="Z3143" s="21"/>
      <c r="AA3143" s="21"/>
      <c r="AB3143" s="21"/>
      <c r="AC3143" s="21"/>
      <c r="AD3143" s="21"/>
      <c r="AE3143" s="21"/>
      <c r="AF3143" s="21"/>
      <c r="AG3143" s="21"/>
      <c r="AH3143" s="21">
        <v>11</v>
      </c>
      <c r="AI3143" s="21"/>
      <c r="AJ3143" s="21"/>
      <c r="AK3143" s="21"/>
      <c r="AL3143" s="21"/>
      <c r="AM3143" s="21">
        <v>11</v>
      </c>
      <c r="AN3143" s="21"/>
      <c r="AO3143" s="21"/>
      <c r="AP3143" s="21"/>
      <c r="AQ3143" s="21"/>
      <c r="AR3143" s="21"/>
      <c r="AS3143" s="21"/>
      <c r="AT3143" s="12" t="str">
        <f>HYPERLINK("http://www.openstreetmap.org/?mlat=32.1737&amp;mlon=46.0382&amp;zoom=12#map=12/32.1737/46.0382","Maplink1")</f>
        <v>Maplink1</v>
      </c>
      <c r="AU3143" s="12" t="str">
        <f>HYPERLINK("https://www.google.iq/maps/search/+32.1737,46.0382/@32.1737,46.0382,14z?hl=en","Maplink2")</f>
        <v>Maplink2</v>
      </c>
      <c r="AV3143" s="12" t="str">
        <f>HYPERLINK("http://www.bing.com/maps/?lvl=14&amp;sty=h&amp;cp=32.1737~46.0382&amp;sp=point.32.1737_46.0382","Maplink3")</f>
        <v>Maplink3</v>
      </c>
    </row>
    <row r="3144" spans="1:48" ht="15" customHeight="1" x14ac:dyDescent="0.25">
      <c r="A3144" s="19">
        <v>25581</v>
      </c>
      <c r="B3144" s="20" t="s">
        <v>26</v>
      </c>
      <c r="C3144" s="20" t="s">
        <v>5379</v>
      </c>
      <c r="D3144" s="20" t="s">
        <v>5402</v>
      </c>
      <c r="E3144" s="20" t="s">
        <v>5403</v>
      </c>
      <c r="F3144" s="20">
        <v>32.167377729999998</v>
      </c>
      <c r="G3144" s="20">
        <v>46.060450950000003</v>
      </c>
      <c r="H3144" s="22">
        <v>20</v>
      </c>
      <c r="I3144" s="22">
        <v>120</v>
      </c>
      <c r="J3144" s="21">
        <v>2</v>
      </c>
      <c r="K3144" s="21"/>
      <c r="L3144" s="21"/>
      <c r="M3144" s="21"/>
      <c r="N3144" s="21"/>
      <c r="O3144" s="21"/>
      <c r="P3144" s="21"/>
      <c r="Q3144" s="21"/>
      <c r="R3144" s="21"/>
      <c r="S3144" s="21"/>
      <c r="T3144" s="21"/>
      <c r="U3144" s="21"/>
      <c r="V3144" s="21">
        <v>18</v>
      </c>
      <c r="W3144" s="21"/>
      <c r="X3144" s="21"/>
      <c r="Y3144" s="21"/>
      <c r="Z3144" s="21"/>
      <c r="AA3144" s="21"/>
      <c r="AB3144" s="21"/>
      <c r="AC3144" s="21"/>
      <c r="AD3144" s="21"/>
      <c r="AE3144" s="21"/>
      <c r="AF3144" s="21"/>
      <c r="AG3144" s="21"/>
      <c r="AH3144" s="21">
        <v>20</v>
      </c>
      <c r="AI3144" s="21"/>
      <c r="AJ3144" s="21"/>
      <c r="AK3144" s="21"/>
      <c r="AL3144" s="21">
        <v>2</v>
      </c>
      <c r="AM3144" s="21">
        <v>18</v>
      </c>
      <c r="AN3144" s="21"/>
      <c r="AO3144" s="21"/>
      <c r="AP3144" s="21"/>
      <c r="AQ3144" s="21"/>
      <c r="AR3144" s="21"/>
      <c r="AS3144" s="21"/>
      <c r="AT3144" s="12" t="str">
        <f>HYPERLINK("http://www.openstreetmap.org/?mlat=32.1674&amp;mlon=46.0605&amp;zoom=12#map=12/32.1674/46.0605","Maplink1")</f>
        <v>Maplink1</v>
      </c>
      <c r="AU3144" s="12" t="str">
        <f>HYPERLINK("https://www.google.iq/maps/search/+32.1674,46.0605/@32.1674,46.0605,14z?hl=en","Maplink2")</f>
        <v>Maplink2</v>
      </c>
      <c r="AV3144" s="12" t="str">
        <f>HYPERLINK("http://www.bing.com/maps/?lvl=14&amp;sty=h&amp;cp=32.1674~46.0605&amp;sp=point.32.1674_46.0605","Maplink3")</f>
        <v>Maplink3</v>
      </c>
    </row>
    <row r="3145" spans="1:48" ht="15" customHeight="1" x14ac:dyDescent="0.25">
      <c r="A3145" s="19">
        <v>19049</v>
      </c>
      <c r="B3145" s="20" t="s">
        <v>26</v>
      </c>
      <c r="C3145" s="20" t="s">
        <v>5404</v>
      </c>
      <c r="D3145" s="20" t="s">
        <v>5405</v>
      </c>
      <c r="E3145" s="20" t="s">
        <v>5406</v>
      </c>
      <c r="F3145" s="20">
        <v>32.516323182699999</v>
      </c>
      <c r="G3145" s="20">
        <v>45.621042091500001</v>
      </c>
      <c r="H3145" s="22">
        <v>32</v>
      </c>
      <c r="I3145" s="22">
        <v>192</v>
      </c>
      <c r="J3145" s="21"/>
      <c r="K3145" s="21"/>
      <c r="L3145" s="21"/>
      <c r="M3145" s="21"/>
      <c r="N3145" s="21"/>
      <c r="O3145" s="21"/>
      <c r="P3145" s="21"/>
      <c r="Q3145" s="21"/>
      <c r="R3145" s="21">
        <v>20</v>
      </c>
      <c r="S3145" s="21"/>
      <c r="T3145" s="21"/>
      <c r="U3145" s="21"/>
      <c r="V3145" s="21">
        <v>12</v>
      </c>
      <c r="W3145" s="21"/>
      <c r="X3145" s="21"/>
      <c r="Y3145" s="21"/>
      <c r="Z3145" s="21"/>
      <c r="AA3145" s="21"/>
      <c r="AB3145" s="21"/>
      <c r="AC3145" s="21"/>
      <c r="AD3145" s="21"/>
      <c r="AE3145" s="21"/>
      <c r="AF3145" s="21"/>
      <c r="AG3145" s="21">
        <v>12</v>
      </c>
      <c r="AH3145" s="21">
        <v>20</v>
      </c>
      <c r="AI3145" s="21"/>
      <c r="AJ3145" s="21"/>
      <c r="AK3145" s="21"/>
      <c r="AL3145" s="21"/>
      <c r="AM3145" s="21">
        <v>32</v>
      </c>
      <c r="AN3145" s="21"/>
      <c r="AO3145" s="21"/>
      <c r="AP3145" s="21"/>
      <c r="AQ3145" s="21"/>
      <c r="AR3145" s="21"/>
      <c r="AS3145" s="21"/>
      <c r="AT3145" s="12" t="str">
        <f>HYPERLINK("http://www.openstreetmap.org/?mlat=32.5163&amp;mlon=45.621&amp;zoom=12#map=12/32.5163/45.621","Maplink1")</f>
        <v>Maplink1</v>
      </c>
      <c r="AU3145" s="12" t="str">
        <f>HYPERLINK("https://www.google.iq/maps/search/+32.5163,45.621/@32.5163,45.621,14z?hl=en","Maplink2")</f>
        <v>Maplink2</v>
      </c>
      <c r="AV3145" s="12" t="str">
        <f>HYPERLINK("http://www.bing.com/maps/?lvl=14&amp;sty=h&amp;cp=32.5163~45.621&amp;sp=point.32.5163_45.621","Maplink3")</f>
        <v>Maplink3</v>
      </c>
    </row>
    <row r="3146" spans="1:48" ht="15" customHeight="1" x14ac:dyDescent="0.25">
      <c r="A3146" s="19">
        <v>19539</v>
      </c>
      <c r="B3146" s="20" t="s">
        <v>26</v>
      </c>
      <c r="C3146" s="20" t="s">
        <v>5404</v>
      </c>
      <c r="D3146" s="20" t="s">
        <v>5407</v>
      </c>
      <c r="E3146" s="20" t="s">
        <v>5408</v>
      </c>
      <c r="F3146" s="20">
        <v>32.533676200000002</v>
      </c>
      <c r="G3146" s="20">
        <v>45.348277250000002</v>
      </c>
      <c r="H3146" s="22">
        <v>10</v>
      </c>
      <c r="I3146" s="22">
        <v>60</v>
      </c>
      <c r="J3146" s="21"/>
      <c r="K3146" s="21"/>
      <c r="L3146" s="21"/>
      <c r="M3146" s="21"/>
      <c r="N3146" s="21"/>
      <c r="O3146" s="21"/>
      <c r="P3146" s="21"/>
      <c r="Q3146" s="21"/>
      <c r="R3146" s="21"/>
      <c r="S3146" s="21"/>
      <c r="T3146" s="21"/>
      <c r="U3146" s="21"/>
      <c r="V3146" s="21">
        <v>10</v>
      </c>
      <c r="W3146" s="21"/>
      <c r="X3146" s="21"/>
      <c r="Y3146" s="21"/>
      <c r="Z3146" s="21"/>
      <c r="AA3146" s="21"/>
      <c r="AB3146" s="21"/>
      <c r="AC3146" s="21"/>
      <c r="AD3146" s="21"/>
      <c r="AE3146" s="21"/>
      <c r="AF3146" s="21"/>
      <c r="AG3146" s="21">
        <v>10</v>
      </c>
      <c r="AH3146" s="21"/>
      <c r="AI3146" s="21"/>
      <c r="AJ3146" s="21"/>
      <c r="AK3146" s="21"/>
      <c r="AL3146" s="21"/>
      <c r="AM3146" s="21">
        <v>10</v>
      </c>
      <c r="AN3146" s="21"/>
      <c r="AO3146" s="21"/>
      <c r="AP3146" s="21"/>
      <c r="AQ3146" s="21"/>
      <c r="AR3146" s="21"/>
      <c r="AS3146" s="21"/>
      <c r="AT3146" s="12" t="str">
        <f>HYPERLINK("http://www.openstreetmap.org/?mlat=32.5337&amp;mlon=45.3483&amp;zoom=12#map=12/32.5337/45.3483","Maplink1")</f>
        <v>Maplink1</v>
      </c>
      <c r="AU3146" s="12" t="str">
        <f>HYPERLINK("https://www.google.iq/maps/search/+32.5337,45.3483/@32.5337,45.3483,14z?hl=en","Maplink2")</f>
        <v>Maplink2</v>
      </c>
      <c r="AV3146" s="12" t="str">
        <f>HYPERLINK("http://www.bing.com/maps/?lvl=14&amp;sty=h&amp;cp=32.5337~45.3483&amp;sp=point.32.5337_45.3483","Maplink3")</f>
        <v>Maplink3</v>
      </c>
    </row>
    <row r="3147" spans="1:48" ht="15" customHeight="1" x14ac:dyDescent="0.25">
      <c r="A3147" s="19">
        <v>25096</v>
      </c>
      <c r="B3147" s="20" t="s">
        <v>26</v>
      </c>
      <c r="C3147" s="20" t="s">
        <v>5404</v>
      </c>
      <c r="D3147" s="20" t="s">
        <v>5409</v>
      </c>
      <c r="E3147" s="20" t="s">
        <v>5410</v>
      </c>
      <c r="F3147" s="20">
        <v>32.543589455000003</v>
      </c>
      <c r="G3147" s="20">
        <v>45.379203138500003</v>
      </c>
      <c r="H3147" s="22">
        <v>45</v>
      </c>
      <c r="I3147" s="22">
        <v>270</v>
      </c>
      <c r="J3147" s="21"/>
      <c r="K3147" s="21"/>
      <c r="L3147" s="21"/>
      <c r="M3147" s="21"/>
      <c r="N3147" s="21"/>
      <c r="O3147" s="21"/>
      <c r="P3147" s="21"/>
      <c r="Q3147" s="21"/>
      <c r="R3147" s="21">
        <v>18</v>
      </c>
      <c r="S3147" s="21"/>
      <c r="T3147" s="21"/>
      <c r="U3147" s="21"/>
      <c r="V3147" s="21">
        <v>2</v>
      </c>
      <c r="W3147" s="21"/>
      <c r="X3147" s="21">
        <v>25</v>
      </c>
      <c r="Y3147" s="21"/>
      <c r="Z3147" s="21"/>
      <c r="AA3147" s="21"/>
      <c r="AB3147" s="21"/>
      <c r="AC3147" s="21"/>
      <c r="AD3147" s="21"/>
      <c r="AE3147" s="21"/>
      <c r="AF3147" s="21"/>
      <c r="AG3147" s="21">
        <v>45</v>
      </c>
      <c r="AH3147" s="21"/>
      <c r="AI3147" s="21"/>
      <c r="AJ3147" s="21"/>
      <c r="AK3147" s="21"/>
      <c r="AL3147" s="21">
        <v>24</v>
      </c>
      <c r="AM3147" s="21">
        <v>2</v>
      </c>
      <c r="AN3147" s="21">
        <v>10</v>
      </c>
      <c r="AO3147" s="21"/>
      <c r="AP3147" s="21">
        <v>9</v>
      </c>
      <c r="AQ3147" s="21"/>
      <c r="AR3147" s="21"/>
      <c r="AS3147" s="21"/>
      <c r="AT3147" s="12" t="str">
        <f>HYPERLINK("http://www.openstreetmap.org/?mlat=32.5436&amp;mlon=45.3792&amp;zoom=12#map=12/32.5436/45.3792","Maplink1")</f>
        <v>Maplink1</v>
      </c>
      <c r="AU3147" s="12" t="str">
        <f>HYPERLINK("https://www.google.iq/maps/search/+32.5436,45.3792/@32.5436,45.3792,14z?hl=en","Maplink2")</f>
        <v>Maplink2</v>
      </c>
      <c r="AV3147" s="12" t="str">
        <f>HYPERLINK("http://www.bing.com/maps/?lvl=14&amp;sty=h&amp;cp=32.5436~45.3792&amp;sp=point.32.5436_45.3792","Maplink3")</f>
        <v>Maplink3</v>
      </c>
    </row>
    <row r="3148" spans="1:48" ht="15" customHeight="1" x14ac:dyDescent="0.25">
      <c r="A3148" s="19">
        <v>25796</v>
      </c>
      <c r="B3148" s="20" t="s">
        <v>26</v>
      </c>
      <c r="C3148" s="20" t="s">
        <v>5404</v>
      </c>
      <c r="D3148" s="20" t="s">
        <v>5411</v>
      </c>
      <c r="E3148" s="20" t="s">
        <v>5412</v>
      </c>
      <c r="F3148" s="20">
        <v>32.542061680000003</v>
      </c>
      <c r="G3148" s="20">
        <v>45.417311609999999</v>
      </c>
      <c r="H3148" s="22">
        <v>25</v>
      </c>
      <c r="I3148" s="22">
        <v>150</v>
      </c>
      <c r="J3148" s="21"/>
      <c r="K3148" s="21"/>
      <c r="L3148" s="21"/>
      <c r="M3148" s="21"/>
      <c r="N3148" s="21"/>
      <c r="O3148" s="21">
        <v>10</v>
      </c>
      <c r="P3148" s="21"/>
      <c r="Q3148" s="21"/>
      <c r="R3148" s="21">
        <v>10</v>
      </c>
      <c r="S3148" s="21"/>
      <c r="T3148" s="21"/>
      <c r="U3148" s="21"/>
      <c r="V3148" s="21">
        <v>5</v>
      </c>
      <c r="W3148" s="21"/>
      <c r="X3148" s="21"/>
      <c r="Y3148" s="21"/>
      <c r="Z3148" s="21"/>
      <c r="AA3148" s="21"/>
      <c r="AB3148" s="21"/>
      <c r="AC3148" s="21"/>
      <c r="AD3148" s="21"/>
      <c r="AE3148" s="21"/>
      <c r="AF3148" s="21"/>
      <c r="AG3148" s="21"/>
      <c r="AH3148" s="21">
        <v>25</v>
      </c>
      <c r="AI3148" s="21"/>
      <c r="AJ3148" s="21"/>
      <c r="AK3148" s="21"/>
      <c r="AL3148" s="21">
        <v>20</v>
      </c>
      <c r="AM3148" s="21">
        <v>5</v>
      </c>
      <c r="AN3148" s="21"/>
      <c r="AO3148" s="21"/>
      <c r="AP3148" s="21"/>
      <c r="AQ3148" s="21"/>
      <c r="AR3148" s="21"/>
      <c r="AS3148" s="21"/>
      <c r="AT3148" s="12" t="str">
        <f>HYPERLINK("http://www.openstreetmap.org/?mlat=32.5421&amp;mlon=45.4173&amp;zoom=12#map=12/32.5421/45.4173","Maplink1")</f>
        <v>Maplink1</v>
      </c>
      <c r="AU3148" s="12" t="str">
        <f>HYPERLINK("https://www.google.iq/maps/search/+32.5421,45.4173/@32.5421,45.4173,14z?hl=en","Maplink2")</f>
        <v>Maplink2</v>
      </c>
      <c r="AV3148" s="12" t="str">
        <f>HYPERLINK("http://www.bing.com/maps/?lvl=14&amp;sty=h&amp;cp=32.5421~45.4173&amp;sp=point.32.5421_45.4173","Maplink3")</f>
        <v>Maplink3</v>
      </c>
    </row>
    <row r="3149" spans="1:48" ht="15" customHeight="1" x14ac:dyDescent="0.25">
      <c r="A3149" s="19">
        <v>26025</v>
      </c>
      <c r="B3149" s="20" t="s">
        <v>26</v>
      </c>
      <c r="C3149" s="20" t="s">
        <v>5404</v>
      </c>
      <c r="D3149" s="20" t="s">
        <v>5413</v>
      </c>
      <c r="E3149" s="20" t="s">
        <v>5414</v>
      </c>
      <c r="F3149" s="20">
        <v>32.500163899999997</v>
      </c>
      <c r="G3149" s="20">
        <v>45.229975750000001</v>
      </c>
      <c r="H3149" s="22">
        <v>33</v>
      </c>
      <c r="I3149" s="22">
        <v>198</v>
      </c>
      <c r="J3149" s="21"/>
      <c r="K3149" s="21"/>
      <c r="L3149" s="21"/>
      <c r="M3149" s="21"/>
      <c r="N3149" s="21"/>
      <c r="O3149" s="21"/>
      <c r="P3149" s="21"/>
      <c r="Q3149" s="21"/>
      <c r="R3149" s="21">
        <v>3</v>
      </c>
      <c r="S3149" s="21"/>
      <c r="T3149" s="21"/>
      <c r="U3149" s="21"/>
      <c r="V3149" s="21">
        <v>30</v>
      </c>
      <c r="W3149" s="21"/>
      <c r="X3149" s="21"/>
      <c r="Y3149" s="21"/>
      <c r="Z3149" s="21"/>
      <c r="AA3149" s="21"/>
      <c r="AB3149" s="21"/>
      <c r="AC3149" s="21">
        <v>10</v>
      </c>
      <c r="AD3149" s="21"/>
      <c r="AE3149" s="21"/>
      <c r="AF3149" s="21"/>
      <c r="AG3149" s="21">
        <v>23</v>
      </c>
      <c r="AH3149" s="21"/>
      <c r="AI3149" s="21"/>
      <c r="AJ3149" s="21"/>
      <c r="AK3149" s="21"/>
      <c r="AL3149" s="21"/>
      <c r="AM3149" s="21">
        <v>33</v>
      </c>
      <c r="AN3149" s="21"/>
      <c r="AO3149" s="21"/>
      <c r="AP3149" s="21"/>
      <c r="AQ3149" s="21"/>
      <c r="AR3149" s="21"/>
      <c r="AS3149" s="21"/>
      <c r="AT3149" s="12" t="str">
        <f>HYPERLINK("http://www.openstreetmap.org/?mlat=32.5002&amp;mlon=45.23&amp;zoom=12#map=12/32.5002/45.23","Maplink1")</f>
        <v>Maplink1</v>
      </c>
      <c r="AU3149" s="12" t="str">
        <f>HYPERLINK("https://www.google.iq/maps/search/+32.5002,45.23/@32.5002,45.23,14z?hl=en","Maplink2")</f>
        <v>Maplink2</v>
      </c>
      <c r="AV3149" s="12" t="str">
        <f>HYPERLINK("http://www.bing.com/maps/?lvl=14&amp;sty=h&amp;cp=32.5002~45.23&amp;sp=point.32.5002_45.23","Maplink3")</f>
        <v>Maplink3</v>
      </c>
    </row>
    <row r="3150" spans="1:48" ht="15" customHeight="1" x14ac:dyDescent="0.25">
      <c r="A3150" s="19">
        <v>25098</v>
      </c>
      <c r="B3150" s="20" t="s">
        <v>26</v>
      </c>
      <c r="C3150" s="20" t="s">
        <v>5404</v>
      </c>
      <c r="D3150" s="20" t="s">
        <v>5415</v>
      </c>
      <c r="E3150" s="20" t="s">
        <v>5416</v>
      </c>
      <c r="F3150" s="20">
        <v>32.52528882</v>
      </c>
      <c r="G3150" s="20">
        <v>45.317354379999998</v>
      </c>
      <c r="H3150" s="22">
        <v>40</v>
      </c>
      <c r="I3150" s="22">
        <v>240</v>
      </c>
      <c r="J3150" s="21"/>
      <c r="K3150" s="21"/>
      <c r="L3150" s="21">
        <v>5</v>
      </c>
      <c r="M3150" s="21"/>
      <c r="N3150" s="21"/>
      <c r="O3150" s="21"/>
      <c r="P3150" s="21"/>
      <c r="Q3150" s="21"/>
      <c r="R3150" s="21"/>
      <c r="S3150" s="21"/>
      <c r="T3150" s="21"/>
      <c r="U3150" s="21"/>
      <c r="V3150" s="21">
        <v>35</v>
      </c>
      <c r="W3150" s="21"/>
      <c r="X3150" s="21"/>
      <c r="Y3150" s="21"/>
      <c r="Z3150" s="21"/>
      <c r="AA3150" s="21"/>
      <c r="AB3150" s="21"/>
      <c r="AC3150" s="21"/>
      <c r="AD3150" s="21"/>
      <c r="AE3150" s="21"/>
      <c r="AF3150" s="21"/>
      <c r="AG3150" s="21">
        <v>40</v>
      </c>
      <c r="AH3150" s="21"/>
      <c r="AI3150" s="21"/>
      <c r="AJ3150" s="21"/>
      <c r="AK3150" s="21"/>
      <c r="AL3150" s="21">
        <v>5</v>
      </c>
      <c r="AM3150" s="21">
        <v>35</v>
      </c>
      <c r="AN3150" s="21"/>
      <c r="AO3150" s="21"/>
      <c r="AP3150" s="21"/>
      <c r="AQ3150" s="21"/>
      <c r="AR3150" s="21"/>
      <c r="AS3150" s="21"/>
      <c r="AT3150" s="12" t="str">
        <f>HYPERLINK("http://www.openstreetmap.org/?mlat=32.5253&amp;mlon=45.3174&amp;zoom=12#map=12/32.5253/45.3174","Maplink1")</f>
        <v>Maplink1</v>
      </c>
      <c r="AU3150" s="12" t="str">
        <f>HYPERLINK("https://www.google.iq/maps/search/+32.5253,45.3174/@32.5253,45.3174,14z?hl=en","Maplink2")</f>
        <v>Maplink2</v>
      </c>
      <c r="AV3150" s="12" t="str">
        <f>HYPERLINK("http://www.bing.com/maps/?lvl=14&amp;sty=h&amp;cp=32.5253~45.3174&amp;sp=point.32.5253_45.3174","Maplink3")</f>
        <v>Maplink3</v>
      </c>
    </row>
    <row r="3151" spans="1:48" ht="15" customHeight="1" x14ac:dyDescent="0.25">
      <c r="A3151" s="19">
        <v>25097</v>
      </c>
      <c r="B3151" s="20" t="s">
        <v>26</v>
      </c>
      <c r="C3151" s="20" t="s">
        <v>5404</v>
      </c>
      <c r="D3151" s="20" t="s">
        <v>5417</v>
      </c>
      <c r="E3151" s="20" t="s">
        <v>5418</v>
      </c>
      <c r="F3151" s="20">
        <v>32.515208440000002</v>
      </c>
      <c r="G3151" s="20">
        <v>45.282751679999997</v>
      </c>
      <c r="H3151" s="22">
        <v>16</v>
      </c>
      <c r="I3151" s="22">
        <v>96</v>
      </c>
      <c r="J3151" s="21"/>
      <c r="K3151" s="21"/>
      <c r="L3151" s="21"/>
      <c r="M3151" s="21"/>
      <c r="N3151" s="21"/>
      <c r="O3151" s="21"/>
      <c r="P3151" s="21"/>
      <c r="Q3151" s="21"/>
      <c r="R3151" s="21"/>
      <c r="S3151" s="21"/>
      <c r="T3151" s="21"/>
      <c r="U3151" s="21"/>
      <c r="V3151" s="21">
        <v>16</v>
      </c>
      <c r="W3151" s="21"/>
      <c r="X3151" s="21"/>
      <c r="Y3151" s="21"/>
      <c r="Z3151" s="21"/>
      <c r="AA3151" s="21"/>
      <c r="AB3151" s="21"/>
      <c r="AC3151" s="21"/>
      <c r="AD3151" s="21"/>
      <c r="AE3151" s="21"/>
      <c r="AF3151" s="21"/>
      <c r="AG3151" s="21">
        <v>16</v>
      </c>
      <c r="AH3151" s="21"/>
      <c r="AI3151" s="21"/>
      <c r="AJ3151" s="21"/>
      <c r="AK3151" s="21"/>
      <c r="AL3151" s="21"/>
      <c r="AM3151" s="21">
        <v>11</v>
      </c>
      <c r="AN3151" s="21">
        <v>5</v>
      </c>
      <c r="AO3151" s="21"/>
      <c r="AP3151" s="21"/>
      <c r="AQ3151" s="21"/>
      <c r="AR3151" s="21"/>
      <c r="AS3151" s="21"/>
      <c r="AT3151" s="12" t="str">
        <f>HYPERLINK("http://www.openstreetmap.org/?mlat=32.5152&amp;mlon=45.2828&amp;zoom=12#map=12/32.5152/45.2828","Maplink1")</f>
        <v>Maplink1</v>
      </c>
      <c r="AU3151" s="12" t="str">
        <f>HYPERLINK("https://www.google.iq/maps/search/+32.5152,45.2828/@32.5152,45.2828,14z?hl=en","Maplink2")</f>
        <v>Maplink2</v>
      </c>
      <c r="AV3151" s="12" t="str">
        <f>HYPERLINK("http://www.bing.com/maps/?lvl=14&amp;sty=h&amp;cp=32.5152~45.2828&amp;sp=point.32.5152_45.2828","Maplink3")</f>
        <v>Maplink3</v>
      </c>
    </row>
    <row r="3152" spans="1:48" ht="15" customHeight="1" x14ac:dyDescent="0.25">
      <c r="A3152" s="19">
        <v>18774</v>
      </c>
      <c r="B3152" s="20" t="s">
        <v>26</v>
      </c>
      <c r="C3152" s="20" t="s">
        <v>5419</v>
      </c>
      <c r="D3152" s="20" t="s">
        <v>5420</v>
      </c>
      <c r="E3152" s="20" t="s">
        <v>5421</v>
      </c>
      <c r="F3152" s="20">
        <v>32.979255010000003</v>
      </c>
      <c r="G3152" s="20">
        <v>44.777078230000001</v>
      </c>
      <c r="H3152" s="22">
        <v>8</v>
      </c>
      <c r="I3152" s="22">
        <v>48</v>
      </c>
      <c r="J3152" s="21">
        <v>3</v>
      </c>
      <c r="K3152" s="21"/>
      <c r="L3152" s="21"/>
      <c r="M3152" s="21"/>
      <c r="N3152" s="21"/>
      <c r="O3152" s="21"/>
      <c r="P3152" s="21"/>
      <c r="Q3152" s="21"/>
      <c r="R3152" s="21"/>
      <c r="S3152" s="21"/>
      <c r="T3152" s="21"/>
      <c r="U3152" s="21"/>
      <c r="V3152" s="21">
        <v>5</v>
      </c>
      <c r="W3152" s="21"/>
      <c r="X3152" s="21"/>
      <c r="Y3152" s="21"/>
      <c r="Z3152" s="21"/>
      <c r="AA3152" s="21"/>
      <c r="AB3152" s="21"/>
      <c r="AC3152" s="21"/>
      <c r="AD3152" s="21"/>
      <c r="AE3152" s="21"/>
      <c r="AF3152" s="21"/>
      <c r="AG3152" s="21"/>
      <c r="AH3152" s="21">
        <v>8</v>
      </c>
      <c r="AI3152" s="21"/>
      <c r="AJ3152" s="21"/>
      <c r="AK3152" s="21"/>
      <c r="AL3152" s="21">
        <v>8</v>
      </c>
      <c r="AM3152" s="21"/>
      <c r="AN3152" s="21"/>
      <c r="AO3152" s="21"/>
      <c r="AP3152" s="21"/>
      <c r="AQ3152" s="21"/>
      <c r="AR3152" s="21"/>
      <c r="AS3152" s="21"/>
      <c r="AT3152" s="12" t="str">
        <f>HYPERLINK("http://www.openstreetmap.org/?mlat=32.9793&amp;mlon=44.7771&amp;zoom=12#map=12/32.9793/44.7771","Maplink1")</f>
        <v>Maplink1</v>
      </c>
      <c r="AU3152" s="12" t="str">
        <f>HYPERLINK("https://www.google.iq/maps/search/+32.9793,44.7771/@32.9793,44.7771,14z?hl=en","Maplink2")</f>
        <v>Maplink2</v>
      </c>
      <c r="AV3152" s="12" t="str">
        <f>HYPERLINK("http://www.bing.com/maps/?lvl=14&amp;sty=h&amp;cp=32.9793~44.7771&amp;sp=point.32.9793_44.7771","Maplink3")</f>
        <v>Maplink3</v>
      </c>
    </row>
    <row r="3153" spans="1:48" ht="15" customHeight="1" x14ac:dyDescent="0.25">
      <c r="A3153" s="19">
        <v>24217</v>
      </c>
      <c r="B3153" s="20" t="s">
        <v>26</v>
      </c>
      <c r="C3153" s="20" t="s">
        <v>5419</v>
      </c>
      <c r="D3153" s="20" t="s">
        <v>5422</v>
      </c>
      <c r="E3153" s="20" t="s">
        <v>5423</v>
      </c>
      <c r="F3153" s="20">
        <v>32.932344999999998</v>
      </c>
      <c r="G3153" s="20">
        <v>44.781951999999997</v>
      </c>
      <c r="H3153" s="22">
        <v>40</v>
      </c>
      <c r="I3153" s="22">
        <v>240</v>
      </c>
      <c r="J3153" s="21">
        <v>10</v>
      </c>
      <c r="K3153" s="21"/>
      <c r="L3153" s="21"/>
      <c r="M3153" s="21"/>
      <c r="N3153" s="21"/>
      <c r="O3153" s="21"/>
      <c r="P3153" s="21"/>
      <c r="Q3153" s="21"/>
      <c r="R3153" s="21"/>
      <c r="S3153" s="21"/>
      <c r="T3153" s="21"/>
      <c r="U3153" s="21"/>
      <c r="V3153" s="21">
        <v>30</v>
      </c>
      <c r="W3153" s="21"/>
      <c r="X3153" s="21"/>
      <c r="Y3153" s="21"/>
      <c r="Z3153" s="21"/>
      <c r="AA3153" s="21"/>
      <c r="AB3153" s="21"/>
      <c r="AC3153" s="21"/>
      <c r="AD3153" s="21"/>
      <c r="AE3153" s="21"/>
      <c r="AF3153" s="21"/>
      <c r="AG3153" s="21"/>
      <c r="AH3153" s="21">
        <v>40</v>
      </c>
      <c r="AI3153" s="21"/>
      <c r="AJ3153" s="21"/>
      <c r="AK3153" s="21"/>
      <c r="AL3153" s="21"/>
      <c r="AM3153" s="21">
        <v>40</v>
      </c>
      <c r="AN3153" s="21"/>
      <c r="AO3153" s="21"/>
      <c r="AP3153" s="21"/>
      <c r="AQ3153" s="21"/>
      <c r="AR3153" s="21"/>
      <c r="AS3153" s="21"/>
      <c r="AT3153" s="12" t="str">
        <f>HYPERLINK("http://www.openstreetmap.org/?mlat=32.9323&amp;mlon=44.782&amp;zoom=12#map=12/32.9323/44.782","Maplink1")</f>
        <v>Maplink1</v>
      </c>
      <c r="AU3153" s="12" t="str">
        <f>HYPERLINK("https://www.google.iq/maps/search/+32.9323,44.782/@32.9323,44.782,14z?hl=en","Maplink2")</f>
        <v>Maplink2</v>
      </c>
      <c r="AV3153" s="12" t="str">
        <f>HYPERLINK("http://www.bing.com/maps/?lvl=14&amp;sty=h&amp;cp=32.9323~44.782&amp;sp=point.32.9323_44.782","Maplink3")</f>
        <v>Maplink3</v>
      </c>
    </row>
    <row r="3154" spans="1:48" ht="15" customHeight="1" x14ac:dyDescent="0.25">
      <c r="A3154" s="19">
        <v>18436</v>
      </c>
      <c r="B3154" s="20" t="s">
        <v>26</v>
      </c>
      <c r="C3154" s="20" t="s">
        <v>5419</v>
      </c>
      <c r="D3154" s="20" t="s">
        <v>5424</v>
      </c>
      <c r="E3154" s="20" t="s">
        <v>5425</v>
      </c>
      <c r="F3154" s="20">
        <v>32.762377479999998</v>
      </c>
      <c r="G3154" s="20">
        <v>45.174705109999998</v>
      </c>
      <c r="H3154" s="22">
        <v>17</v>
      </c>
      <c r="I3154" s="22">
        <v>102</v>
      </c>
      <c r="J3154" s="21">
        <v>10</v>
      </c>
      <c r="K3154" s="21"/>
      <c r="L3154" s="21"/>
      <c r="M3154" s="21"/>
      <c r="N3154" s="21"/>
      <c r="O3154" s="21"/>
      <c r="P3154" s="21"/>
      <c r="Q3154" s="21"/>
      <c r="R3154" s="21"/>
      <c r="S3154" s="21"/>
      <c r="T3154" s="21"/>
      <c r="U3154" s="21"/>
      <c r="V3154" s="21">
        <v>7</v>
      </c>
      <c r="W3154" s="21"/>
      <c r="X3154" s="21"/>
      <c r="Y3154" s="21"/>
      <c r="Z3154" s="21"/>
      <c r="AA3154" s="21"/>
      <c r="AB3154" s="21"/>
      <c r="AC3154" s="21">
        <v>10</v>
      </c>
      <c r="AD3154" s="21"/>
      <c r="AE3154" s="21"/>
      <c r="AF3154" s="21"/>
      <c r="AG3154" s="21"/>
      <c r="AH3154" s="21">
        <v>7</v>
      </c>
      <c r="AI3154" s="21"/>
      <c r="AJ3154" s="21"/>
      <c r="AK3154" s="21"/>
      <c r="AL3154" s="21"/>
      <c r="AM3154" s="21">
        <v>7</v>
      </c>
      <c r="AN3154" s="21"/>
      <c r="AO3154" s="21"/>
      <c r="AP3154" s="21">
        <v>10</v>
      </c>
      <c r="AQ3154" s="21"/>
      <c r="AR3154" s="21"/>
      <c r="AS3154" s="21"/>
      <c r="AT3154" s="12" t="str">
        <f>HYPERLINK("http://www.openstreetmap.org/?mlat=32.7624&amp;mlon=45.1747&amp;zoom=12#map=12/32.7624/45.1747","Maplink1")</f>
        <v>Maplink1</v>
      </c>
      <c r="AU3154" s="12" t="str">
        <f>HYPERLINK("https://www.google.iq/maps/search/+32.7624,45.1747/@32.7624,45.1747,14z?hl=en","Maplink2")</f>
        <v>Maplink2</v>
      </c>
      <c r="AV3154" s="12" t="str">
        <f>HYPERLINK("http://www.bing.com/maps/?lvl=14&amp;sty=h&amp;cp=32.7624~45.1747&amp;sp=point.32.7624_45.1747","Maplink3")</f>
        <v>Maplink3</v>
      </c>
    </row>
    <row r="3155" spans="1:48" ht="15" customHeight="1" x14ac:dyDescent="0.25">
      <c r="A3155" s="19">
        <v>25385</v>
      </c>
      <c r="B3155" s="20" t="s">
        <v>26</v>
      </c>
      <c r="C3155" s="20" t="s">
        <v>5419</v>
      </c>
      <c r="D3155" s="20" t="s">
        <v>5426</v>
      </c>
      <c r="E3155" s="20" t="s">
        <v>5427</v>
      </c>
      <c r="F3155" s="20">
        <v>32.914219004499998</v>
      </c>
      <c r="G3155" s="20">
        <v>44.767070640199996</v>
      </c>
      <c r="H3155" s="22">
        <v>10</v>
      </c>
      <c r="I3155" s="22">
        <v>60</v>
      </c>
      <c r="J3155" s="21"/>
      <c r="K3155" s="21"/>
      <c r="L3155" s="21"/>
      <c r="M3155" s="21"/>
      <c r="N3155" s="21"/>
      <c r="O3155" s="21"/>
      <c r="P3155" s="21"/>
      <c r="Q3155" s="21"/>
      <c r="R3155" s="21"/>
      <c r="S3155" s="21"/>
      <c r="T3155" s="21"/>
      <c r="U3155" s="21"/>
      <c r="V3155" s="21"/>
      <c r="W3155" s="21"/>
      <c r="X3155" s="21">
        <v>10</v>
      </c>
      <c r="Y3155" s="21"/>
      <c r="Z3155" s="21"/>
      <c r="AA3155" s="21"/>
      <c r="AB3155" s="21"/>
      <c r="AC3155" s="21"/>
      <c r="AD3155" s="21"/>
      <c r="AE3155" s="21"/>
      <c r="AF3155" s="21"/>
      <c r="AG3155" s="21"/>
      <c r="AH3155" s="21">
        <v>10</v>
      </c>
      <c r="AI3155" s="21"/>
      <c r="AJ3155" s="21"/>
      <c r="AK3155" s="21"/>
      <c r="AL3155" s="21"/>
      <c r="AM3155" s="21"/>
      <c r="AN3155" s="21">
        <v>10</v>
      </c>
      <c r="AO3155" s="21"/>
      <c r="AP3155" s="21"/>
      <c r="AQ3155" s="21"/>
      <c r="AR3155" s="21"/>
      <c r="AS3155" s="21"/>
      <c r="AT3155" s="12" t="str">
        <f>HYPERLINK("http://www.openstreetmap.org/?mlat=32.9142&amp;mlon=44.7671&amp;zoom=12#map=12/32.9142/44.7671","Maplink1")</f>
        <v>Maplink1</v>
      </c>
      <c r="AU3155" s="12" t="str">
        <f>HYPERLINK("https://www.google.iq/maps/search/+32.9142,44.7671/@32.9142,44.7671,14z?hl=en","Maplink2")</f>
        <v>Maplink2</v>
      </c>
      <c r="AV3155" s="12" t="str">
        <f>HYPERLINK("http://www.bing.com/maps/?lvl=14&amp;sty=h&amp;cp=32.9142~44.7671&amp;sp=point.32.9142_44.7671","Maplink3")</f>
        <v>Maplink3</v>
      </c>
    </row>
    <row r="3156" spans="1:48" ht="15" customHeight="1" x14ac:dyDescent="0.25">
      <c r="A3156" s="19">
        <v>25112</v>
      </c>
      <c r="B3156" s="20" t="s">
        <v>26</v>
      </c>
      <c r="C3156" s="20" t="s">
        <v>5419</v>
      </c>
      <c r="D3156" s="20" t="s">
        <v>5428</v>
      </c>
      <c r="E3156" s="20" t="s">
        <v>277</v>
      </c>
      <c r="F3156" s="20">
        <v>32.764863580899998</v>
      </c>
      <c r="G3156" s="20">
        <v>45.171470486600001</v>
      </c>
      <c r="H3156" s="22">
        <v>9</v>
      </c>
      <c r="I3156" s="22">
        <v>54</v>
      </c>
      <c r="J3156" s="21"/>
      <c r="K3156" s="21"/>
      <c r="L3156" s="21"/>
      <c r="M3156" s="21"/>
      <c r="N3156" s="21"/>
      <c r="O3156" s="21"/>
      <c r="P3156" s="21"/>
      <c r="Q3156" s="21"/>
      <c r="R3156" s="21"/>
      <c r="S3156" s="21"/>
      <c r="T3156" s="21"/>
      <c r="U3156" s="21"/>
      <c r="V3156" s="21">
        <v>9</v>
      </c>
      <c r="W3156" s="21"/>
      <c r="X3156" s="21"/>
      <c r="Y3156" s="21"/>
      <c r="Z3156" s="21"/>
      <c r="AA3156" s="21"/>
      <c r="AB3156" s="21"/>
      <c r="AC3156" s="21"/>
      <c r="AD3156" s="21"/>
      <c r="AE3156" s="21"/>
      <c r="AF3156" s="21"/>
      <c r="AG3156" s="21"/>
      <c r="AH3156" s="21">
        <v>9</v>
      </c>
      <c r="AI3156" s="21"/>
      <c r="AJ3156" s="21"/>
      <c r="AK3156" s="21"/>
      <c r="AL3156" s="21"/>
      <c r="AM3156" s="21"/>
      <c r="AN3156" s="21">
        <v>9</v>
      </c>
      <c r="AO3156" s="21"/>
      <c r="AP3156" s="21"/>
      <c r="AQ3156" s="21"/>
      <c r="AR3156" s="21"/>
      <c r="AS3156" s="21"/>
      <c r="AT3156" s="12" t="str">
        <f>HYPERLINK("http://www.openstreetmap.org/?mlat=32.7649&amp;mlon=45.1715&amp;zoom=12#map=12/32.7649/45.1715","Maplink1")</f>
        <v>Maplink1</v>
      </c>
      <c r="AU3156" s="12" t="str">
        <f>HYPERLINK("https://www.google.iq/maps/search/+32.7649,45.1715/@32.7649,45.1715,14z?hl=en","Maplink2")</f>
        <v>Maplink2</v>
      </c>
      <c r="AV3156" s="12" t="str">
        <f>HYPERLINK("http://www.bing.com/maps/?lvl=14&amp;sty=h&amp;cp=32.7649~45.1715&amp;sp=point.32.7649_45.1715","Maplink3")</f>
        <v>Maplink3</v>
      </c>
    </row>
    <row r="3157" spans="1:48" ht="15" customHeight="1" x14ac:dyDescent="0.25">
      <c r="A3157" s="19">
        <v>19397</v>
      </c>
      <c r="B3157" s="20" t="s">
        <v>26</v>
      </c>
      <c r="C3157" s="20" t="s">
        <v>5419</v>
      </c>
      <c r="D3157" s="20" t="s">
        <v>5429</v>
      </c>
      <c r="E3157" s="20" t="s">
        <v>112</v>
      </c>
      <c r="F3157" s="20">
        <v>32.926485999999997</v>
      </c>
      <c r="G3157" s="20">
        <v>44.774676999999997</v>
      </c>
      <c r="H3157" s="22">
        <v>29</v>
      </c>
      <c r="I3157" s="22">
        <v>174</v>
      </c>
      <c r="J3157" s="21">
        <v>14</v>
      </c>
      <c r="K3157" s="21"/>
      <c r="L3157" s="21"/>
      <c r="M3157" s="21"/>
      <c r="N3157" s="21"/>
      <c r="O3157" s="21"/>
      <c r="P3157" s="21"/>
      <c r="Q3157" s="21"/>
      <c r="R3157" s="21"/>
      <c r="S3157" s="21"/>
      <c r="T3157" s="21"/>
      <c r="U3157" s="21"/>
      <c r="V3157" s="21"/>
      <c r="W3157" s="21"/>
      <c r="X3157" s="21">
        <v>15</v>
      </c>
      <c r="Y3157" s="21"/>
      <c r="Z3157" s="21"/>
      <c r="AA3157" s="21"/>
      <c r="AB3157" s="21"/>
      <c r="AC3157" s="21"/>
      <c r="AD3157" s="21"/>
      <c r="AE3157" s="21"/>
      <c r="AF3157" s="21"/>
      <c r="AG3157" s="21"/>
      <c r="AH3157" s="21">
        <v>29</v>
      </c>
      <c r="AI3157" s="21"/>
      <c r="AJ3157" s="21"/>
      <c r="AK3157" s="21"/>
      <c r="AL3157" s="21">
        <v>4</v>
      </c>
      <c r="AM3157" s="21">
        <v>15</v>
      </c>
      <c r="AN3157" s="21"/>
      <c r="AO3157" s="21"/>
      <c r="AP3157" s="21">
        <v>10</v>
      </c>
      <c r="AQ3157" s="21"/>
      <c r="AR3157" s="21"/>
      <c r="AS3157" s="21"/>
      <c r="AT3157" s="12" t="str">
        <f>HYPERLINK("http://www.openstreetmap.org/?mlat=32.9265&amp;mlon=44.7747&amp;zoom=12#map=12/32.9265/44.7747","Maplink1")</f>
        <v>Maplink1</v>
      </c>
      <c r="AU3157" s="12" t="str">
        <f>HYPERLINK("https://www.google.iq/maps/search/+32.9265,44.7747/@32.9265,44.7747,14z?hl=en","Maplink2")</f>
        <v>Maplink2</v>
      </c>
      <c r="AV3157" s="12" t="str">
        <f>HYPERLINK("http://www.bing.com/maps/?lvl=14&amp;sty=h&amp;cp=32.9265~44.7747&amp;sp=point.32.9265_44.7747","Maplink3")</f>
        <v>Maplink3</v>
      </c>
    </row>
    <row r="3158" spans="1:48" ht="15" customHeight="1" x14ac:dyDescent="0.25">
      <c r="A3158" s="19">
        <v>19402</v>
      </c>
      <c r="B3158" s="20" t="s">
        <v>26</v>
      </c>
      <c r="C3158" s="20" t="s">
        <v>5419</v>
      </c>
      <c r="D3158" s="20" t="s">
        <v>5430</v>
      </c>
      <c r="E3158" s="20" t="s">
        <v>3444</v>
      </c>
      <c r="F3158" s="20">
        <v>32.921042993900002</v>
      </c>
      <c r="G3158" s="20">
        <v>44.775403694200001</v>
      </c>
      <c r="H3158" s="22">
        <v>25</v>
      </c>
      <c r="I3158" s="22">
        <v>150</v>
      </c>
      <c r="J3158" s="21">
        <v>8</v>
      </c>
      <c r="K3158" s="21"/>
      <c r="L3158" s="21"/>
      <c r="M3158" s="21"/>
      <c r="N3158" s="21"/>
      <c r="O3158" s="21"/>
      <c r="P3158" s="21"/>
      <c r="Q3158" s="21"/>
      <c r="R3158" s="21"/>
      <c r="S3158" s="21"/>
      <c r="T3158" s="21"/>
      <c r="U3158" s="21"/>
      <c r="V3158" s="21">
        <v>17</v>
      </c>
      <c r="W3158" s="21"/>
      <c r="X3158" s="21"/>
      <c r="Y3158" s="21"/>
      <c r="Z3158" s="21"/>
      <c r="AA3158" s="21"/>
      <c r="AB3158" s="21"/>
      <c r="AC3158" s="21"/>
      <c r="AD3158" s="21"/>
      <c r="AE3158" s="21"/>
      <c r="AF3158" s="21"/>
      <c r="AG3158" s="21"/>
      <c r="AH3158" s="21">
        <v>25</v>
      </c>
      <c r="AI3158" s="21"/>
      <c r="AJ3158" s="21"/>
      <c r="AK3158" s="21"/>
      <c r="AL3158" s="21"/>
      <c r="AM3158" s="21">
        <v>17</v>
      </c>
      <c r="AN3158" s="21"/>
      <c r="AO3158" s="21"/>
      <c r="AP3158" s="21">
        <v>8</v>
      </c>
      <c r="AQ3158" s="21"/>
      <c r="AR3158" s="21"/>
      <c r="AS3158" s="21"/>
      <c r="AT3158" s="12" t="str">
        <f>HYPERLINK("http://www.openstreetmap.org/?mlat=32.921&amp;mlon=44.7754&amp;zoom=12#map=12/32.921/44.7754","Maplink1")</f>
        <v>Maplink1</v>
      </c>
      <c r="AU3158" s="12" t="str">
        <f>HYPERLINK("https://www.google.iq/maps/search/+32.921,44.7754/@32.921,44.7754,14z?hl=en","Maplink2")</f>
        <v>Maplink2</v>
      </c>
      <c r="AV3158" s="12" t="str">
        <f>HYPERLINK("http://www.bing.com/maps/?lvl=14&amp;sty=h&amp;cp=32.921~44.7754&amp;sp=point.32.921_44.7754","Maplink3")</f>
        <v>Maplink3</v>
      </c>
    </row>
    <row r="3159" spans="1:48" ht="15" customHeight="1" x14ac:dyDescent="0.25">
      <c r="A3159" s="19">
        <v>24155</v>
      </c>
      <c r="B3159" s="20" t="s">
        <v>26</v>
      </c>
      <c r="C3159" s="20" t="s">
        <v>5419</v>
      </c>
      <c r="D3159" s="20" t="s">
        <v>5431</v>
      </c>
      <c r="E3159" s="20" t="s">
        <v>1354</v>
      </c>
      <c r="F3159" s="20">
        <v>32.763919999999999</v>
      </c>
      <c r="G3159" s="20">
        <v>45.171753000000002</v>
      </c>
      <c r="H3159" s="22">
        <v>7</v>
      </c>
      <c r="I3159" s="22">
        <v>42</v>
      </c>
      <c r="J3159" s="21"/>
      <c r="K3159" s="21"/>
      <c r="L3159" s="21"/>
      <c r="M3159" s="21"/>
      <c r="N3159" s="21"/>
      <c r="O3159" s="21"/>
      <c r="P3159" s="21"/>
      <c r="Q3159" s="21"/>
      <c r="R3159" s="21"/>
      <c r="S3159" s="21"/>
      <c r="T3159" s="21"/>
      <c r="U3159" s="21"/>
      <c r="V3159" s="21">
        <v>7</v>
      </c>
      <c r="W3159" s="21"/>
      <c r="X3159" s="21"/>
      <c r="Y3159" s="21"/>
      <c r="Z3159" s="21"/>
      <c r="AA3159" s="21"/>
      <c r="AB3159" s="21"/>
      <c r="AC3159" s="21"/>
      <c r="AD3159" s="21"/>
      <c r="AE3159" s="21"/>
      <c r="AF3159" s="21"/>
      <c r="AG3159" s="21"/>
      <c r="AH3159" s="21">
        <v>7</v>
      </c>
      <c r="AI3159" s="21"/>
      <c r="AJ3159" s="21"/>
      <c r="AK3159" s="21"/>
      <c r="AL3159" s="21"/>
      <c r="AM3159" s="21">
        <v>7</v>
      </c>
      <c r="AN3159" s="21"/>
      <c r="AO3159" s="21"/>
      <c r="AP3159" s="21"/>
      <c r="AQ3159" s="21"/>
      <c r="AR3159" s="21"/>
      <c r="AS3159" s="21"/>
      <c r="AT3159" s="12" t="str">
        <f>HYPERLINK("http://www.openstreetmap.org/?mlat=32.7639&amp;mlon=45.1718&amp;zoom=12#map=12/32.7639/45.1718","Maplink1")</f>
        <v>Maplink1</v>
      </c>
      <c r="AU3159" s="12" t="str">
        <f>HYPERLINK("https://www.google.iq/maps/search/+32.7639,45.1718/@32.7639,45.1718,14z?hl=en","Maplink2")</f>
        <v>Maplink2</v>
      </c>
      <c r="AV3159" s="12" t="str">
        <f>HYPERLINK("http://www.bing.com/maps/?lvl=14&amp;sty=h&amp;cp=32.7639~45.1718&amp;sp=point.32.7639_45.1718","Maplink3")</f>
        <v>Maplink3</v>
      </c>
    </row>
    <row r="3160" spans="1:48" ht="15" customHeight="1" x14ac:dyDescent="0.25">
      <c r="A3160" s="19">
        <v>25387</v>
      </c>
      <c r="B3160" s="20" t="s">
        <v>26</v>
      </c>
      <c r="C3160" s="20" t="s">
        <v>5419</v>
      </c>
      <c r="D3160" s="20" t="s">
        <v>5432</v>
      </c>
      <c r="E3160" s="20" t="s">
        <v>3285</v>
      </c>
      <c r="F3160" s="20">
        <v>32.930100000000003</v>
      </c>
      <c r="G3160" s="20">
        <v>44.773544000000001</v>
      </c>
      <c r="H3160" s="22">
        <v>23</v>
      </c>
      <c r="I3160" s="22">
        <v>138</v>
      </c>
      <c r="J3160" s="21"/>
      <c r="K3160" s="21"/>
      <c r="L3160" s="21"/>
      <c r="M3160" s="21"/>
      <c r="N3160" s="21"/>
      <c r="O3160" s="21"/>
      <c r="P3160" s="21"/>
      <c r="Q3160" s="21"/>
      <c r="R3160" s="21"/>
      <c r="S3160" s="21"/>
      <c r="T3160" s="21"/>
      <c r="U3160" s="21"/>
      <c r="V3160" s="21">
        <v>13</v>
      </c>
      <c r="W3160" s="21"/>
      <c r="X3160" s="21">
        <v>10</v>
      </c>
      <c r="Y3160" s="21"/>
      <c r="Z3160" s="21"/>
      <c r="AA3160" s="21"/>
      <c r="AB3160" s="21"/>
      <c r="AC3160" s="21"/>
      <c r="AD3160" s="21"/>
      <c r="AE3160" s="21"/>
      <c r="AF3160" s="21"/>
      <c r="AG3160" s="21"/>
      <c r="AH3160" s="21">
        <v>23</v>
      </c>
      <c r="AI3160" s="21"/>
      <c r="AJ3160" s="21"/>
      <c r="AK3160" s="21"/>
      <c r="AL3160" s="21"/>
      <c r="AM3160" s="21">
        <v>20</v>
      </c>
      <c r="AN3160" s="21"/>
      <c r="AO3160" s="21"/>
      <c r="AP3160" s="21"/>
      <c r="AQ3160" s="21"/>
      <c r="AR3160" s="21">
        <v>3</v>
      </c>
      <c r="AS3160" s="21"/>
      <c r="AT3160" s="12" t="str">
        <f>HYPERLINK("http://www.openstreetmap.org/?mlat=32.9301&amp;mlon=44.7735&amp;zoom=12#map=12/32.9301/44.7735","Maplink1")</f>
        <v>Maplink1</v>
      </c>
      <c r="AU3160" s="12" t="str">
        <f>HYPERLINK("https://www.google.iq/maps/search/+32.9301,44.7735/@32.9301,44.7735,14z?hl=en","Maplink2")</f>
        <v>Maplink2</v>
      </c>
      <c r="AV3160" s="12" t="str">
        <f>HYPERLINK("http://www.bing.com/maps/?lvl=14&amp;sty=h&amp;cp=32.9301~44.7735&amp;sp=point.32.9301_44.7735","Maplink3")</f>
        <v>Maplink3</v>
      </c>
    </row>
    <row r="3161" spans="1:48" ht="15" customHeight="1" x14ac:dyDescent="0.25">
      <c r="A3161" s="19">
        <v>25386</v>
      </c>
      <c r="B3161" s="20" t="s">
        <v>26</v>
      </c>
      <c r="C3161" s="20" t="s">
        <v>5419</v>
      </c>
      <c r="D3161" s="20" t="s">
        <v>5937</v>
      </c>
      <c r="E3161" s="20" t="s">
        <v>5738</v>
      </c>
      <c r="F3161" s="20">
        <v>32.932531110399999</v>
      </c>
      <c r="G3161" s="20">
        <v>44.770721610599999</v>
      </c>
      <c r="H3161" s="22">
        <v>18</v>
      </c>
      <c r="I3161" s="22">
        <v>108</v>
      </c>
      <c r="J3161" s="21"/>
      <c r="K3161" s="21"/>
      <c r="L3161" s="21"/>
      <c r="M3161" s="21"/>
      <c r="N3161" s="21"/>
      <c r="O3161" s="21"/>
      <c r="P3161" s="21"/>
      <c r="Q3161" s="21"/>
      <c r="R3161" s="21"/>
      <c r="S3161" s="21"/>
      <c r="T3161" s="21"/>
      <c r="U3161" s="21"/>
      <c r="V3161" s="21">
        <v>18</v>
      </c>
      <c r="W3161" s="21"/>
      <c r="X3161" s="21"/>
      <c r="Y3161" s="21"/>
      <c r="Z3161" s="21"/>
      <c r="AA3161" s="21"/>
      <c r="AB3161" s="21"/>
      <c r="AC3161" s="21"/>
      <c r="AD3161" s="21"/>
      <c r="AE3161" s="21"/>
      <c r="AF3161" s="21"/>
      <c r="AG3161" s="21"/>
      <c r="AH3161" s="21">
        <v>18</v>
      </c>
      <c r="AI3161" s="21"/>
      <c r="AJ3161" s="21"/>
      <c r="AK3161" s="21"/>
      <c r="AL3161" s="21"/>
      <c r="AM3161" s="21">
        <v>18</v>
      </c>
      <c r="AN3161" s="21"/>
      <c r="AO3161" s="21"/>
      <c r="AP3161" s="21"/>
      <c r="AQ3161" s="21"/>
      <c r="AR3161" s="21"/>
      <c r="AS3161" s="21"/>
      <c r="AT3161" s="12" t="str">
        <f>HYPERLINK("http://www.openstreetmap.org/?mlat=32.9325&amp;mlon=44.7707&amp;zoom=12#map=12/32.9325/44.7707","Maplink1")</f>
        <v>Maplink1</v>
      </c>
      <c r="AU3161" s="12" t="str">
        <f>HYPERLINK("https://www.google.iq/maps/search/+32.9325,44.7707/@32.9325,44.7707,14z?hl=en","Maplink2")</f>
        <v>Maplink2</v>
      </c>
      <c r="AV3161" s="12" t="str">
        <f>HYPERLINK("http://www.bing.com/maps/?lvl=14&amp;sty=h&amp;cp=32.9325~44.7707&amp;sp=point.32.9325_44.7707","Maplink3")</f>
        <v>Maplink3</v>
      </c>
    </row>
    <row r="3162" spans="1:48" ht="15" customHeight="1" x14ac:dyDescent="0.25">
      <c r="A3162" s="19">
        <v>25110</v>
      </c>
      <c r="B3162" s="20" t="s">
        <v>26</v>
      </c>
      <c r="C3162" s="20" t="s">
        <v>5419</v>
      </c>
      <c r="D3162" s="20" t="s">
        <v>381</v>
      </c>
      <c r="E3162" s="20" t="s">
        <v>1416</v>
      </c>
      <c r="F3162" s="20">
        <v>32.759123000000002</v>
      </c>
      <c r="G3162" s="20">
        <v>45.168281</v>
      </c>
      <c r="H3162" s="22">
        <v>5</v>
      </c>
      <c r="I3162" s="22">
        <v>30</v>
      </c>
      <c r="J3162" s="21">
        <v>5</v>
      </c>
      <c r="K3162" s="21"/>
      <c r="L3162" s="21"/>
      <c r="M3162" s="21"/>
      <c r="N3162" s="21"/>
      <c r="O3162" s="21"/>
      <c r="P3162" s="21"/>
      <c r="Q3162" s="21"/>
      <c r="R3162" s="21"/>
      <c r="S3162" s="21"/>
      <c r="T3162" s="21"/>
      <c r="U3162" s="21"/>
      <c r="V3162" s="21"/>
      <c r="W3162" s="21"/>
      <c r="X3162" s="21"/>
      <c r="Y3162" s="21"/>
      <c r="Z3162" s="21"/>
      <c r="AA3162" s="21"/>
      <c r="AB3162" s="21"/>
      <c r="AC3162" s="21"/>
      <c r="AD3162" s="21"/>
      <c r="AE3162" s="21"/>
      <c r="AF3162" s="21"/>
      <c r="AG3162" s="21"/>
      <c r="AH3162" s="21">
        <v>5</v>
      </c>
      <c r="AI3162" s="21"/>
      <c r="AJ3162" s="21"/>
      <c r="AK3162" s="21"/>
      <c r="AL3162" s="21"/>
      <c r="AM3162" s="21"/>
      <c r="AN3162" s="21"/>
      <c r="AO3162" s="21"/>
      <c r="AP3162" s="21">
        <v>5</v>
      </c>
      <c r="AQ3162" s="21"/>
      <c r="AR3162" s="21"/>
      <c r="AS3162" s="21"/>
      <c r="AT3162" s="12" t="str">
        <f>HYPERLINK("http://www.openstreetmap.org/?mlat=32.7591&amp;mlon=45.1683&amp;zoom=12#map=12/32.7591/45.1683","Maplink1")</f>
        <v>Maplink1</v>
      </c>
      <c r="AU3162" s="12" t="str">
        <f>HYPERLINK("https://www.google.iq/maps/search/+32.7591,45.1683/@32.7591,45.1683,14z?hl=en","Maplink2")</f>
        <v>Maplink2</v>
      </c>
      <c r="AV3162" s="12" t="str">
        <f>HYPERLINK("http://www.bing.com/maps/?lvl=14&amp;sty=h&amp;cp=32.7591~45.1683&amp;sp=point.32.7591_45.1683","Maplink3")</f>
        <v>Maplink3</v>
      </c>
    </row>
    <row r="3163" spans="1:48" ht="15" customHeight="1" x14ac:dyDescent="0.25">
      <c r="A3163" s="19">
        <v>25111</v>
      </c>
      <c r="B3163" s="20" t="s">
        <v>26</v>
      </c>
      <c r="C3163" s="20" t="s">
        <v>5419</v>
      </c>
      <c r="D3163" s="20" t="s">
        <v>5433</v>
      </c>
      <c r="E3163" s="20" t="s">
        <v>5434</v>
      </c>
      <c r="F3163" s="20">
        <v>32.767050812199997</v>
      </c>
      <c r="G3163" s="20">
        <v>45.171015255999997</v>
      </c>
      <c r="H3163" s="22">
        <v>5</v>
      </c>
      <c r="I3163" s="22">
        <v>30</v>
      </c>
      <c r="J3163" s="21">
        <v>2</v>
      </c>
      <c r="K3163" s="21"/>
      <c r="L3163" s="21"/>
      <c r="M3163" s="21"/>
      <c r="N3163" s="21"/>
      <c r="O3163" s="21"/>
      <c r="P3163" s="21"/>
      <c r="Q3163" s="21"/>
      <c r="R3163" s="21"/>
      <c r="S3163" s="21"/>
      <c r="T3163" s="21"/>
      <c r="U3163" s="21"/>
      <c r="V3163" s="21">
        <v>3</v>
      </c>
      <c r="W3163" s="21"/>
      <c r="X3163" s="21"/>
      <c r="Y3163" s="21"/>
      <c r="Z3163" s="21"/>
      <c r="AA3163" s="21"/>
      <c r="AB3163" s="21"/>
      <c r="AC3163" s="21"/>
      <c r="AD3163" s="21"/>
      <c r="AE3163" s="21"/>
      <c r="AF3163" s="21"/>
      <c r="AG3163" s="21"/>
      <c r="AH3163" s="21">
        <v>5</v>
      </c>
      <c r="AI3163" s="21"/>
      <c r="AJ3163" s="21"/>
      <c r="AK3163" s="21"/>
      <c r="AL3163" s="21"/>
      <c r="AM3163" s="21">
        <v>5</v>
      </c>
      <c r="AN3163" s="21"/>
      <c r="AO3163" s="21"/>
      <c r="AP3163" s="21"/>
      <c r="AQ3163" s="21"/>
      <c r="AR3163" s="21"/>
      <c r="AS3163" s="21"/>
      <c r="AT3163" s="12" t="str">
        <f>HYPERLINK("http://www.openstreetmap.org/?mlat=32.7671&amp;mlon=45.171&amp;zoom=12#map=12/32.7671/45.171","Maplink1")</f>
        <v>Maplink1</v>
      </c>
      <c r="AU3163" s="12" t="str">
        <f>HYPERLINK("https://www.google.iq/maps/search/+32.7671,45.171/@32.7671,45.171,14z?hl=en","Maplink2")</f>
        <v>Maplink2</v>
      </c>
      <c r="AV3163" s="12" t="str">
        <f>HYPERLINK("http://www.bing.com/maps/?lvl=14&amp;sty=h&amp;cp=32.7671~45.171&amp;sp=point.32.7671_45.171","Maplink3")</f>
        <v>Maplink3</v>
      </c>
    </row>
    <row r="3164" spans="1:48" ht="15" customHeight="1" x14ac:dyDescent="0.25">
      <c r="A3164" s="19">
        <v>25315</v>
      </c>
      <c r="B3164" s="20" t="s">
        <v>26</v>
      </c>
      <c r="C3164" s="20" t="s">
        <v>5435</v>
      </c>
      <c r="D3164" s="20" t="s">
        <v>5436</v>
      </c>
      <c r="E3164" s="20" t="s">
        <v>5437</v>
      </c>
      <c r="F3164" s="20">
        <v>33.092124736999999</v>
      </c>
      <c r="G3164" s="20">
        <v>45.961512798199998</v>
      </c>
      <c r="H3164" s="22">
        <v>4</v>
      </c>
      <c r="I3164" s="22">
        <v>24</v>
      </c>
      <c r="J3164" s="21"/>
      <c r="K3164" s="21"/>
      <c r="L3164" s="21"/>
      <c r="M3164" s="21"/>
      <c r="N3164" s="21"/>
      <c r="O3164" s="21"/>
      <c r="P3164" s="21"/>
      <c r="Q3164" s="21"/>
      <c r="R3164" s="21"/>
      <c r="S3164" s="21"/>
      <c r="T3164" s="21"/>
      <c r="U3164" s="21"/>
      <c r="V3164" s="21">
        <v>4</v>
      </c>
      <c r="W3164" s="21"/>
      <c r="X3164" s="21"/>
      <c r="Y3164" s="21"/>
      <c r="Z3164" s="21"/>
      <c r="AA3164" s="21"/>
      <c r="AB3164" s="21"/>
      <c r="AC3164" s="21">
        <v>4</v>
      </c>
      <c r="AD3164" s="21"/>
      <c r="AE3164" s="21"/>
      <c r="AF3164" s="21"/>
      <c r="AG3164" s="21"/>
      <c r="AH3164" s="21"/>
      <c r="AI3164" s="21"/>
      <c r="AJ3164" s="21"/>
      <c r="AK3164" s="21"/>
      <c r="AL3164" s="21"/>
      <c r="AM3164" s="21">
        <v>4</v>
      </c>
      <c r="AN3164" s="21"/>
      <c r="AO3164" s="21"/>
      <c r="AP3164" s="21"/>
      <c r="AQ3164" s="21"/>
      <c r="AR3164" s="21"/>
      <c r="AS3164" s="21"/>
      <c r="AT3164" s="12" t="str">
        <f>HYPERLINK("http://www.openstreetmap.org/?mlat=33.0921&amp;mlon=45.9615&amp;zoom=12#map=12/33.0921/45.9615","Maplink1")</f>
        <v>Maplink1</v>
      </c>
      <c r="AU3164" s="12" t="str">
        <f>HYPERLINK("https://www.google.iq/maps/search/+33.0921,45.9615/@33.0921,45.9615,14z?hl=en","Maplink2")</f>
        <v>Maplink2</v>
      </c>
      <c r="AV3164" s="12" t="str">
        <f>HYPERLINK("http://www.bing.com/maps/?lvl=14&amp;sty=h&amp;cp=33.0921~45.9615&amp;sp=point.33.0921_45.9615","Maplink3")</f>
        <v>Maplink3</v>
      </c>
    </row>
    <row r="3165" spans="1:48" ht="15" customHeight="1" x14ac:dyDescent="0.25">
      <c r="A3165" s="19">
        <v>19492</v>
      </c>
      <c r="B3165" s="20" t="s">
        <v>26</v>
      </c>
      <c r="C3165" s="20" t="s">
        <v>5435</v>
      </c>
      <c r="D3165" s="20" t="s">
        <v>5944</v>
      </c>
      <c r="E3165" s="20" t="s">
        <v>5945</v>
      </c>
      <c r="F3165" s="20">
        <v>33.111661101000003</v>
      </c>
      <c r="G3165" s="20">
        <v>45.9461157004</v>
      </c>
      <c r="H3165" s="22">
        <v>8</v>
      </c>
      <c r="I3165" s="22">
        <v>48</v>
      </c>
      <c r="J3165" s="21"/>
      <c r="K3165" s="21"/>
      <c r="L3165" s="21"/>
      <c r="M3165" s="21"/>
      <c r="N3165" s="21"/>
      <c r="O3165" s="21"/>
      <c r="P3165" s="21"/>
      <c r="Q3165" s="21"/>
      <c r="R3165" s="21"/>
      <c r="S3165" s="21"/>
      <c r="T3165" s="21"/>
      <c r="U3165" s="21"/>
      <c r="V3165" s="21">
        <v>8</v>
      </c>
      <c r="W3165" s="21"/>
      <c r="X3165" s="21"/>
      <c r="Y3165" s="21"/>
      <c r="Z3165" s="21"/>
      <c r="AA3165" s="21"/>
      <c r="AB3165" s="21"/>
      <c r="AC3165" s="21"/>
      <c r="AD3165" s="21"/>
      <c r="AE3165" s="21"/>
      <c r="AF3165" s="21"/>
      <c r="AG3165" s="21"/>
      <c r="AH3165" s="21">
        <v>8</v>
      </c>
      <c r="AI3165" s="21"/>
      <c r="AJ3165" s="21"/>
      <c r="AK3165" s="21"/>
      <c r="AL3165" s="21"/>
      <c r="AM3165" s="21">
        <v>8</v>
      </c>
      <c r="AN3165" s="21"/>
      <c r="AO3165" s="21"/>
      <c r="AP3165" s="21"/>
      <c r="AQ3165" s="21"/>
      <c r="AR3165" s="21"/>
      <c r="AS3165" s="21"/>
      <c r="AT3165" s="12" t="str">
        <f>HYPERLINK("http://www.openstreetmap.org/?mlat=33.1117&amp;mlon=45.9461&amp;zoom=12#map=12/33.1117/45.9461","Maplink1")</f>
        <v>Maplink1</v>
      </c>
      <c r="AU3165" s="12" t="str">
        <f>HYPERLINK("https://www.google.iq/maps/search/+33.1117,45.9461/@33.1117,45.9461,14z?hl=en","Maplink2")</f>
        <v>Maplink2</v>
      </c>
      <c r="AV3165" s="12" t="str">
        <f>HYPERLINK("http://www.bing.com/maps/?lvl=14&amp;sty=h&amp;cp=33.1117~45.9461&amp;sp=point.33.1117_45.9461","Maplink3")</f>
        <v>Maplink3</v>
      </c>
    </row>
    <row r="3166" spans="1:48" ht="15" customHeight="1" x14ac:dyDescent="0.25">
      <c r="A3166" s="19">
        <v>18459</v>
      </c>
      <c r="B3166" s="20" t="s">
        <v>26</v>
      </c>
      <c r="C3166" s="20" t="s">
        <v>5435</v>
      </c>
      <c r="D3166" s="20" t="s">
        <v>5438</v>
      </c>
      <c r="E3166" s="20" t="s">
        <v>5439</v>
      </c>
      <c r="F3166" s="20">
        <v>33.116114559099998</v>
      </c>
      <c r="G3166" s="20">
        <v>45.931812026000003</v>
      </c>
      <c r="H3166" s="22">
        <v>5</v>
      </c>
      <c r="I3166" s="22">
        <v>30</v>
      </c>
      <c r="J3166" s="21"/>
      <c r="K3166" s="21"/>
      <c r="L3166" s="21"/>
      <c r="M3166" s="21"/>
      <c r="N3166" s="21"/>
      <c r="O3166" s="21"/>
      <c r="P3166" s="21"/>
      <c r="Q3166" s="21"/>
      <c r="R3166" s="21"/>
      <c r="S3166" s="21"/>
      <c r="T3166" s="21"/>
      <c r="U3166" s="21"/>
      <c r="V3166" s="21">
        <v>5</v>
      </c>
      <c r="W3166" s="21"/>
      <c r="X3166" s="21"/>
      <c r="Y3166" s="21"/>
      <c r="Z3166" s="21"/>
      <c r="AA3166" s="21"/>
      <c r="AB3166" s="21"/>
      <c r="AC3166" s="21"/>
      <c r="AD3166" s="21"/>
      <c r="AE3166" s="21"/>
      <c r="AF3166" s="21"/>
      <c r="AG3166" s="21"/>
      <c r="AH3166" s="21">
        <v>5</v>
      </c>
      <c r="AI3166" s="21"/>
      <c r="AJ3166" s="21"/>
      <c r="AK3166" s="21"/>
      <c r="AL3166" s="21"/>
      <c r="AM3166" s="21">
        <v>5</v>
      </c>
      <c r="AN3166" s="21"/>
      <c r="AO3166" s="21"/>
      <c r="AP3166" s="21"/>
      <c r="AQ3166" s="21"/>
      <c r="AR3166" s="21"/>
      <c r="AS3166" s="21"/>
      <c r="AT3166" s="12" t="str">
        <f>HYPERLINK("http://www.openstreetmap.org/?mlat=33.1161&amp;mlon=45.9318&amp;zoom=12#map=12/33.1161/45.9318","Maplink1")</f>
        <v>Maplink1</v>
      </c>
      <c r="AU3166" s="12" t="str">
        <f>HYPERLINK("https://www.google.iq/maps/search/+33.1161,45.9318/@33.1161,45.9318,14z?hl=en","Maplink2")</f>
        <v>Maplink2</v>
      </c>
      <c r="AV3166" s="12" t="str">
        <f>HYPERLINK("http://www.bing.com/maps/?lvl=14&amp;sty=h&amp;cp=33.1161~45.9318&amp;sp=point.33.1161_45.9318","Maplink3")</f>
        <v>Maplink3</v>
      </c>
    </row>
    <row r="3167" spans="1:48" ht="15" customHeight="1" x14ac:dyDescent="0.25">
      <c r="A3167" s="19">
        <v>25313</v>
      </c>
      <c r="B3167" s="20" t="s">
        <v>26</v>
      </c>
      <c r="C3167" s="20" t="s">
        <v>5435</v>
      </c>
      <c r="D3167" s="20" t="s">
        <v>3066</v>
      </c>
      <c r="E3167" s="20" t="s">
        <v>216</v>
      </c>
      <c r="F3167" s="20">
        <v>33.11637589</v>
      </c>
      <c r="G3167" s="20">
        <v>45.932344319999999</v>
      </c>
      <c r="H3167" s="22">
        <v>5</v>
      </c>
      <c r="I3167" s="22">
        <v>30</v>
      </c>
      <c r="J3167" s="21"/>
      <c r="K3167" s="21"/>
      <c r="L3167" s="21"/>
      <c r="M3167" s="21"/>
      <c r="N3167" s="21"/>
      <c r="O3167" s="21"/>
      <c r="P3167" s="21"/>
      <c r="Q3167" s="21"/>
      <c r="R3167" s="21"/>
      <c r="S3167" s="21"/>
      <c r="T3167" s="21"/>
      <c r="U3167" s="21"/>
      <c r="V3167" s="21">
        <v>5</v>
      </c>
      <c r="W3167" s="21"/>
      <c r="X3167" s="21"/>
      <c r="Y3167" s="21"/>
      <c r="Z3167" s="21"/>
      <c r="AA3167" s="21"/>
      <c r="AB3167" s="21"/>
      <c r="AC3167" s="21"/>
      <c r="AD3167" s="21"/>
      <c r="AE3167" s="21"/>
      <c r="AF3167" s="21"/>
      <c r="AG3167" s="21"/>
      <c r="AH3167" s="21">
        <v>5</v>
      </c>
      <c r="AI3167" s="21"/>
      <c r="AJ3167" s="21"/>
      <c r="AK3167" s="21"/>
      <c r="AL3167" s="21"/>
      <c r="AM3167" s="21"/>
      <c r="AN3167" s="21">
        <v>5</v>
      </c>
      <c r="AO3167" s="21"/>
      <c r="AP3167" s="21"/>
      <c r="AQ3167" s="21"/>
      <c r="AR3167" s="21"/>
      <c r="AS3167" s="21"/>
      <c r="AT3167" s="12" t="str">
        <f>HYPERLINK("http://www.openstreetmap.org/?mlat=33.1164&amp;mlon=45.9323&amp;zoom=12#map=12/33.1164/45.9323","Maplink1")</f>
        <v>Maplink1</v>
      </c>
      <c r="AU3167" s="12" t="str">
        <f>HYPERLINK("https://www.google.iq/maps/search/+33.1164,45.9323/@33.1164,45.9323,14z?hl=en","Maplink2")</f>
        <v>Maplink2</v>
      </c>
      <c r="AV3167" s="12" t="str">
        <f>HYPERLINK("http://www.bing.com/maps/?lvl=14&amp;sty=h&amp;cp=33.1164~45.9323&amp;sp=point.33.1164_45.9323","Maplink3")</f>
        <v>Maplink3</v>
      </c>
    </row>
    <row r="3168" spans="1:48" ht="15" customHeight="1" x14ac:dyDescent="0.25">
      <c r="A3168" s="19">
        <v>25314</v>
      </c>
      <c r="B3168" s="20" t="s">
        <v>26</v>
      </c>
      <c r="C3168" s="20" t="s">
        <v>5435</v>
      </c>
      <c r="D3168" s="20" t="s">
        <v>381</v>
      </c>
      <c r="E3168" s="20" t="s">
        <v>1416</v>
      </c>
      <c r="F3168" s="20">
        <v>33.109747580300002</v>
      </c>
      <c r="G3168" s="20">
        <v>45.929524197900001</v>
      </c>
      <c r="H3168" s="22">
        <v>13</v>
      </c>
      <c r="I3168" s="22">
        <v>78</v>
      </c>
      <c r="J3168" s="21"/>
      <c r="K3168" s="21"/>
      <c r="L3168" s="21"/>
      <c r="M3168" s="21"/>
      <c r="N3168" s="21"/>
      <c r="O3168" s="21"/>
      <c r="P3168" s="21"/>
      <c r="Q3168" s="21"/>
      <c r="R3168" s="21"/>
      <c r="S3168" s="21"/>
      <c r="T3168" s="21"/>
      <c r="U3168" s="21"/>
      <c r="V3168" s="21">
        <v>13</v>
      </c>
      <c r="W3168" s="21"/>
      <c r="X3168" s="21"/>
      <c r="Y3168" s="21"/>
      <c r="Z3168" s="21"/>
      <c r="AA3168" s="21"/>
      <c r="AB3168" s="21"/>
      <c r="AC3168" s="21"/>
      <c r="AD3168" s="21"/>
      <c r="AE3168" s="21"/>
      <c r="AF3168" s="21"/>
      <c r="AG3168" s="21"/>
      <c r="AH3168" s="21">
        <v>13</v>
      </c>
      <c r="AI3168" s="21"/>
      <c r="AJ3168" s="21"/>
      <c r="AK3168" s="21"/>
      <c r="AL3168" s="21"/>
      <c r="AM3168" s="21">
        <v>13</v>
      </c>
      <c r="AN3168" s="21"/>
      <c r="AO3168" s="21"/>
      <c r="AP3168" s="21"/>
      <c r="AQ3168" s="21"/>
      <c r="AR3168" s="21"/>
      <c r="AS3168" s="21"/>
      <c r="AT3168" s="12" t="str">
        <f>HYPERLINK("http://www.openstreetmap.org/?mlat=33.1097&amp;mlon=45.9295&amp;zoom=12#map=12/33.1097/45.9295","Maplink1")</f>
        <v>Maplink1</v>
      </c>
      <c r="AU3168" s="12" t="str">
        <f>HYPERLINK("https://www.google.iq/maps/search/+33.1097,45.9295/@33.1097,45.9295,14z?hl=en","Maplink2")</f>
        <v>Maplink2</v>
      </c>
      <c r="AV3168" s="12" t="str">
        <f>HYPERLINK("http://www.bing.com/maps/?lvl=14&amp;sty=h&amp;cp=33.1097~45.9295&amp;sp=point.33.1097_45.9295","Maplink3")</f>
        <v>Maplink3</v>
      </c>
    </row>
    <row r="3169" spans="1:48" ht="15" customHeight="1" x14ac:dyDescent="0.25">
      <c r="A3169" s="19">
        <v>18438</v>
      </c>
      <c r="B3169" s="20" t="s">
        <v>26</v>
      </c>
      <c r="C3169" s="20" t="s">
        <v>5435</v>
      </c>
      <c r="D3169" s="20" t="s">
        <v>5440</v>
      </c>
      <c r="E3169" s="20" t="s">
        <v>5441</v>
      </c>
      <c r="F3169" s="20">
        <v>32.968191269999998</v>
      </c>
      <c r="G3169" s="20">
        <v>45.868254970000002</v>
      </c>
      <c r="H3169" s="22">
        <v>13</v>
      </c>
      <c r="I3169" s="22">
        <v>78</v>
      </c>
      <c r="J3169" s="21">
        <v>3</v>
      </c>
      <c r="K3169" s="21"/>
      <c r="L3169" s="21"/>
      <c r="M3169" s="21"/>
      <c r="N3169" s="21"/>
      <c r="O3169" s="21"/>
      <c r="P3169" s="21"/>
      <c r="Q3169" s="21"/>
      <c r="R3169" s="21"/>
      <c r="S3169" s="21"/>
      <c r="T3169" s="21"/>
      <c r="U3169" s="21"/>
      <c r="V3169" s="21">
        <v>10</v>
      </c>
      <c r="W3169" s="21"/>
      <c r="X3169" s="21"/>
      <c r="Y3169" s="21"/>
      <c r="Z3169" s="21"/>
      <c r="AA3169" s="21"/>
      <c r="AB3169" s="21"/>
      <c r="AC3169" s="21"/>
      <c r="AD3169" s="21"/>
      <c r="AE3169" s="21"/>
      <c r="AF3169" s="21"/>
      <c r="AG3169" s="21"/>
      <c r="AH3169" s="21">
        <v>13</v>
      </c>
      <c r="AI3169" s="21"/>
      <c r="AJ3169" s="21"/>
      <c r="AK3169" s="21"/>
      <c r="AL3169" s="21">
        <v>3</v>
      </c>
      <c r="AM3169" s="21">
        <v>10</v>
      </c>
      <c r="AN3169" s="21"/>
      <c r="AO3169" s="21"/>
      <c r="AP3169" s="21"/>
      <c r="AQ3169" s="21"/>
      <c r="AR3169" s="21"/>
      <c r="AS3169" s="21"/>
      <c r="AT3169" s="12" t="str">
        <f>HYPERLINK("http://www.openstreetmap.org/?mlat=32.9682&amp;mlon=45.8683&amp;zoom=12#map=12/32.9682/45.8683","Maplink1")</f>
        <v>Maplink1</v>
      </c>
      <c r="AU3169" s="12" t="str">
        <f>HYPERLINK("https://www.google.iq/maps/search/+32.9682,45.8683/@32.9682,45.8683,14z?hl=en","Maplink2")</f>
        <v>Maplink2</v>
      </c>
      <c r="AV3169" s="12" t="str">
        <f>HYPERLINK("http://www.bing.com/maps/?lvl=14&amp;sty=h&amp;cp=32.9682~45.8683&amp;sp=point.32.9682_45.8683","Maplink3")</f>
        <v>Maplink3</v>
      </c>
    </row>
    <row r="3170" spans="1:48" ht="15" customHeight="1" x14ac:dyDescent="0.25">
      <c r="A3170" s="19">
        <v>19548</v>
      </c>
      <c r="B3170" s="20" t="s">
        <v>26</v>
      </c>
      <c r="C3170" s="20" t="s">
        <v>5442</v>
      </c>
      <c r="D3170" s="20" t="s">
        <v>5443</v>
      </c>
      <c r="E3170" s="20" t="s">
        <v>5444</v>
      </c>
      <c r="F3170" s="20">
        <v>32.565978283200003</v>
      </c>
      <c r="G3170" s="20">
        <v>45.649532880400002</v>
      </c>
      <c r="H3170" s="22">
        <v>35</v>
      </c>
      <c r="I3170" s="22">
        <v>210</v>
      </c>
      <c r="J3170" s="21"/>
      <c r="K3170" s="21"/>
      <c r="L3170" s="21"/>
      <c r="M3170" s="21"/>
      <c r="N3170" s="21"/>
      <c r="O3170" s="21"/>
      <c r="P3170" s="21"/>
      <c r="Q3170" s="21"/>
      <c r="R3170" s="21"/>
      <c r="S3170" s="21"/>
      <c r="T3170" s="21"/>
      <c r="U3170" s="21"/>
      <c r="V3170" s="21">
        <v>35</v>
      </c>
      <c r="W3170" s="21"/>
      <c r="X3170" s="21"/>
      <c r="Y3170" s="21"/>
      <c r="Z3170" s="21"/>
      <c r="AA3170" s="21"/>
      <c r="AB3170" s="21"/>
      <c r="AC3170" s="21"/>
      <c r="AD3170" s="21"/>
      <c r="AE3170" s="21"/>
      <c r="AF3170" s="21"/>
      <c r="AG3170" s="21">
        <v>10</v>
      </c>
      <c r="AH3170" s="21">
        <v>25</v>
      </c>
      <c r="AI3170" s="21"/>
      <c r="AJ3170" s="21"/>
      <c r="AK3170" s="21"/>
      <c r="AL3170" s="21"/>
      <c r="AM3170" s="21">
        <v>35</v>
      </c>
      <c r="AN3170" s="21"/>
      <c r="AO3170" s="21"/>
      <c r="AP3170" s="21"/>
      <c r="AQ3170" s="21"/>
      <c r="AR3170" s="21"/>
      <c r="AS3170" s="21"/>
      <c r="AT3170" s="12" t="str">
        <f>HYPERLINK("http://www.openstreetmap.org/?mlat=32.566&amp;mlon=45.6495&amp;zoom=12#map=12/32.566/45.6495","Maplink1")</f>
        <v>Maplink1</v>
      </c>
      <c r="AU3170" s="12" t="str">
        <f>HYPERLINK("https://www.google.iq/maps/search/+32.566,45.6495/@32.566,45.6495,14z?hl=en","Maplink2")</f>
        <v>Maplink2</v>
      </c>
      <c r="AV3170" s="12" t="str">
        <f>HYPERLINK("http://www.bing.com/maps/?lvl=14&amp;sty=h&amp;cp=32.566~45.6495&amp;sp=point.32.566_45.6495","Maplink3")</f>
        <v>Maplink3</v>
      </c>
    </row>
    <row r="3171" spans="1:48" ht="15" customHeight="1" x14ac:dyDescent="0.25">
      <c r="A3171" s="19">
        <v>24220</v>
      </c>
      <c r="B3171" s="20" t="s">
        <v>26</v>
      </c>
      <c r="C3171" s="20" t="s">
        <v>5442</v>
      </c>
      <c r="D3171" s="20" t="s">
        <v>5445</v>
      </c>
      <c r="E3171" s="20" t="s">
        <v>5446</v>
      </c>
      <c r="F3171" s="20">
        <v>32.461965646300001</v>
      </c>
      <c r="G3171" s="20">
        <v>46.072253611299999</v>
      </c>
      <c r="H3171" s="22">
        <v>3</v>
      </c>
      <c r="I3171" s="22">
        <v>18</v>
      </c>
      <c r="J3171" s="21"/>
      <c r="K3171" s="21"/>
      <c r="L3171" s="21"/>
      <c r="M3171" s="21"/>
      <c r="N3171" s="21"/>
      <c r="O3171" s="21"/>
      <c r="P3171" s="21"/>
      <c r="Q3171" s="21"/>
      <c r="R3171" s="21"/>
      <c r="S3171" s="21"/>
      <c r="T3171" s="21"/>
      <c r="U3171" s="21"/>
      <c r="V3171" s="21">
        <v>3</v>
      </c>
      <c r="W3171" s="21"/>
      <c r="X3171" s="21"/>
      <c r="Y3171" s="21"/>
      <c r="Z3171" s="21"/>
      <c r="AA3171" s="21"/>
      <c r="AB3171" s="21"/>
      <c r="AC3171" s="21"/>
      <c r="AD3171" s="21"/>
      <c r="AE3171" s="21"/>
      <c r="AF3171" s="21"/>
      <c r="AG3171" s="21"/>
      <c r="AH3171" s="21">
        <v>3</v>
      </c>
      <c r="AI3171" s="21"/>
      <c r="AJ3171" s="21"/>
      <c r="AK3171" s="21"/>
      <c r="AL3171" s="21"/>
      <c r="AM3171" s="21">
        <v>3</v>
      </c>
      <c r="AN3171" s="21"/>
      <c r="AO3171" s="21"/>
      <c r="AP3171" s="21"/>
      <c r="AQ3171" s="21"/>
      <c r="AR3171" s="21"/>
      <c r="AS3171" s="21"/>
      <c r="AT3171" s="12" t="str">
        <f>HYPERLINK("http://www.openstreetmap.org/?mlat=32.462&amp;mlon=46.0723&amp;zoom=12#map=12/32.462/46.0723","Maplink1")</f>
        <v>Maplink1</v>
      </c>
      <c r="AU3171" s="12" t="str">
        <f>HYPERLINK("https://www.google.iq/maps/search/+32.462,46.0723/@32.462,46.0723,14z?hl=en","Maplink2")</f>
        <v>Maplink2</v>
      </c>
      <c r="AV3171" s="12" t="str">
        <f>HYPERLINK("http://www.bing.com/maps/?lvl=14&amp;sty=h&amp;cp=32.462~46.0723&amp;sp=point.32.462_46.0723","Maplink3")</f>
        <v>Maplink3</v>
      </c>
    </row>
    <row r="3172" spans="1:48" ht="15" customHeight="1" x14ac:dyDescent="0.25">
      <c r="A3172" s="19">
        <v>19524</v>
      </c>
      <c r="B3172" s="20" t="s">
        <v>26</v>
      </c>
      <c r="C3172" s="20" t="s">
        <v>5442</v>
      </c>
      <c r="D3172" s="20" t="s">
        <v>5447</v>
      </c>
      <c r="E3172" s="20" t="s">
        <v>5448</v>
      </c>
      <c r="F3172" s="20">
        <v>32.528310740000002</v>
      </c>
      <c r="G3172" s="20">
        <v>45.9075451</v>
      </c>
      <c r="H3172" s="22">
        <v>10</v>
      </c>
      <c r="I3172" s="22">
        <v>60</v>
      </c>
      <c r="J3172" s="21"/>
      <c r="K3172" s="21"/>
      <c r="L3172" s="21"/>
      <c r="M3172" s="21"/>
      <c r="N3172" s="21"/>
      <c r="O3172" s="21"/>
      <c r="P3172" s="21"/>
      <c r="Q3172" s="21"/>
      <c r="R3172" s="21"/>
      <c r="S3172" s="21"/>
      <c r="T3172" s="21"/>
      <c r="U3172" s="21"/>
      <c r="V3172" s="21">
        <v>10</v>
      </c>
      <c r="W3172" s="21"/>
      <c r="X3172" s="21"/>
      <c r="Y3172" s="21"/>
      <c r="Z3172" s="21"/>
      <c r="AA3172" s="21"/>
      <c r="AB3172" s="21"/>
      <c r="AC3172" s="21"/>
      <c r="AD3172" s="21"/>
      <c r="AE3172" s="21"/>
      <c r="AF3172" s="21"/>
      <c r="AG3172" s="21">
        <v>10</v>
      </c>
      <c r="AH3172" s="21"/>
      <c r="AI3172" s="21"/>
      <c r="AJ3172" s="21"/>
      <c r="AK3172" s="21"/>
      <c r="AL3172" s="21"/>
      <c r="AM3172" s="21">
        <v>10</v>
      </c>
      <c r="AN3172" s="21"/>
      <c r="AO3172" s="21"/>
      <c r="AP3172" s="21"/>
      <c r="AQ3172" s="21"/>
      <c r="AR3172" s="21"/>
      <c r="AS3172" s="21"/>
      <c r="AT3172" s="12" t="str">
        <f>HYPERLINK("http://www.openstreetmap.org/?mlat=32.5283&amp;mlon=45.9075&amp;zoom=12#map=12/32.5283/45.9075","Maplink1")</f>
        <v>Maplink1</v>
      </c>
      <c r="AU3172" s="12" t="str">
        <f>HYPERLINK("https://www.google.iq/maps/search/+32.5283,45.9075/@32.5283,45.9075,14z?hl=en","Maplink2")</f>
        <v>Maplink2</v>
      </c>
      <c r="AV3172" s="12" t="str">
        <f>HYPERLINK("http://www.bing.com/maps/?lvl=14&amp;sty=h&amp;cp=32.5283~45.9075&amp;sp=point.32.5283_45.9075","Maplink3")</f>
        <v>Maplink3</v>
      </c>
    </row>
    <row r="3173" spans="1:48" ht="15" customHeight="1" x14ac:dyDescent="0.25">
      <c r="A3173" s="19">
        <v>24786</v>
      </c>
      <c r="B3173" s="20" t="s">
        <v>26</v>
      </c>
      <c r="C3173" s="20" t="s">
        <v>5442</v>
      </c>
      <c r="D3173" s="20" t="s">
        <v>5449</v>
      </c>
      <c r="E3173" s="20" t="s">
        <v>5450</v>
      </c>
      <c r="F3173" s="20">
        <v>32.544982239200003</v>
      </c>
      <c r="G3173" s="20">
        <v>45.8613083714</v>
      </c>
      <c r="H3173" s="22">
        <v>11</v>
      </c>
      <c r="I3173" s="22">
        <v>66</v>
      </c>
      <c r="J3173" s="21"/>
      <c r="K3173" s="21"/>
      <c r="L3173" s="21"/>
      <c r="M3173" s="21"/>
      <c r="N3173" s="21"/>
      <c r="O3173" s="21"/>
      <c r="P3173" s="21"/>
      <c r="Q3173" s="21"/>
      <c r="R3173" s="21"/>
      <c r="S3173" s="21"/>
      <c r="T3173" s="21"/>
      <c r="U3173" s="21"/>
      <c r="V3173" s="21">
        <v>5</v>
      </c>
      <c r="W3173" s="21"/>
      <c r="X3173" s="21">
        <v>6</v>
      </c>
      <c r="Y3173" s="21"/>
      <c r="Z3173" s="21"/>
      <c r="AA3173" s="21"/>
      <c r="AB3173" s="21"/>
      <c r="AC3173" s="21"/>
      <c r="AD3173" s="21"/>
      <c r="AE3173" s="21"/>
      <c r="AF3173" s="21"/>
      <c r="AG3173" s="21"/>
      <c r="AH3173" s="21">
        <v>11</v>
      </c>
      <c r="AI3173" s="21"/>
      <c r="AJ3173" s="21"/>
      <c r="AK3173" s="21"/>
      <c r="AL3173" s="21"/>
      <c r="AM3173" s="21">
        <v>11</v>
      </c>
      <c r="AN3173" s="21"/>
      <c r="AO3173" s="21"/>
      <c r="AP3173" s="21"/>
      <c r="AQ3173" s="21"/>
      <c r="AR3173" s="21"/>
      <c r="AS3173" s="21"/>
      <c r="AT3173" s="12" t="str">
        <f>HYPERLINK("http://www.openstreetmap.org/?mlat=32.545&amp;mlon=45.8613&amp;zoom=12#map=12/32.545/45.8613","Maplink1")</f>
        <v>Maplink1</v>
      </c>
      <c r="AU3173" s="12" t="str">
        <f>HYPERLINK("https://www.google.iq/maps/search/+32.545,45.8613/@32.545,45.8613,14z?hl=en","Maplink2")</f>
        <v>Maplink2</v>
      </c>
      <c r="AV3173" s="12" t="str">
        <f>HYPERLINK("http://www.bing.com/maps/?lvl=14&amp;sty=h&amp;cp=32.545~45.8613&amp;sp=point.32.545_45.8613","Maplink3")</f>
        <v>Maplink3</v>
      </c>
    </row>
    <row r="3174" spans="1:48" ht="15" customHeight="1" x14ac:dyDescent="0.25">
      <c r="A3174" s="19">
        <v>27278</v>
      </c>
      <c r="B3174" s="20" t="s">
        <v>26</v>
      </c>
      <c r="C3174" s="20" t="s">
        <v>5442</v>
      </c>
      <c r="D3174" s="20" t="s">
        <v>5451</v>
      </c>
      <c r="E3174" s="20" t="s">
        <v>5452</v>
      </c>
      <c r="F3174" s="20">
        <v>32.536692950000003</v>
      </c>
      <c r="G3174" s="20">
        <v>45.853736099999999</v>
      </c>
      <c r="H3174" s="22">
        <v>12</v>
      </c>
      <c r="I3174" s="22">
        <v>72</v>
      </c>
      <c r="J3174" s="21"/>
      <c r="K3174" s="21"/>
      <c r="L3174" s="21"/>
      <c r="M3174" s="21"/>
      <c r="N3174" s="21"/>
      <c r="O3174" s="21"/>
      <c r="P3174" s="21"/>
      <c r="Q3174" s="21"/>
      <c r="R3174" s="21"/>
      <c r="S3174" s="21"/>
      <c r="T3174" s="21"/>
      <c r="U3174" s="21"/>
      <c r="V3174" s="21">
        <v>12</v>
      </c>
      <c r="W3174" s="21"/>
      <c r="X3174" s="21"/>
      <c r="Y3174" s="21"/>
      <c r="Z3174" s="21"/>
      <c r="AA3174" s="21"/>
      <c r="AB3174" s="21"/>
      <c r="AC3174" s="21"/>
      <c r="AD3174" s="21"/>
      <c r="AE3174" s="21"/>
      <c r="AF3174" s="21"/>
      <c r="AG3174" s="21"/>
      <c r="AH3174" s="21">
        <v>12</v>
      </c>
      <c r="AI3174" s="21"/>
      <c r="AJ3174" s="21"/>
      <c r="AK3174" s="21"/>
      <c r="AL3174" s="21"/>
      <c r="AM3174" s="21">
        <v>12</v>
      </c>
      <c r="AN3174" s="21"/>
      <c r="AO3174" s="21"/>
      <c r="AP3174" s="21"/>
      <c r="AQ3174" s="21"/>
      <c r="AR3174" s="21"/>
      <c r="AS3174" s="21"/>
      <c r="AT3174" s="12" t="str">
        <f>HYPERLINK("http://www.openstreetmap.org/?mlat=32.5367&amp;mlon=45.8537&amp;zoom=12#map=12/32.5367/45.8537","Maplink1")</f>
        <v>Maplink1</v>
      </c>
      <c r="AU3174" s="12" t="str">
        <f>HYPERLINK("https://www.google.iq/maps/search/+32.5367,45.8537/@32.5367,45.8537,14z?hl=en","Maplink2")</f>
        <v>Maplink2</v>
      </c>
      <c r="AV3174" s="12" t="str">
        <f>HYPERLINK("http://www.bing.com/maps/?lvl=14&amp;sty=h&amp;cp=32.5367~45.8537&amp;sp=point.32.5367_45.8537","Maplink3")</f>
        <v>Maplink3</v>
      </c>
    </row>
    <row r="3175" spans="1:48" ht="15" customHeight="1" x14ac:dyDescent="0.25">
      <c r="A3175" s="19">
        <v>27277</v>
      </c>
      <c r="B3175" s="20" t="s">
        <v>26</v>
      </c>
      <c r="C3175" s="20" t="s">
        <v>5442</v>
      </c>
      <c r="D3175" s="20" t="s">
        <v>5453</v>
      </c>
      <c r="E3175" s="20" t="s">
        <v>5454</v>
      </c>
      <c r="F3175" s="20">
        <v>32.530136079999998</v>
      </c>
      <c r="G3175" s="20">
        <v>45.839610069999999</v>
      </c>
      <c r="H3175" s="22">
        <v>14</v>
      </c>
      <c r="I3175" s="22">
        <v>84</v>
      </c>
      <c r="J3175" s="21"/>
      <c r="K3175" s="21"/>
      <c r="L3175" s="21"/>
      <c r="M3175" s="21"/>
      <c r="N3175" s="21"/>
      <c r="O3175" s="21"/>
      <c r="P3175" s="21"/>
      <c r="Q3175" s="21"/>
      <c r="R3175" s="21"/>
      <c r="S3175" s="21"/>
      <c r="T3175" s="21"/>
      <c r="U3175" s="21"/>
      <c r="V3175" s="21">
        <v>14</v>
      </c>
      <c r="W3175" s="21"/>
      <c r="X3175" s="21"/>
      <c r="Y3175" s="21"/>
      <c r="Z3175" s="21"/>
      <c r="AA3175" s="21"/>
      <c r="AB3175" s="21"/>
      <c r="AC3175" s="21"/>
      <c r="AD3175" s="21"/>
      <c r="AE3175" s="21"/>
      <c r="AF3175" s="21"/>
      <c r="AG3175" s="21"/>
      <c r="AH3175" s="21">
        <v>14</v>
      </c>
      <c r="AI3175" s="21"/>
      <c r="AJ3175" s="21"/>
      <c r="AK3175" s="21"/>
      <c r="AL3175" s="21"/>
      <c r="AM3175" s="21">
        <v>14</v>
      </c>
      <c r="AN3175" s="21"/>
      <c r="AO3175" s="21"/>
      <c r="AP3175" s="21"/>
      <c r="AQ3175" s="21"/>
      <c r="AR3175" s="21"/>
      <c r="AS3175" s="21"/>
      <c r="AT3175" s="12" t="str">
        <f>HYPERLINK("http://www.openstreetmap.org/?mlat=32.5301&amp;mlon=45.8396&amp;zoom=12#map=12/32.5301/45.8396","Maplink1")</f>
        <v>Maplink1</v>
      </c>
      <c r="AU3175" s="12" t="str">
        <f>HYPERLINK("https://www.google.iq/maps/search/+32.5301,45.8396/@32.5301,45.8396,14z?hl=en","Maplink2")</f>
        <v>Maplink2</v>
      </c>
      <c r="AV3175" s="12" t="str">
        <f>HYPERLINK("http://www.bing.com/maps/?lvl=14&amp;sty=h&amp;cp=32.5301~45.8396&amp;sp=point.32.5301_45.8396","Maplink3")</f>
        <v>Maplink3</v>
      </c>
    </row>
    <row r="3176" spans="1:48" ht="15" customHeight="1" x14ac:dyDescent="0.25">
      <c r="A3176" s="19">
        <v>23256</v>
      </c>
      <c r="B3176" s="20" t="s">
        <v>26</v>
      </c>
      <c r="C3176" s="20" t="s">
        <v>5442</v>
      </c>
      <c r="D3176" s="20" t="s">
        <v>5455</v>
      </c>
      <c r="E3176" s="20" t="s">
        <v>5456</v>
      </c>
      <c r="F3176" s="20">
        <v>32.53585107</v>
      </c>
      <c r="G3176" s="20">
        <v>45.789960929999999</v>
      </c>
      <c r="H3176" s="22">
        <v>55</v>
      </c>
      <c r="I3176" s="22">
        <v>330</v>
      </c>
      <c r="J3176" s="21"/>
      <c r="K3176" s="21"/>
      <c r="L3176" s="21"/>
      <c r="M3176" s="21"/>
      <c r="N3176" s="21"/>
      <c r="O3176" s="21">
        <v>7</v>
      </c>
      <c r="P3176" s="21"/>
      <c r="Q3176" s="21"/>
      <c r="R3176" s="21">
        <v>42</v>
      </c>
      <c r="S3176" s="21"/>
      <c r="T3176" s="21"/>
      <c r="U3176" s="21"/>
      <c r="V3176" s="21">
        <v>6</v>
      </c>
      <c r="W3176" s="21"/>
      <c r="X3176" s="21"/>
      <c r="Y3176" s="21"/>
      <c r="Z3176" s="21"/>
      <c r="AA3176" s="21"/>
      <c r="AB3176" s="21"/>
      <c r="AC3176" s="21"/>
      <c r="AD3176" s="21"/>
      <c r="AE3176" s="21"/>
      <c r="AF3176" s="21"/>
      <c r="AG3176" s="21"/>
      <c r="AH3176" s="21">
        <v>55</v>
      </c>
      <c r="AI3176" s="21"/>
      <c r="AJ3176" s="21"/>
      <c r="AK3176" s="21"/>
      <c r="AL3176" s="21"/>
      <c r="AM3176" s="21">
        <v>45</v>
      </c>
      <c r="AN3176" s="21">
        <v>10</v>
      </c>
      <c r="AO3176" s="21"/>
      <c r="AP3176" s="21"/>
      <c r="AQ3176" s="21"/>
      <c r="AR3176" s="21"/>
      <c r="AS3176" s="21"/>
      <c r="AT3176" s="12" t="str">
        <f>HYPERLINK("http://www.openstreetmap.org/?mlat=32.5359&amp;mlon=45.79&amp;zoom=12#map=12/32.5359/45.79","Maplink1")</f>
        <v>Maplink1</v>
      </c>
      <c r="AU3176" s="12" t="str">
        <f>HYPERLINK("https://www.google.iq/maps/search/+32.5359,45.79/@32.5359,45.79,14z?hl=en","Maplink2")</f>
        <v>Maplink2</v>
      </c>
      <c r="AV3176" s="12" t="str">
        <f>HYPERLINK("http://www.bing.com/maps/?lvl=14&amp;sty=h&amp;cp=32.5359~45.79&amp;sp=point.32.5359_45.79","Maplink3")</f>
        <v>Maplink3</v>
      </c>
    </row>
    <row r="3177" spans="1:48" ht="15" customHeight="1" x14ac:dyDescent="0.25">
      <c r="A3177" s="19">
        <v>23395</v>
      </c>
      <c r="B3177" s="20" t="s">
        <v>26</v>
      </c>
      <c r="C3177" s="20" t="s">
        <v>5442</v>
      </c>
      <c r="D3177" s="20" t="s">
        <v>5457</v>
      </c>
      <c r="E3177" s="20" t="s">
        <v>5458</v>
      </c>
      <c r="F3177" s="20">
        <v>32.402020380000003</v>
      </c>
      <c r="G3177" s="20">
        <v>46.229659069999997</v>
      </c>
      <c r="H3177" s="22">
        <v>7</v>
      </c>
      <c r="I3177" s="22">
        <v>42</v>
      </c>
      <c r="J3177" s="21"/>
      <c r="K3177" s="21"/>
      <c r="L3177" s="21"/>
      <c r="M3177" s="21"/>
      <c r="N3177" s="21"/>
      <c r="O3177" s="21"/>
      <c r="P3177" s="21"/>
      <c r="Q3177" s="21"/>
      <c r="R3177" s="21"/>
      <c r="S3177" s="21"/>
      <c r="T3177" s="21"/>
      <c r="U3177" s="21"/>
      <c r="V3177" s="21">
        <v>7</v>
      </c>
      <c r="W3177" s="21"/>
      <c r="X3177" s="21"/>
      <c r="Y3177" s="21"/>
      <c r="Z3177" s="21"/>
      <c r="AA3177" s="21"/>
      <c r="AB3177" s="21"/>
      <c r="AC3177" s="21"/>
      <c r="AD3177" s="21"/>
      <c r="AE3177" s="21"/>
      <c r="AF3177" s="21"/>
      <c r="AG3177" s="21"/>
      <c r="AH3177" s="21">
        <v>7</v>
      </c>
      <c r="AI3177" s="21"/>
      <c r="AJ3177" s="21"/>
      <c r="AK3177" s="21"/>
      <c r="AL3177" s="21"/>
      <c r="AM3177" s="21">
        <v>7</v>
      </c>
      <c r="AN3177" s="21"/>
      <c r="AO3177" s="21"/>
      <c r="AP3177" s="21"/>
      <c r="AQ3177" s="21"/>
      <c r="AR3177" s="21"/>
      <c r="AS3177" s="21"/>
      <c r="AT3177" s="12" t="str">
        <f>HYPERLINK("http://www.openstreetmap.org/?mlat=32.402&amp;mlon=46.2297&amp;zoom=12#map=12/32.402/46.2297","Maplink1")</f>
        <v>Maplink1</v>
      </c>
      <c r="AU3177" s="12" t="str">
        <f>HYPERLINK("https://www.google.iq/maps/search/+32.402,46.2297/@32.402,46.2297,14z?hl=en","Maplink2")</f>
        <v>Maplink2</v>
      </c>
      <c r="AV3177" s="12" t="str">
        <f>HYPERLINK("http://www.bing.com/maps/?lvl=14&amp;sty=h&amp;cp=32.402~46.2297&amp;sp=point.32.402_46.2297","Maplink3")</f>
        <v>Maplink3</v>
      </c>
    </row>
    <row r="3178" spans="1:48" ht="15" customHeight="1" x14ac:dyDescent="0.25">
      <c r="A3178" s="19">
        <v>23703</v>
      </c>
      <c r="B3178" s="20" t="s">
        <v>26</v>
      </c>
      <c r="C3178" s="20" t="s">
        <v>5442</v>
      </c>
      <c r="D3178" s="20" t="s">
        <v>5459</v>
      </c>
      <c r="E3178" s="20" t="s">
        <v>5460</v>
      </c>
      <c r="F3178" s="20">
        <v>32.538188439999999</v>
      </c>
      <c r="G3178" s="20">
        <v>45.826367640000001</v>
      </c>
      <c r="H3178" s="22">
        <v>26</v>
      </c>
      <c r="I3178" s="22">
        <v>156</v>
      </c>
      <c r="J3178" s="21"/>
      <c r="K3178" s="21"/>
      <c r="L3178" s="21"/>
      <c r="M3178" s="21"/>
      <c r="N3178" s="21"/>
      <c r="O3178" s="21"/>
      <c r="P3178" s="21"/>
      <c r="Q3178" s="21"/>
      <c r="R3178" s="21"/>
      <c r="S3178" s="21"/>
      <c r="T3178" s="21"/>
      <c r="U3178" s="21"/>
      <c r="V3178" s="21">
        <v>26</v>
      </c>
      <c r="W3178" s="21"/>
      <c r="X3178" s="21"/>
      <c r="Y3178" s="21"/>
      <c r="Z3178" s="21"/>
      <c r="AA3178" s="21"/>
      <c r="AB3178" s="21"/>
      <c r="AC3178" s="21"/>
      <c r="AD3178" s="21"/>
      <c r="AE3178" s="21"/>
      <c r="AF3178" s="21"/>
      <c r="AG3178" s="21"/>
      <c r="AH3178" s="21">
        <v>26</v>
      </c>
      <c r="AI3178" s="21"/>
      <c r="AJ3178" s="21"/>
      <c r="AK3178" s="21"/>
      <c r="AL3178" s="21"/>
      <c r="AM3178" s="21"/>
      <c r="AN3178" s="21"/>
      <c r="AO3178" s="21">
        <v>26</v>
      </c>
      <c r="AP3178" s="21"/>
      <c r="AQ3178" s="21"/>
      <c r="AR3178" s="21"/>
      <c r="AS3178" s="21"/>
      <c r="AT3178" s="12" t="str">
        <f>HYPERLINK("http://www.openstreetmap.org/?mlat=32.5382&amp;mlon=45.8264&amp;zoom=12#map=12/32.5382/45.8264","Maplink1")</f>
        <v>Maplink1</v>
      </c>
      <c r="AU3178" s="12" t="str">
        <f>HYPERLINK("https://www.google.iq/maps/search/+32.5382,45.8264/@32.5382,45.8264,14z?hl=en","Maplink2")</f>
        <v>Maplink2</v>
      </c>
      <c r="AV3178" s="12" t="str">
        <f>HYPERLINK("http://www.bing.com/maps/?lvl=14&amp;sty=h&amp;cp=32.5382~45.8264&amp;sp=point.32.5382_45.8264","Maplink3")</f>
        <v>Maplink3</v>
      </c>
    </row>
    <row r="3179" spans="1:48" ht="15" customHeight="1" x14ac:dyDescent="0.25">
      <c r="A3179" s="19">
        <v>19546</v>
      </c>
      <c r="B3179" s="20" t="s">
        <v>26</v>
      </c>
      <c r="C3179" s="20" t="s">
        <v>5442</v>
      </c>
      <c r="D3179" s="20" t="s">
        <v>5461</v>
      </c>
      <c r="E3179" s="20" t="s">
        <v>5462</v>
      </c>
      <c r="F3179" s="20">
        <v>32.529928750400003</v>
      </c>
      <c r="G3179" s="20">
        <v>45.805308377099998</v>
      </c>
      <c r="H3179" s="22">
        <v>18</v>
      </c>
      <c r="I3179" s="22">
        <v>108</v>
      </c>
      <c r="J3179" s="21">
        <v>6</v>
      </c>
      <c r="K3179" s="21"/>
      <c r="L3179" s="21"/>
      <c r="M3179" s="21"/>
      <c r="N3179" s="21"/>
      <c r="O3179" s="21">
        <v>1</v>
      </c>
      <c r="P3179" s="21"/>
      <c r="Q3179" s="21"/>
      <c r="R3179" s="21"/>
      <c r="S3179" s="21"/>
      <c r="T3179" s="21"/>
      <c r="U3179" s="21"/>
      <c r="V3179" s="21">
        <v>10</v>
      </c>
      <c r="W3179" s="21"/>
      <c r="X3179" s="21">
        <v>1</v>
      </c>
      <c r="Y3179" s="21"/>
      <c r="Z3179" s="21"/>
      <c r="AA3179" s="21"/>
      <c r="AB3179" s="21"/>
      <c r="AC3179" s="21"/>
      <c r="AD3179" s="21"/>
      <c r="AE3179" s="21"/>
      <c r="AF3179" s="21"/>
      <c r="AG3179" s="21"/>
      <c r="AH3179" s="21">
        <v>18</v>
      </c>
      <c r="AI3179" s="21"/>
      <c r="AJ3179" s="21"/>
      <c r="AK3179" s="21"/>
      <c r="AL3179" s="21"/>
      <c r="AM3179" s="21">
        <v>18</v>
      </c>
      <c r="AN3179" s="21"/>
      <c r="AO3179" s="21"/>
      <c r="AP3179" s="21"/>
      <c r="AQ3179" s="21"/>
      <c r="AR3179" s="21"/>
      <c r="AS3179" s="21"/>
      <c r="AT3179" s="12" t="str">
        <f>HYPERLINK("http://www.openstreetmap.org/?mlat=32.5299&amp;mlon=45.8053&amp;zoom=12#map=12/32.5299/45.8053","Maplink1")</f>
        <v>Maplink1</v>
      </c>
      <c r="AU3179" s="12" t="str">
        <f>HYPERLINK("https://www.google.iq/maps/search/+32.5299,45.8053/@32.5299,45.8053,14z?hl=en","Maplink2")</f>
        <v>Maplink2</v>
      </c>
      <c r="AV3179" s="12" t="str">
        <f>HYPERLINK("http://www.bing.com/maps/?lvl=14&amp;sty=h&amp;cp=32.5299~45.8053&amp;sp=point.32.5299_45.8053","Maplink3")</f>
        <v>Maplink3</v>
      </c>
    </row>
    <row r="3180" spans="1:48" ht="15" customHeight="1" x14ac:dyDescent="0.25">
      <c r="A3180" s="19">
        <v>24869</v>
      </c>
      <c r="B3180" s="20" t="s">
        <v>26</v>
      </c>
      <c r="C3180" s="20" t="s">
        <v>5442</v>
      </c>
      <c r="D3180" s="20" t="s">
        <v>5463</v>
      </c>
      <c r="E3180" s="20" t="s">
        <v>5464</v>
      </c>
      <c r="F3180" s="20">
        <v>32.561617689999999</v>
      </c>
      <c r="G3180" s="20">
        <v>46.273847940000003</v>
      </c>
      <c r="H3180" s="22">
        <v>4</v>
      </c>
      <c r="I3180" s="22">
        <v>24</v>
      </c>
      <c r="J3180" s="21"/>
      <c r="K3180" s="21"/>
      <c r="L3180" s="21"/>
      <c r="M3180" s="21"/>
      <c r="N3180" s="21"/>
      <c r="O3180" s="21"/>
      <c r="P3180" s="21"/>
      <c r="Q3180" s="21"/>
      <c r="R3180" s="21"/>
      <c r="S3180" s="21"/>
      <c r="T3180" s="21"/>
      <c r="U3180" s="21"/>
      <c r="V3180" s="21">
        <v>4</v>
      </c>
      <c r="W3180" s="21"/>
      <c r="X3180" s="21"/>
      <c r="Y3180" s="21"/>
      <c r="Z3180" s="21"/>
      <c r="AA3180" s="21"/>
      <c r="AB3180" s="21"/>
      <c r="AC3180" s="21"/>
      <c r="AD3180" s="21"/>
      <c r="AE3180" s="21"/>
      <c r="AF3180" s="21"/>
      <c r="AG3180" s="21">
        <v>4</v>
      </c>
      <c r="AH3180" s="21"/>
      <c r="AI3180" s="21"/>
      <c r="AJ3180" s="21"/>
      <c r="AK3180" s="21"/>
      <c r="AL3180" s="21"/>
      <c r="AM3180" s="21">
        <v>4</v>
      </c>
      <c r="AN3180" s="21"/>
      <c r="AO3180" s="21"/>
      <c r="AP3180" s="21"/>
      <c r="AQ3180" s="21"/>
      <c r="AR3180" s="21"/>
      <c r="AS3180" s="21"/>
      <c r="AT3180" s="12" t="str">
        <f>HYPERLINK("http://www.openstreetmap.org/?mlat=32.5616&amp;mlon=46.2738&amp;zoom=12#map=12/32.5616/46.2738","Maplink1")</f>
        <v>Maplink1</v>
      </c>
      <c r="AU3180" s="12" t="str">
        <f>HYPERLINK("https://www.google.iq/maps/search/+32.5616,46.2738/@32.5616,46.2738,14z?hl=en","Maplink2")</f>
        <v>Maplink2</v>
      </c>
      <c r="AV3180" s="12" t="str">
        <f>HYPERLINK("http://www.bing.com/maps/?lvl=14&amp;sty=h&amp;cp=32.5616~46.2738&amp;sp=point.32.5616_46.2738","Maplink3")</f>
        <v>Maplink3</v>
      </c>
    </row>
    <row r="3181" spans="1:48" ht="15" customHeight="1" x14ac:dyDescent="0.25">
      <c r="A3181" s="19">
        <v>23967</v>
      </c>
      <c r="B3181" s="20" t="s">
        <v>26</v>
      </c>
      <c r="C3181" s="20" t="s">
        <v>5442</v>
      </c>
      <c r="D3181" s="20" t="s">
        <v>5465</v>
      </c>
      <c r="E3181" s="20" t="s">
        <v>5466</v>
      </c>
      <c r="F3181" s="20">
        <v>32.513888260000002</v>
      </c>
      <c r="G3181" s="20">
        <v>45.809945990000003</v>
      </c>
      <c r="H3181" s="22">
        <v>21</v>
      </c>
      <c r="I3181" s="22">
        <v>126</v>
      </c>
      <c r="J3181" s="21"/>
      <c r="K3181" s="21"/>
      <c r="L3181" s="21"/>
      <c r="M3181" s="21"/>
      <c r="N3181" s="21"/>
      <c r="O3181" s="21"/>
      <c r="P3181" s="21"/>
      <c r="Q3181" s="21"/>
      <c r="R3181" s="21"/>
      <c r="S3181" s="21"/>
      <c r="T3181" s="21"/>
      <c r="U3181" s="21"/>
      <c r="V3181" s="21">
        <v>21</v>
      </c>
      <c r="W3181" s="21"/>
      <c r="X3181" s="21"/>
      <c r="Y3181" s="21"/>
      <c r="Z3181" s="21"/>
      <c r="AA3181" s="21"/>
      <c r="AB3181" s="21"/>
      <c r="AC3181" s="21"/>
      <c r="AD3181" s="21"/>
      <c r="AE3181" s="21"/>
      <c r="AF3181" s="21"/>
      <c r="AG3181" s="21"/>
      <c r="AH3181" s="21">
        <v>21</v>
      </c>
      <c r="AI3181" s="21"/>
      <c r="AJ3181" s="21"/>
      <c r="AK3181" s="21"/>
      <c r="AL3181" s="21"/>
      <c r="AM3181" s="21">
        <v>21</v>
      </c>
      <c r="AN3181" s="21"/>
      <c r="AO3181" s="21"/>
      <c r="AP3181" s="21"/>
      <c r="AQ3181" s="21"/>
      <c r="AR3181" s="21"/>
      <c r="AS3181" s="21"/>
      <c r="AT3181" s="12" t="str">
        <f>HYPERLINK("http://www.openstreetmap.org/?mlat=32.5139&amp;mlon=45.8099&amp;zoom=12#map=12/32.5139/45.8099","Maplink1")</f>
        <v>Maplink1</v>
      </c>
      <c r="AU3181" s="12" t="str">
        <f>HYPERLINK("https://www.google.iq/maps/search/+32.5139,45.8099/@32.5139,45.8099,14z?hl=en","Maplink2")</f>
        <v>Maplink2</v>
      </c>
      <c r="AV3181" s="12" t="str">
        <f>HYPERLINK("http://www.bing.com/maps/?lvl=14&amp;sty=h&amp;cp=32.5139~45.8099&amp;sp=point.32.5139_45.8099","Maplink3")</f>
        <v>Maplink3</v>
      </c>
    </row>
    <row r="3182" spans="1:48" ht="15" customHeight="1" x14ac:dyDescent="0.25">
      <c r="A3182" s="19">
        <v>24868</v>
      </c>
      <c r="B3182" s="20" t="s">
        <v>26</v>
      </c>
      <c r="C3182" s="20" t="s">
        <v>5442</v>
      </c>
      <c r="D3182" s="20" t="s">
        <v>5467</v>
      </c>
      <c r="E3182" s="20" t="s">
        <v>5468</v>
      </c>
      <c r="F3182" s="20">
        <v>32.573022139999999</v>
      </c>
      <c r="G3182" s="20">
        <v>46.269612850000001</v>
      </c>
      <c r="H3182" s="22">
        <v>2</v>
      </c>
      <c r="I3182" s="22">
        <v>12</v>
      </c>
      <c r="J3182" s="21"/>
      <c r="K3182" s="21"/>
      <c r="L3182" s="21"/>
      <c r="M3182" s="21"/>
      <c r="N3182" s="21"/>
      <c r="O3182" s="21"/>
      <c r="P3182" s="21"/>
      <c r="Q3182" s="21"/>
      <c r="R3182" s="21"/>
      <c r="S3182" s="21"/>
      <c r="T3182" s="21"/>
      <c r="U3182" s="21"/>
      <c r="V3182" s="21">
        <v>2</v>
      </c>
      <c r="W3182" s="21"/>
      <c r="X3182" s="21"/>
      <c r="Y3182" s="21"/>
      <c r="Z3182" s="21"/>
      <c r="AA3182" s="21"/>
      <c r="AB3182" s="21"/>
      <c r="AC3182" s="21">
        <v>2</v>
      </c>
      <c r="AD3182" s="21"/>
      <c r="AE3182" s="21"/>
      <c r="AF3182" s="21"/>
      <c r="AG3182" s="21"/>
      <c r="AH3182" s="21"/>
      <c r="AI3182" s="21"/>
      <c r="AJ3182" s="21"/>
      <c r="AK3182" s="21"/>
      <c r="AL3182" s="21"/>
      <c r="AM3182" s="21">
        <v>2</v>
      </c>
      <c r="AN3182" s="21"/>
      <c r="AO3182" s="21"/>
      <c r="AP3182" s="21"/>
      <c r="AQ3182" s="21"/>
      <c r="AR3182" s="21"/>
      <c r="AS3182" s="21"/>
      <c r="AT3182" s="12" t="str">
        <f>HYPERLINK("http://www.openstreetmap.org/?mlat=32.573&amp;mlon=46.2696&amp;zoom=12#map=12/32.573/46.2696","Maplink1")</f>
        <v>Maplink1</v>
      </c>
      <c r="AU3182" s="12" t="str">
        <f>HYPERLINK("https://www.google.iq/maps/search/+32.573,46.2696/@32.573,46.2696,14z?hl=en","Maplink2")</f>
        <v>Maplink2</v>
      </c>
      <c r="AV3182" s="12" t="str">
        <f>HYPERLINK("http://www.bing.com/maps/?lvl=14&amp;sty=h&amp;cp=32.573~46.2696&amp;sp=point.32.573_46.2696","Maplink3")</f>
        <v>Maplink3</v>
      </c>
    </row>
    <row r="3183" spans="1:48" ht="15" customHeight="1" x14ac:dyDescent="0.25">
      <c r="A3183" s="19">
        <v>24883</v>
      </c>
      <c r="B3183" s="20" t="s">
        <v>26</v>
      </c>
      <c r="C3183" s="20" t="s">
        <v>5442</v>
      </c>
      <c r="D3183" s="20" t="s">
        <v>5469</v>
      </c>
      <c r="E3183" s="20" t="s">
        <v>5470</v>
      </c>
      <c r="F3183" s="20">
        <v>32.456007390000003</v>
      </c>
      <c r="G3183" s="20">
        <v>46.071686710000002</v>
      </c>
      <c r="H3183" s="22">
        <v>5</v>
      </c>
      <c r="I3183" s="22">
        <v>30</v>
      </c>
      <c r="J3183" s="21"/>
      <c r="K3183" s="21"/>
      <c r="L3183" s="21"/>
      <c r="M3183" s="21"/>
      <c r="N3183" s="21"/>
      <c r="O3183" s="21"/>
      <c r="P3183" s="21"/>
      <c r="Q3183" s="21"/>
      <c r="R3183" s="21"/>
      <c r="S3183" s="21"/>
      <c r="T3183" s="21"/>
      <c r="U3183" s="21"/>
      <c r="V3183" s="21">
        <v>5</v>
      </c>
      <c r="W3183" s="21"/>
      <c r="X3183" s="21"/>
      <c r="Y3183" s="21"/>
      <c r="Z3183" s="21"/>
      <c r="AA3183" s="21"/>
      <c r="AB3183" s="21"/>
      <c r="AC3183" s="21"/>
      <c r="AD3183" s="21"/>
      <c r="AE3183" s="21"/>
      <c r="AF3183" s="21"/>
      <c r="AG3183" s="21"/>
      <c r="AH3183" s="21">
        <v>5</v>
      </c>
      <c r="AI3183" s="21"/>
      <c r="AJ3183" s="21"/>
      <c r="AK3183" s="21"/>
      <c r="AL3183" s="21"/>
      <c r="AM3183" s="21">
        <v>5</v>
      </c>
      <c r="AN3183" s="21"/>
      <c r="AO3183" s="21"/>
      <c r="AP3183" s="21"/>
      <c r="AQ3183" s="21"/>
      <c r="AR3183" s="21"/>
      <c r="AS3183" s="21"/>
      <c r="AT3183" s="12" t="str">
        <f>HYPERLINK("http://www.openstreetmap.org/?mlat=32.456&amp;mlon=46.0717&amp;zoom=12#map=12/32.456/46.0717","Maplink1")</f>
        <v>Maplink1</v>
      </c>
      <c r="AU3183" s="12" t="str">
        <f>HYPERLINK("https://www.google.iq/maps/search/+32.456,46.0717/@32.456,46.0717,14z?hl=en","Maplink2")</f>
        <v>Maplink2</v>
      </c>
      <c r="AV3183" s="12" t="str">
        <f>HYPERLINK("http://www.bing.com/maps/?lvl=14&amp;sty=h&amp;cp=32.456~46.0717&amp;sp=point.32.456_46.0717","Maplink3")</f>
        <v>Maplink3</v>
      </c>
    </row>
    <row r="3184" spans="1:48" ht="15" customHeight="1" x14ac:dyDescent="0.25">
      <c r="A3184" s="19">
        <v>24867</v>
      </c>
      <c r="B3184" s="20" t="s">
        <v>26</v>
      </c>
      <c r="C3184" s="20" t="s">
        <v>5442</v>
      </c>
      <c r="D3184" s="20" t="s">
        <v>5471</v>
      </c>
      <c r="E3184" s="20" t="s">
        <v>5472</v>
      </c>
      <c r="F3184" s="20">
        <v>32.45833038</v>
      </c>
      <c r="G3184" s="20">
        <v>45.7991666</v>
      </c>
      <c r="H3184" s="22">
        <v>7</v>
      </c>
      <c r="I3184" s="22">
        <v>42</v>
      </c>
      <c r="J3184" s="21"/>
      <c r="K3184" s="21"/>
      <c r="L3184" s="21"/>
      <c r="M3184" s="21"/>
      <c r="N3184" s="21"/>
      <c r="O3184" s="21"/>
      <c r="P3184" s="21"/>
      <c r="Q3184" s="21"/>
      <c r="R3184" s="21"/>
      <c r="S3184" s="21"/>
      <c r="T3184" s="21"/>
      <c r="U3184" s="21"/>
      <c r="V3184" s="21">
        <v>7</v>
      </c>
      <c r="W3184" s="21"/>
      <c r="X3184" s="21"/>
      <c r="Y3184" s="21"/>
      <c r="Z3184" s="21"/>
      <c r="AA3184" s="21"/>
      <c r="AB3184" s="21"/>
      <c r="AC3184" s="21"/>
      <c r="AD3184" s="21"/>
      <c r="AE3184" s="21"/>
      <c r="AF3184" s="21"/>
      <c r="AG3184" s="21">
        <v>7</v>
      </c>
      <c r="AH3184" s="21"/>
      <c r="AI3184" s="21"/>
      <c r="AJ3184" s="21"/>
      <c r="AK3184" s="21"/>
      <c r="AL3184" s="21"/>
      <c r="AM3184" s="21">
        <v>7</v>
      </c>
      <c r="AN3184" s="21"/>
      <c r="AO3184" s="21"/>
      <c r="AP3184" s="21"/>
      <c r="AQ3184" s="21"/>
      <c r="AR3184" s="21"/>
      <c r="AS3184" s="21"/>
      <c r="AT3184" s="12" t="str">
        <f>HYPERLINK("http://www.openstreetmap.org/?mlat=32.4583&amp;mlon=45.7992&amp;zoom=12#map=12/32.4583/45.7992","Maplink1")</f>
        <v>Maplink1</v>
      </c>
      <c r="AU3184" s="12" t="str">
        <f>HYPERLINK("https://www.google.iq/maps/search/+32.4583,45.7992/@32.4583,45.7992,14z?hl=en","Maplink2")</f>
        <v>Maplink2</v>
      </c>
      <c r="AV3184" s="12" t="str">
        <f>HYPERLINK("http://www.bing.com/maps/?lvl=14&amp;sty=h&amp;cp=32.4583~45.7992&amp;sp=point.32.4583_45.7992","Maplink3")</f>
        <v>Maplink3</v>
      </c>
    </row>
    <row r="3185" spans="1:48" ht="15" customHeight="1" x14ac:dyDescent="0.25">
      <c r="A3185" s="19">
        <v>19214</v>
      </c>
      <c r="B3185" s="20" t="s">
        <v>26</v>
      </c>
      <c r="C3185" s="20" t="s">
        <v>5442</v>
      </c>
      <c r="D3185" s="20" t="s">
        <v>5473</v>
      </c>
      <c r="E3185" s="20" t="s">
        <v>5474</v>
      </c>
      <c r="F3185" s="20">
        <v>32.637002129999999</v>
      </c>
      <c r="G3185" s="20">
        <v>46.179735309999998</v>
      </c>
      <c r="H3185" s="22">
        <v>2</v>
      </c>
      <c r="I3185" s="22">
        <v>12</v>
      </c>
      <c r="J3185" s="21"/>
      <c r="K3185" s="21"/>
      <c r="L3185" s="21"/>
      <c r="M3185" s="21"/>
      <c r="N3185" s="21"/>
      <c r="O3185" s="21"/>
      <c r="P3185" s="21"/>
      <c r="Q3185" s="21"/>
      <c r="R3185" s="21"/>
      <c r="S3185" s="21"/>
      <c r="T3185" s="21"/>
      <c r="U3185" s="21"/>
      <c r="V3185" s="21">
        <v>2</v>
      </c>
      <c r="W3185" s="21"/>
      <c r="X3185" s="21"/>
      <c r="Y3185" s="21"/>
      <c r="Z3185" s="21"/>
      <c r="AA3185" s="21"/>
      <c r="AB3185" s="21"/>
      <c r="AC3185" s="21"/>
      <c r="AD3185" s="21"/>
      <c r="AE3185" s="21"/>
      <c r="AF3185" s="21"/>
      <c r="AG3185" s="21">
        <v>2</v>
      </c>
      <c r="AH3185" s="21"/>
      <c r="AI3185" s="21"/>
      <c r="AJ3185" s="21"/>
      <c r="AK3185" s="21"/>
      <c r="AL3185" s="21"/>
      <c r="AM3185" s="21">
        <v>2</v>
      </c>
      <c r="AN3185" s="21"/>
      <c r="AO3185" s="21"/>
      <c r="AP3185" s="21"/>
      <c r="AQ3185" s="21"/>
      <c r="AR3185" s="21"/>
      <c r="AS3185" s="21"/>
      <c r="AT3185" s="12" t="str">
        <f>HYPERLINK("http://www.openstreetmap.org/?mlat=32.637&amp;mlon=46.1797&amp;zoom=12#map=12/32.637/46.1797","Maplink1")</f>
        <v>Maplink1</v>
      </c>
      <c r="AU3185" s="12" t="str">
        <f>HYPERLINK("https://www.google.iq/maps/search/+32.637,46.1797/@32.637,46.1797,14z?hl=en","Maplink2")</f>
        <v>Maplink2</v>
      </c>
      <c r="AV3185" s="12" t="str">
        <f>HYPERLINK("http://www.bing.com/maps/?lvl=14&amp;sty=h&amp;cp=32.637~46.1797&amp;sp=point.32.637_46.1797","Maplink3")</f>
        <v>Maplink3</v>
      </c>
    </row>
    <row r="3186" spans="1:48" ht="15" customHeight="1" x14ac:dyDescent="0.25">
      <c r="A3186" s="19">
        <v>25109</v>
      </c>
      <c r="B3186" s="20" t="s">
        <v>26</v>
      </c>
      <c r="C3186" s="20" t="s">
        <v>5442</v>
      </c>
      <c r="D3186" s="20" t="s">
        <v>5475</v>
      </c>
      <c r="E3186" s="20" t="s">
        <v>5476</v>
      </c>
      <c r="F3186" s="20">
        <v>32.483977070000002</v>
      </c>
      <c r="G3186" s="20">
        <v>45.821214980000001</v>
      </c>
      <c r="H3186" s="22">
        <v>15</v>
      </c>
      <c r="I3186" s="22">
        <v>90</v>
      </c>
      <c r="J3186" s="21">
        <v>3</v>
      </c>
      <c r="K3186" s="21"/>
      <c r="L3186" s="21"/>
      <c r="M3186" s="21"/>
      <c r="N3186" s="21"/>
      <c r="O3186" s="21"/>
      <c r="P3186" s="21"/>
      <c r="Q3186" s="21"/>
      <c r="R3186" s="21"/>
      <c r="S3186" s="21"/>
      <c r="T3186" s="21"/>
      <c r="U3186" s="21"/>
      <c r="V3186" s="21">
        <v>12</v>
      </c>
      <c r="W3186" s="21"/>
      <c r="X3186" s="21"/>
      <c r="Y3186" s="21"/>
      <c r="Z3186" s="21"/>
      <c r="AA3186" s="21"/>
      <c r="AB3186" s="21"/>
      <c r="AC3186" s="21"/>
      <c r="AD3186" s="21"/>
      <c r="AE3186" s="21"/>
      <c r="AF3186" s="21"/>
      <c r="AG3186" s="21"/>
      <c r="AH3186" s="21">
        <v>15</v>
      </c>
      <c r="AI3186" s="21"/>
      <c r="AJ3186" s="21"/>
      <c r="AK3186" s="21"/>
      <c r="AL3186" s="21"/>
      <c r="AM3186" s="21">
        <v>12</v>
      </c>
      <c r="AN3186" s="21">
        <v>3</v>
      </c>
      <c r="AO3186" s="21"/>
      <c r="AP3186" s="21"/>
      <c r="AQ3186" s="21"/>
      <c r="AR3186" s="21"/>
      <c r="AS3186" s="21"/>
      <c r="AT3186" s="12" t="str">
        <f>HYPERLINK("http://www.openstreetmap.org/?mlat=32.484&amp;mlon=45.8212&amp;zoom=12#map=12/32.484/45.8212","Maplink1")</f>
        <v>Maplink1</v>
      </c>
      <c r="AU3186" s="12" t="str">
        <f>HYPERLINK("https://www.google.iq/maps/search/+32.484,45.8212/@32.484,45.8212,14z?hl=en","Maplink2")</f>
        <v>Maplink2</v>
      </c>
      <c r="AV3186" s="12" t="str">
        <f>HYPERLINK("http://www.bing.com/maps/?lvl=14&amp;sty=h&amp;cp=32.484~45.8212&amp;sp=point.32.484_45.8212","Maplink3")</f>
        <v>Maplink3</v>
      </c>
    </row>
    <row r="3187" spans="1:48" ht="15" customHeight="1" x14ac:dyDescent="0.25">
      <c r="A3187" s="19">
        <v>25108</v>
      </c>
      <c r="B3187" s="20" t="s">
        <v>26</v>
      </c>
      <c r="C3187" s="20" t="s">
        <v>5442</v>
      </c>
      <c r="D3187" s="20" t="s">
        <v>5477</v>
      </c>
      <c r="E3187" s="20" t="s">
        <v>5478</v>
      </c>
      <c r="F3187" s="20">
        <v>32.48504655</v>
      </c>
      <c r="G3187" s="20">
        <v>45.823044500000002</v>
      </c>
      <c r="H3187" s="22">
        <v>22</v>
      </c>
      <c r="I3187" s="22">
        <v>132</v>
      </c>
      <c r="J3187" s="21"/>
      <c r="K3187" s="21"/>
      <c r="L3187" s="21">
        <v>9</v>
      </c>
      <c r="M3187" s="21"/>
      <c r="N3187" s="21"/>
      <c r="O3187" s="21">
        <v>6</v>
      </c>
      <c r="P3187" s="21"/>
      <c r="Q3187" s="21"/>
      <c r="R3187" s="21"/>
      <c r="S3187" s="21"/>
      <c r="T3187" s="21"/>
      <c r="U3187" s="21"/>
      <c r="V3187" s="21">
        <v>7</v>
      </c>
      <c r="W3187" s="21"/>
      <c r="X3187" s="21"/>
      <c r="Y3187" s="21"/>
      <c r="Z3187" s="21"/>
      <c r="AA3187" s="21"/>
      <c r="AB3187" s="21"/>
      <c r="AC3187" s="21"/>
      <c r="AD3187" s="21"/>
      <c r="AE3187" s="21"/>
      <c r="AF3187" s="21"/>
      <c r="AG3187" s="21"/>
      <c r="AH3187" s="21">
        <v>22</v>
      </c>
      <c r="AI3187" s="21"/>
      <c r="AJ3187" s="21"/>
      <c r="AK3187" s="21"/>
      <c r="AL3187" s="21"/>
      <c r="AM3187" s="21">
        <v>11</v>
      </c>
      <c r="AN3187" s="21">
        <v>11</v>
      </c>
      <c r="AO3187" s="21"/>
      <c r="AP3187" s="21"/>
      <c r="AQ3187" s="21"/>
      <c r="AR3187" s="21"/>
      <c r="AS3187" s="21"/>
      <c r="AT3187" s="12" t="str">
        <f>HYPERLINK("http://www.openstreetmap.org/?mlat=32.485&amp;mlon=45.823&amp;zoom=12#map=12/32.485/45.823","Maplink1")</f>
        <v>Maplink1</v>
      </c>
      <c r="AU3187" s="12" t="str">
        <f>HYPERLINK("https://www.google.iq/maps/search/+32.485,45.823/@32.485,45.823,14z?hl=en","Maplink2")</f>
        <v>Maplink2</v>
      </c>
      <c r="AV3187" s="12" t="str">
        <f>HYPERLINK("http://www.bing.com/maps/?lvl=14&amp;sty=h&amp;cp=32.485~45.823&amp;sp=point.32.485_45.823","Maplink3")</f>
        <v>Maplink3</v>
      </c>
    </row>
    <row r="3188" spans="1:48" ht="15" customHeight="1" x14ac:dyDescent="0.25">
      <c r="A3188" s="19">
        <v>27275</v>
      </c>
      <c r="B3188" s="20" t="s">
        <v>26</v>
      </c>
      <c r="C3188" s="20" t="s">
        <v>5442</v>
      </c>
      <c r="D3188" s="20" t="s">
        <v>5479</v>
      </c>
      <c r="E3188" s="20" t="s">
        <v>5480</v>
      </c>
      <c r="F3188" s="20">
        <v>32.535392340000001</v>
      </c>
      <c r="G3188" s="20">
        <v>45.793017310000003</v>
      </c>
      <c r="H3188" s="22">
        <v>25</v>
      </c>
      <c r="I3188" s="22">
        <v>150</v>
      </c>
      <c r="J3188" s="21"/>
      <c r="K3188" s="21"/>
      <c r="L3188" s="21"/>
      <c r="M3188" s="21"/>
      <c r="N3188" s="21"/>
      <c r="O3188" s="21">
        <v>10</v>
      </c>
      <c r="P3188" s="21"/>
      <c r="Q3188" s="21"/>
      <c r="R3188" s="21"/>
      <c r="S3188" s="21"/>
      <c r="T3188" s="21"/>
      <c r="U3188" s="21"/>
      <c r="V3188" s="21">
        <v>15</v>
      </c>
      <c r="W3188" s="21"/>
      <c r="X3188" s="21"/>
      <c r="Y3188" s="21"/>
      <c r="Z3188" s="21"/>
      <c r="AA3188" s="21"/>
      <c r="AB3188" s="21"/>
      <c r="AC3188" s="21"/>
      <c r="AD3188" s="21"/>
      <c r="AE3188" s="21"/>
      <c r="AF3188" s="21"/>
      <c r="AG3188" s="21"/>
      <c r="AH3188" s="21">
        <v>25</v>
      </c>
      <c r="AI3188" s="21"/>
      <c r="AJ3188" s="21"/>
      <c r="AK3188" s="21"/>
      <c r="AL3188" s="21"/>
      <c r="AM3188" s="21">
        <v>25</v>
      </c>
      <c r="AN3188" s="21"/>
      <c r="AO3188" s="21"/>
      <c r="AP3188" s="21"/>
      <c r="AQ3188" s="21"/>
      <c r="AR3188" s="21"/>
      <c r="AS3188" s="21"/>
      <c r="AT3188" s="12" t="str">
        <f>HYPERLINK("http://www.openstreetmap.org/?mlat=32.5354&amp;mlon=45.793&amp;zoom=12#map=12/32.5354/45.793","Maplink1")</f>
        <v>Maplink1</v>
      </c>
      <c r="AU3188" s="12" t="str">
        <f>HYPERLINK("https://www.google.iq/maps/search/+32.5354,45.793/@32.5354,45.793,14z?hl=en","Maplink2")</f>
        <v>Maplink2</v>
      </c>
      <c r="AV3188" s="12" t="str">
        <f>HYPERLINK("http://www.bing.com/maps/?lvl=14&amp;sty=h&amp;cp=32.5354~45.793&amp;sp=point.32.5354_45.793","Maplink3")</f>
        <v>Maplink3</v>
      </c>
    </row>
    <row r="3189" spans="1:48" ht="15" customHeight="1" x14ac:dyDescent="0.25">
      <c r="A3189" s="19">
        <v>25103</v>
      </c>
      <c r="B3189" s="20" t="s">
        <v>26</v>
      </c>
      <c r="C3189" s="20" t="s">
        <v>5442</v>
      </c>
      <c r="D3189" s="20" t="s">
        <v>5481</v>
      </c>
      <c r="E3189" s="20" t="s">
        <v>5482</v>
      </c>
      <c r="F3189" s="20">
        <v>32.480795120000003</v>
      </c>
      <c r="G3189" s="20">
        <v>45.816481289999999</v>
      </c>
      <c r="H3189" s="22">
        <v>36</v>
      </c>
      <c r="I3189" s="22">
        <v>216</v>
      </c>
      <c r="J3189" s="21"/>
      <c r="K3189" s="21"/>
      <c r="L3189" s="21"/>
      <c r="M3189" s="21"/>
      <c r="N3189" s="21"/>
      <c r="O3189" s="21"/>
      <c r="P3189" s="21"/>
      <c r="Q3189" s="21"/>
      <c r="R3189" s="21"/>
      <c r="S3189" s="21"/>
      <c r="T3189" s="21"/>
      <c r="U3189" s="21"/>
      <c r="V3189" s="21">
        <v>36</v>
      </c>
      <c r="W3189" s="21"/>
      <c r="X3189" s="21"/>
      <c r="Y3189" s="21"/>
      <c r="Z3189" s="21"/>
      <c r="AA3189" s="21"/>
      <c r="AB3189" s="21"/>
      <c r="AC3189" s="21"/>
      <c r="AD3189" s="21"/>
      <c r="AE3189" s="21"/>
      <c r="AF3189" s="21"/>
      <c r="AG3189" s="21"/>
      <c r="AH3189" s="21">
        <v>36</v>
      </c>
      <c r="AI3189" s="21"/>
      <c r="AJ3189" s="21"/>
      <c r="AK3189" s="21"/>
      <c r="AL3189" s="21"/>
      <c r="AM3189" s="21">
        <v>36</v>
      </c>
      <c r="AN3189" s="21"/>
      <c r="AO3189" s="21"/>
      <c r="AP3189" s="21"/>
      <c r="AQ3189" s="21"/>
      <c r="AR3189" s="21"/>
      <c r="AS3189" s="21"/>
      <c r="AT3189" s="12" t="str">
        <f>HYPERLINK("http://www.openstreetmap.org/?mlat=32.4808&amp;mlon=45.8165&amp;zoom=12#map=12/32.4808/45.8165","Maplink1")</f>
        <v>Maplink1</v>
      </c>
      <c r="AU3189" s="12" t="str">
        <f>HYPERLINK("https://www.google.iq/maps/search/+32.4808,45.8165/@32.4808,45.8165,14z?hl=en","Maplink2")</f>
        <v>Maplink2</v>
      </c>
      <c r="AV3189" s="12" t="str">
        <f>HYPERLINK("http://www.bing.com/maps/?lvl=14&amp;sty=h&amp;cp=32.4808~45.8165&amp;sp=point.32.4808_45.8165","Maplink3")</f>
        <v>Maplink3</v>
      </c>
    </row>
    <row r="3190" spans="1:48" ht="15" customHeight="1" x14ac:dyDescent="0.25">
      <c r="A3190" s="19">
        <v>22112</v>
      </c>
      <c r="B3190" s="20" t="s">
        <v>26</v>
      </c>
      <c r="C3190" s="20" t="s">
        <v>5442</v>
      </c>
      <c r="D3190" s="20" t="s">
        <v>5483</v>
      </c>
      <c r="E3190" s="20" t="s">
        <v>5484</v>
      </c>
      <c r="F3190" s="20">
        <v>32.472810920000001</v>
      </c>
      <c r="G3190" s="20">
        <v>45.824802689999999</v>
      </c>
      <c r="H3190" s="22">
        <v>42</v>
      </c>
      <c r="I3190" s="22">
        <v>252</v>
      </c>
      <c r="J3190" s="21">
        <v>7</v>
      </c>
      <c r="K3190" s="21"/>
      <c r="L3190" s="21"/>
      <c r="M3190" s="21"/>
      <c r="N3190" s="21"/>
      <c r="O3190" s="21"/>
      <c r="P3190" s="21"/>
      <c r="Q3190" s="21"/>
      <c r="R3190" s="21"/>
      <c r="S3190" s="21"/>
      <c r="T3190" s="21"/>
      <c r="U3190" s="21"/>
      <c r="V3190" s="21">
        <v>35</v>
      </c>
      <c r="W3190" s="21"/>
      <c r="X3190" s="21"/>
      <c r="Y3190" s="21"/>
      <c r="Z3190" s="21"/>
      <c r="AA3190" s="21"/>
      <c r="AB3190" s="21"/>
      <c r="AC3190" s="21"/>
      <c r="AD3190" s="21"/>
      <c r="AE3190" s="21"/>
      <c r="AF3190" s="21"/>
      <c r="AG3190" s="21"/>
      <c r="AH3190" s="21">
        <v>42</v>
      </c>
      <c r="AI3190" s="21"/>
      <c r="AJ3190" s="21"/>
      <c r="AK3190" s="21"/>
      <c r="AL3190" s="21"/>
      <c r="AM3190" s="21">
        <v>35</v>
      </c>
      <c r="AN3190" s="21"/>
      <c r="AO3190" s="21"/>
      <c r="AP3190" s="21">
        <v>7</v>
      </c>
      <c r="AQ3190" s="21"/>
      <c r="AR3190" s="21"/>
      <c r="AS3190" s="21"/>
      <c r="AT3190" s="12" t="str">
        <f>HYPERLINK("http://www.openstreetmap.org/?mlat=32.4728&amp;mlon=45.8248&amp;zoom=12#map=12/32.4728/45.8248","Maplink1")</f>
        <v>Maplink1</v>
      </c>
      <c r="AU3190" s="12" t="str">
        <f>HYPERLINK("https://www.google.iq/maps/search/+32.4728,45.8248/@32.4728,45.8248,14z?hl=en","Maplink2")</f>
        <v>Maplink2</v>
      </c>
      <c r="AV3190" s="12" t="str">
        <f>HYPERLINK("http://www.bing.com/maps/?lvl=14&amp;sty=h&amp;cp=32.4728~45.8248&amp;sp=point.32.4728_45.8248","Maplink3")</f>
        <v>Maplink3</v>
      </c>
    </row>
    <row r="3191" spans="1:48" ht="15" customHeight="1" x14ac:dyDescent="0.25">
      <c r="A3191" s="19">
        <v>22693</v>
      </c>
      <c r="B3191" s="20" t="s">
        <v>26</v>
      </c>
      <c r="C3191" s="20" t="s">
        <v>5442</v>
      </c>
      <c r="D3191" s="20" t="s">
        <v>5485</v>
      </c>
      <c r="E3191" s="20" t="s">
        <v>5486</v>
      </c>
      <c r="F3191" s="20">
        <v>32.482264100000002</v>
      </c>
      <c r="G3191" s="20">
        <v>45.814722529999997</v>
      </c>
      <c r="H3191" s="22">
        <v>30</v>
      </c>
      <c r="I3191" s="22">
        <v>180</v>
      </c>
      <c r="J3191" s="21">
        <v>2</v>
      </c>
      <c r="K3191" s="21"/>
      <c r="L3191" s="21"/>
      <c r="M3191" s="21"/>
      <c r="N3191" s="21"/>
      <c r="O3191" s="21"/>
      <c r="P3191" s="21"/>
      <c r="Q3191" s="21"/>
      <c r="R3191" s="21"/>
      <c r="S3191" s="21"/>
      <c r="T3191" s="21"/>
      <c r="U3191" s="21"/>
      <c r="V3191" s="21">
        <v>28</v>
      </c>
      <c r="W3191" s="21"/>
      <c r="X3191" s="21"/>
      <c r="Y3191" s="21"/>
      <c r="Z3191" s="21"/>
      <c r="AA3191" s="21"/>
      <c r="AB3191" s="21"/>
      <c r="AC3191" s="21"/>
      <c r="AD3191" s="21"/>
      <c r="AE3191" s="21"/>
      <c r="AF3191" s="21"/>
      <c r="AG3191" s="21">
        <v>4</v>
      </c>
      <c r="AH3191" s="21">
        <v>26</v>
      </c>
      <c r="AI3191" s="21"/>
      <c r="AJ3191" s="21"/>
      <c r="AK3191" s="21"/>
      <c r="AL3191" s="21"/>
      <c r="AM3191" s="21">
        <v>28</v>
      </c>
      <c r="AN3191" s="21">
        <v>2</v>
      </c>
      <c r="AO3191" s="21"/>
      <c r="AP3191" s="21"/>
      <c r="AQ3191" s="21"/>
      <c r="AR3191" s="21"/>
      <c r="AS3191" s="21"/>
      <c r="AT3191" s="12" t="str">
        <f>HYPERLINK("http://www.openstreetmap.org/?mlat=32.4823&amp;mlon=45.8147&amp;zoom=12#map=12/32.4823/45.8147","Maplink1")</f>
        <v>Maplink1</v>
      </c>
      <c r="AU3191" s="12" t="str">
        <f>HYPERLINK("https://www.google.iq/maps/search/+32.4823,45.8147/@32.4823,45.8147,14z?hl=en","Maplink2")</f>
        <v>Maplink2</v>
      </c>
      <c r="AV3191" s="12" t="str">
        <f>HYPERLINK("http://www.bing.com/maps/?lvl=14&amp;sty=h&amp;cp=32.4823~45.8147&amp;sp=point.32.4823_45.8147","Maplink3")</f>
        <v>Maplink3</v>
      </c>
    </row>
    <row r="3192" spans="1:48" ht="15" customHeight="1" x14ac:dyDescent="0.25">
      <c r="A3192" s="19">
        <v>25106</v>
      </c>
      <c r="B3192" s="20" t="s">
        <v>26</v>
      </c>
      <c r="C3192" s="20" t="s">
        <v>5442</v>
      </c>
      <c r="D3192" s="20" t="s">
        <v>5487</v>
      </c>
      <c r="E3192" s="20" t="s">
        <v>5488</v>
      </c>
      <c r="F3192" s="20">
        <v>32.475444959999997</v>
      </c>
      <c r="G3192" s="20">
        <v>45.820173580000002</v>
      </c>
      <c r="H3192" s="22">
        <v>33</v>
      </c>
      <c r="I3192" s="22">
        <v>198</v>
      </c>
      <c r="J3192" s="21"/>
      <c r="K3192" s="21"/>
      <c r="L3192" s="21"/>
      <c r="M3192" s="21"/>
      <c r="N3192" s="21"/>
      <c r="O3192" s="21"/>
      <c r="P3192" s="21"/>
      <c r="Q3192" s="21"/>
      <c r="R3192" s="21">
        <v>14</v>
      </c>
      <c r="S3192" s="21"/>
      <c r="T3192" s="21"/>
      <c r="U3192" s="21"/>
      <c r="V3192" s="21">
        <v>19</v>
      </c>
      <c r="W3192" s="21"/>
      <c r="X3192" s="21"/>
      <c r="Y3192" s="21"/>
      <c r="Z3192" s="21"/>
      <c r="AA3192" s="21"/>
      <c r="AB3192" s="21"/>
      <c r="AC3192" s="21"/>
      <c r="AD3192" s="21"/>
      <c r="AE3192" s="21"/>
      <c r="AF3192" s="21"/>
      <c r="AG3192" s="21"/>
      <c r="AH3192" s="21">
        <v>33</v>
      </c>
      <c r="AI3192" s="21"/>
      <c r="AJ3192" s="21"/>
      <c r="AK3192" s="21"/>
      <c r="AL3192" s="21"/>
      <c r="AM3192" s="21">
        <v>19</v>
      </c>
      <c r="AN3192" s="21">
        <v>14</v>
      </c>
      <c r="AO3192" s="21"/>
      <c r="AP3192" s="21"/>
      <c r="AQ3192" s="21"/>
      <c r="AR3192" s="21"/>
      <c r="AS3192" s="21"/>
      <c r="AT3192" s="12" t="str">
        <f>HYPERLINK("http://www.openstreetmap.org/?mlat=32.4754&amp;mlon=45.8202&amp;zoom=12#map=12/32.4754/45.8202","Maplink1")</f>
        <v>Maplink1</v>
      </c>
      <c r="AU3192" s="12" t="str">
        <f>HYPERLINK("https://www.google.iq/maps/search/+32.4754,45.8202/@32.4754,45.8202,14z?hl=en","Maplink2")</f>
        <v>Maplink2</v>
      </c>
      <c r="AV3192" s="12" t="str">
        <f>HYPERLINK("http://www.bing.com/maps/?lvl=14&amp;sty=h&amp;cp=32.4754~45.8202&amp;sp=point.32.4754_45.8202","Maplink3")</f>
        <v>Maplink3</v>
      </c>
    </row>
    <row r="3193" spans="1:48" ht="15" customHeight="1" x14ac:dyDescent="0.25">
      <c r="A3193" s="19">
        <v>24640</v>
      </c>
      <c r="B3193" s="20" t="s">
        <v>26</v>
      </c>
      <c r="C3193" s="20" t="s">
        <v>5442</v>
      </c>
      <c r="D3193" s="20" t="s">
        <v>5489</v>
      </c>
      <c r="E3193" s="20" t="s">
        <v>5490</v>
      </c>
      <c r="F3193" s="20">
        <v>32.471554580000003</v>
      </c>
      <c r="G3193" s="20">
        <v>45.811008569999998</v>
      </c>
      <c r="H3193" s="22">
        <v>16</v>
      </c>
      <c r="I3193" s="22">
        <v>96</v>
      </c>
      <c r="J3193" s="21"/>
      <c r="K3193" s="21"/>
      <c r="L3193" s="21"/>
      <c r="M3193" s="21"/>
      <c r="N3193" s="21"/>
      <c r="O3193" s="21"/>
      <c r="P3193" s="21"/>
      <c r="Q3193" s="21"/>
      <c r="R3193" s="21"/>
      <c r="S3193" s="21"/>
      <c r="T3193" s="21"/>
      <c r="U3193" s="21"/>
      <c r="V3193" s="21">
        <v>16</v>
      </c>
      <c r="W3193" s="21"/>
      <c r="X3193" s="21"/>
      <c r="Y3193" s="21"/>
      <c r="Z3193" s="21"/>
      <c r="AA3193" s="21"/>
      <c r="AB3193" s="21"/>
      <c r="AC3193" s="21"/>
      <c r="AD3193" s="21"/>
      <c r="AE3193" s="21"/>
      <c r="AF3193" s="21"/>
      <c r="AG3193" s="21"/>
      <c r="AH3193" s="21">
        <v>16</v>
      </c>
      <c r="AI3193" s="21"/>
      <c r="AJ3193" s="21"/>
      <c r="AK3193" s="21"/>
      <c r="AL3193" s="21"/>
      <c r="AM3193" s="21">
        <v>16</v>
      </c>
      <c r="AN3193" s="21"/>
      <c r="AO3193" s="21"/>
      <c r="AP3193" s="21"/>
      <c r="AQ3193" s="21"/>
      <c r="AR3193" s="21"/>
      <c r="AS3193" s="21"/>
      <c r="AT3193" s="12" t="str">
        <f>HYPERLINK("http://www.openstreetmap.org/?mlat=32.4716&amp;mlon=45.811&amp;zoom=12#map=12/32.4716/45.811","Maplink1")</f>
        <v>Maplink1</v>
      </c>
      <c r="AU3193" s="12" t="str">
        <f>HYPERLINK("https://www.google.iq/maps/search/+32.4716,45.811/@32.4716,45.811,14z?hl=en","Maplink2")</f>
        <v>Maplink2</v>
      </c>
      <c r="AV3193" s="12" t="str">
        <f>HYPERLINK("http://www.bing.com/maps/?lvl=14&amp;sty=h&amp;cp=32.4716~45.811&amp;sp=point.32.4716_45.811","Maplink3")</f>
        <v>Maplink3</v>
      </c>
    </row>
    <row r="3194" spans="1:48" ht="15" customHeight="1" x14ac:dyDescent="0.25">
      <c r="A3194" s="19">
        <v>24784</v>
      </c>
      <c r="B3194" s="20" t="s">
        <v>26</v>
      </c>
      <c r="C3194" s="20" t="s">
        <v>5442</v>
      </c>
      <c r="D3194" s="20" t="s">
        <v>5491</v>
      </c>
      <c r="E3194" s="20" t="s">
        <v>5492</v>
      </c>
      <c r="F3194" s="20">
        <v>32.577408228899998</v>
      </c>
      <c r="G3194" s="20">
        <v>45.602739544000002</v>
      </c>
      <c r="H3194" s="22">
        <v>9</v>
      </c>
      <c r="I3194" s="22">
        <v>54</v>
      </c>
      <c r="J3194" s="21"/>
      <c r="K3194" s="21"/>
      <c r="L3194" s="21"/>
      <c r="M3194" s="21"/>
      <c r="N3194" s="21"/>
      <c r="O3194" s="21"/>
      <c r="P3194" s="21"/>
      <c r="Q3194" s="21"/>
      <c r="R3194" s="21"/>
      <c r="S3194" s="21"/>
      <c r="T3194" s="21"/>
      <c r="U3194" s="21"/>
      <c r="V3194" s="21">
        <v>9</v>
      </c>
      <c r="W3194" s="21"/>
      <c r="X3194" s="21"/>
      <c r="Y3194" s="21"/>
      <c r="Z3194" s="21"/>
      <c r="AA3194" s="21"/>
      <c r="AB3194" s="21"/>
      <c r="AC3194" s="21"/>
      <c r="AD3194" s="21"/>
      <c r="AE3194" s="21"/>
      <c r="AF3194" s="21"/>
      <c r="AG3194" s="21">
        <v>9</v>
      </c>
      <c r="AH3194" s="21"/>
      <c r="AI3194" s="21"/>
      <c r="AJ3194" s="21"/>
      <c r="AK3194" s="21"/>
      <c r="AL3194" s="21"/>
      <c r="AM3194" s="21">
        <v>9</v>
      </c>
      <c r="AN3194" s="21"/>
      <c r="AO3194" s="21"/>
      <c r="AP3194" s="21"/>
      <c r="AQ3194" s="21"/>
      <c r="AR3194" s="21"/>
      <c r="AS3194" s="21"/>
      <c r="AT3194" s="12" t="str">
        <f>HYPERLINK("http://www.openstreetmap.org/?mlat=32.5774&amp;mlon=45.6027&amp;zoom=12#map=12/32.5774/45.6027","Maplink1")</f>
        <v>Maplink1</v>
      </c>
      <c r="AU3194" s="12" t="str">
        <f>HYPERLINK("https://www.google.iq/maps/search/+32.5774,45.6027/@32.5774,45.6027,14z?hl=en","Maplink2")</f>
        <v>Maplink2</v>
      </c>
      <c r="AV3194" s="12" t="str">
        <f>HYPERLINK("http://www.bing.com/maps/?lvl=14&amp;sty=h&amp;cp=32.5774~45.6027&amp;sp=point.32.5774_45.6027","Maplink3")</f>
        <v>Maplink3</v>
      </c>
    </row>
    <row r="3195" spans="1:48" ht="15" customHeight="1" x14ac:dyDescent="0.25">
      <c r="A3195" s="19">
        <v>25104</v>
      </c>
      <c r="B3195" s="20" t="s">
        <v>26</v>
      </c>
      <c r="C3195" s="20" t="s">
        <v>5442</v>
      </c>
      <c r="D3195" s="20" t="s">
        <v>5493</v>
      </c>
      <c r="E3195" s="20" t="s">
        <v>5494</v>
      </c>
      <c r="F3195" s="20">
        <v>32.543027870000003</v>
      </c>
      <c r="G3195" s="20">
        <v>45.831836379999999</v>
      </c>
      <c r="H3195" s="22">
        <v>23</v>
      </c>
      <c r="I3195" s="22">
        <v>138</v>
      </c>
      <c r="J3195" s="21">
        <v>2</v>
      </c>
      <c r="K3195" s="21"/>
      <c r="L3195" s="21"/>
      <c r="M3195" s="21"/>
      <c r="N3195" s="21"/>
      <c r="O3195" s="21">
        <v>18</v>
      </c>
      <c r="P3195" s="21"/>
      <c r="Q3195" s="21"/>
      <c r="R3195" s="21">
        <v>1</v>
      </c>
      <c r="S3195" s="21"/>
      <c r="T3195" s="21"/>
      <c r="U3195" s="21"/>
      <c r="V3195" s="21">
        <v>2</v>
      </c>
      <c r="W3195" s="21"/>
      <c r="X3195" s="21"/>
      <c r="Y3195" s="21"/>
      <c r="Z3195" s="21"/>
      <c r="AA3195" s="21"/>
      <c r="AB3195" s="21"/>
      <c r="AC3195" s="21"/>
      <c r="AD3195" s="21"/>
      <c r="AE3195" s="21"/>
      <c r="AF3195" s="21"/>
      <c r="AG3195" s="21"/>
      <c r="AH3195" s="21">
        <v>23</v>
      </c>
      <c r="AI3195" s="21"/>
      <c r="AJ3195" s="21"/>
      <c r="AK3195" s="21"/>
      <c r="AL3195" s="21">
        <v>2</v>
      </c>
      <c r="AM3195" s="21">
        <v>2</v>
      </c>
      <c r="AN3195" s="21"/>
      <c r="AO3195" s="21">
        <v>10</v>
      </c>
      <c r="AP3195" s="21">
        <v>8</v>
      </c>
      <c r="AQ3195" s="21"/>
      <c r="AR3195" s="21">
        <v>1</v>
      </c>
      <c r="AS3195" s="21"/>
      <c r="AT3195" s="12" t="str">
        <f>HYPERLINK("http://www.openstreetmap.org/?mlat=32.543&amp;mlon=45.8318&amp;zoom=12#map=12/32.543/45.8318","Maplink1")</f>
        <v>Maplink1</v>
      </c>
      <c r="AU3195" s="12" t="str">
        <f>HYPERLINK("https://www.google.iq/maps/search/+32.543,45.8318/@32.543,45.8318,14z?hl=en","Maplink2")</f>
        <v>Maplink2</v>
      </c>
      <c r="AV3195" s="12" t="str">
        <f>HYPERLINK("http://www.bing.com/maps/?lvl=14&amp;sty=h&amp;cp=32.543~45.8318&amp;sp=point.32.543_45.8318","Maplink3")</f>
        <v>Maplink3</v>
      </c>
    </row>
    <row r="3196" spans="1:48" ht="15" customHeight="1" x14ac:dyDescent="0.25">
      <c r="A3196" s="19">
        <v>25105</v>
      </c>
      <c r="B3196" s="20" t="s">
        <v>26</v>
      </c>
      <c r="C3196" s="20" t="s">
        <v>5442</v>
      </c>
      <c r="D3196" s="20" t="s">
        <v>5495</v>
      </c>
      <c r="E3196" s="20" t="s">
        <v>5496</v>
      </c>
      <c r="F3196" s="20">
        <v>32.549327740000003</v>
      </c>
      <c r="G3196" s="20">
        <v>45.828561209999997</v>
      </c>
      <c r="H3196" s="22">
        <v>21</v>
      </c>
      <c r="I3196" s="22">
        <v>126</v>
      </c>
      <c r="J3196" s="21">
        <v>10</v>
      </c>
      <c r="K3196" s="21"/>
      <c r="L3196" s="21"/>
      <c r="M3196" s="21"/>
      <c r="N3196" s="21"/>
      <c r="O3196" s="21">
        <v>10</v>
      </c>
      <c r="P3196" s="21"/>
      <c r="Q3196" s="21"/>
      <c r="R3196" s="21">
        <v>1</v>
      </c>
      <c r="S3196" s="21"/>
      <c r="T3196" s="21"/>
      <c r="U3196" s="21"/>
      <c r="V3196" s="21"/>
      <c r="W3196" s="21"/>
      <c r="X3196" s="21"/>
      <c r="Y3196" s="21"/>
      <c r="Z3196" s="21"/>
      <c r="AA3196" s="21"/>
      <c r="AB3196" s="21"/>
      <c r="AC3196" s="21">
        <v>1</v>
      </c>
      <c r="AD3196" s="21"/>
      <c r="AE3196" s="21"/>
      <c r="AF3196" s="21"/>
      <c r="AG3196" s="21"/>
      <c r="AH3196" s="21">
        <v>20</v>
      </c>
      <c r="AI3196" s="21"/>
      <c r="AJ3196" s="21"/>
      <c r="AK3196" s="21"/>
      <c r="AL3196" s="21">
        <v>12</v>
      </c>
      <c r="AM3196" s="21">
        <v>1</v>
      </c>
      <c r="AN3196" s="21"/>
      <c r="AO3196" s="21"/>
      <c r="AP3196" s="21">
        <v>8</v>
      </c>
      <c r="AQ3196" s="21"/>
      <c r="AR3196" s="21"/>
      <c r="AS3196" s="21"/>
      <c r="AT3196" s="12" t="str">
        <f>HYPERLINK("http://www.openstreetmap.org/?mlat=32.5493&amp;mlon=45.8286&amp;zoom=12#map=12/32.5493/45.8286","Maplink1")</f>
        <v>Maplink1</v>
      </c>
      <c r="AU3196" s="12" t="str">
        <f>HYPERLINK("https://www.google.iq/maps/search/+32.5493,45.8286/@32.5493,45.8286,14z?hl=en","Maplink2")</f>
        <v>Maplink2</v>
      </c>
      <c r="AV3196" s="12" t="str">
        <f>HYPERLINK("http://www.bing.com/maps/?lvl=14&amp;sty=h&amp;cp=32.5493~45.8286&amp;sp=point.32.5493_45.8286","Maplink3")</f>
        <v>Maplink3</v>
      </c>
    </row>
    <row r="3197" spans="1:48" ht="15" customHeight="1" x14ac:dyDescent="0.25">
      <c r="A3197" s="19">
        <v>27276</v>
      </c>
      <c r="B3197" s="20" t="s">
        <v>26</v>
      </c>
      <c r="C3197" s="20" t="s">
        <v>5442</v>
      </c>
      <c r="D3197" s="20" t="s">
        <v>5497</v>
      </c>
      <c r="E3197" s="20" t="s">
        <v>5498</v>
      </c>
      <c r="F3197" s="20">
        <v>32.517547919999998</v>
      </c>
      <c r="G3197" s="20">
        <v>45.801918389999997</v>
      </c>
      <c r="H3197" s="22">
        <v>64</v>
      </c>
      <c r="I3197" s="22">
        <v>384</v>
      </c>
      <c r="J3197" s="21"/>
      <c r="K3197" s="21"/>
      <c r="L3197" s="21"/>
      <c r="M3197" s="21"/>
      <c r="N3197" s="21"/>
      <c r="O3197" s="21">
        <v>9</v>
      </c>
      <c r="P3197" s="21"/>
      <c r="Q3197" s="21"/>
      <c r="R3197" s="21"/>
      <c r="S3197" s="21"/>
      <c r="T3197" s="21"/>
      <c r="U3197" s="21"/>
      <c r="V3197" s="21">
        <v>50</v>
      </c>
      <c r="W3197" s="21"/>
      <c r="X3197" s="21">
        <v>5</v>
      </c>
      <c r="Y3197" s="21"/>
      <c r="Z3197" s="21"/>
      <c r="AA3197" s="21"/>
      <c r="AB3197" s="21"/>
      <c r="AC3197" s="21"/>
      <c r="AD3197" s="21"/>
      <c r="AE3197" s="21"/>
      <c r="AF3197" s="21"/>
      <c r="AG3197" s="21"/>
      <c r="AH3197" s="21">
        <v>64</v>
      </c>
      <c r="AI3197" s="21"/>
      <c r="AJ3197" s="21"/>
      <c r="AK3197" s="21"/>
      <c r="AL3197" s="21"/>
      <c r="AM3197" s="21">
        <v>63</v>
      </c>
      <c r="AN3197" s="21">
        <v>1</v>
      </c>
      <c r="AO3197" s="21"/>
      <c r="AP3197" s="21"/>
      <c r="AQ3197" s="21"/>
      <c r="AR3197" s="21"/>
      <c r="AS3197" s="21"/>
      <c r="AT3197" s="12" t="str">
        <f>HYPERLINK("http://www.openstreetmap.org/?mlat=32.5175&amp;mlon=45.8019&amp;zoom=12#map=12/32.5175/45.8019","Maplink1")</f>
        <v>Maplink1</v>
      </c>
      <c r="AU3197" s="12" t="str">
        <f>HYPERLINK("https://www.google.iq/maps/search/+32.5175,45.8019/@32.5175,45.8019,14z?hl=en","Maplink2")</f>
        <v>Maplink2</v>
      </c>
      <c r="AV3197" s="12" t="str">
        <f>HYPERLINK("http://www.bing.com/maps/?lvl=14&amp;sty=h&amp;cp=32.5175~45.8019&amp;sp=point.32.5175_45.8019","Maplink3")</f>
        <v>Maplink3</v>
      </c>
    </row>
    <row r="3198" spans="1:48" ht="15" customHeight="1" x14ac:dyDescent="0.25">
      <c r="A3198" s="19">
        <v>24785</v>
      </c>
      <c r="B3198" s="20" t="s">
        <v>26</v>
      </c>
      <c r="C3198" s="20" t="s">
        <v>5442</v>
      </c>
      <c r="D3198" s="20" t="s">
        <v>5499</v>
      </c>
      <c r="E3198" s="20" t="s">
        <v>5500</v>
      </c>
      <c r="F3198" s="20">
        <v>32.483048879999998</v>
      </c>
      <c r="G3198" s="20">
        <v>45.907565099999999</v>
      </c>
      <c r="H3198" s="22">
        <v>13</v>
      </c>
      <c r="I3198" s="22">
        <v>78</v>
      </c>
      <c r="J3198" s="21"/>
      <c r="K3198" s="21"/>
      <c r="L3198" s="21"/>
      <c r="M3198" s="21"/>
      <c r="N3198" s="21"/>
      <c r="O3198" s="21">
        <v>2</v>
      </c>
      <c r="P3198" s="21"/>
      <c r="Q3198" s="21"/>
      <c r="R3198" s="21"/>
      <c r="S3198" s="21"/>
      <c r="T3198" s="21"/>
      <c r="U3198" s="21"/>
      <c r="V3198" s="21">
        <v>11</v>
      </c>
      <c r="W3198" s="21"/>
      <c r="X3198" s="21"/>
      <c r="Y3198" s="21"/>
      <c r="Z3198" s="21"/>
      <c r="AA3198" s="21"/>
      <c r="AB3198" s="21"/>
      <c r="AC3198" s="21"/>
      <c r="AD3198" s="21"/>
      <c r="AE3198" s="21"/>
      <c r="AF3198" s="21"/>
      <c r="AG3198" s="21"/>
      <c r="AH3198" s="21">
        <v>13</v>
      </c>
      <c r="AI3198" s="21"/>
      <c r="AJ3198" s="21"/>
      <c r="AK3198" s="21"/>
      <c r="AL3198" s="21"/>
      <c r="AM3198" s="21">
        <v>13</v>
      </c>
      <c r="AN3198" s="21"/>
      <c r="AO3198" s="21"/>
      <c r="AP3198" s="21"/>
      <c r="AQ3198" s="21"/>
      <c r="AR3198" s="21"/>
      <c r="AS3198" s="21"/>
      <c r="AT3198" s="12" t="str">
        <f>HYPERLINK("http://www.openstreetmap.org/?mlat=32.483&amp;mlon=45.9076&amp;zoom=12#map=12/32.483/45.9076","Maplink1")</f>
        <v>Maplink1</v>
      </c>
      <c r="AU3198" s="12" t="str">
        <f>HYPERLINK("https://www.google.iq/maps/search/+32.483,45.9076/@32.483,45.9076,14z?hl=en","Maplink2")</f>
        <v>Maplink2</v>
      </c>
      <c r="AV3198" s="12" t="str">
        <f>HYPERLINK("http://www.bing.com/maps/?lvl=14&amp;sty=h&amp;cp=32.483~45.9076&amp;sp=point.32.483_45.9076","Maplink3")</f>
        <v>Maplink3</v>
      </c>
    </row>
    <row r="3199" spans="1:48" ht="15" customHeight="1" x14ac:dyDescent="0.25">
      <c r="A3199" s="19">
        <v>24882</v>
      </c>
      <c r="B3199" s="20" t="s">
        <v>26</v>
      </c>
      <c r="C3199" s="20" t="s">
        <v>5442</v>
      </c>
      <c r="D3199" s="20" t="s">
        <v>5501</v>
      </c>
      <c r="E3199" s="20" t="s">
        <v>5502</v>
      </c>
      <c r="F3199" s="20">
        <v>32.460073110000003</v>
      </c>
      <c r="G3199" s="20">
        <v>46.079839999999997</v>
      </c>
      <c r="H3199" s="22">
        <v>8</v>
      </c>
      <c r="I3199" s="22">
        <v>48</v>
      </c>
      <c r="J3199" s="21"/>
      <c r="K3199" s="21"/>
      <c r="L3199" s="21"/>
      <c r="M3199" s="21"/>
      <c r="N3199" s="21"/>
      <c r="O3199" s="21"/>
      <c r="P3199" s="21"/>
      <c r="Q3199" s="21"/>
      <c r="R3199" s="21"/>
      <c r="S3199" s="21"/>
      <c r="T3199" s="21"/>
      <c r="U3199" s="21"/>
      <c r="V3199" s="21">
        <v>8</v>
      </c>
      <c r="W3199" s="21"/>
      <c r="X3199" s="21"/>
      <c r="Y3199" s="21"/>
      <c r="Z3199" s="21"/>
      <c r="AA3199" s="21"/>
      <c r="AB3199" s="21"/>
      <c r="AC3199" s="21">
        <v>8</v>
      </c>
      <c r="AD3199" s="21"/>
      <c r="AE3199" s="21"/>
      <c r="AF3199" s="21"/>
      <c r="AG3199" s="21"/>
      <c r="AH3199" s="21"/>
      <c r="AI3199" s="21"/>
      <c r="AJ3199" s="21"/>
      <c r="AK3199" s="21"/>
      <c r="AL3199" s="21"/>
      <c r="AM3199" s="21">
        <v>8</v>
      </c>
      <c r="AN3199" s="21"/>
      <c r="AO3199" s="21"/>
      <c r="AP3199" s="21"/>
      <c r="AQ3199" s="21"/>
      <c r="AR3199" s="21"/>
      <c r="AS3199" s="21"/>
      <c r="AT3199" s="12" t="str">
        <f>HYPERLINK("http://www.openstreetmap.org/?mlat=32.4601&amp;mlon=46.0798&amp;zoom=12#map=12/32.4601/46.0798","Maplink1")</f>
        <v>Maplink1</v>
      </c>
      <c r="AU3199" s="12" t="str">
        <f>HYPERLINK("https://www.google.iq/maps/search/+32.4601,46.0798/@32.4601,46.0798,14z?hl=en","Maplink2")</f>
        <v>Maplink2</v>
      </c>
      <c r="AV3199" s="12" t="str">
        <f>HYPERLINK("http://www.bing.com/maps/?lvl=14&amp;sty=h&amp;cp=32.4601~46.0798&amp;sp=point.32.4601_46.0798","Maplink3")</f>
        <v>Maplink3</v>
      </c>
    </row>
    <row r="3200" spans="1:48" ht="15" customHeight="1" x14ac:dyDescent="0.25">
      <c r="A3200" s="19">
        <v>21868</v>
      </c>
      <c r="B3200" s="20" t="s">
        <v>26</v>
      </c>
      <c r="C3200" s="20" t="s">
        <v>5442</v>
      </c>
      <c r="D3200" s="20" t="s">
        <v>5503</v>
      </c>
      <c r="E3200" s="20" t="s">
        <v>5504</v>
      </c>
      <c r="F3200" s="20">
        <v>32.523454880000003</v>
      </c>
      <c r="G3200" s="20">
        <v>45.847418279999999</v>
      </c>
      <c r="H3200" s="22">
        <v>14</v>
      </c>
      <c r="I3200" s="22">
        <v>84</v>
      </c>
      <c r="J3200" s="21">
        <v>1</v>
      </c>
      <c r="K3200" s="21"/>
      <c r="L3200" s="21"/>
      <c r="M3200" s="21"/>
      <c r="N3200" s="21"/>
      <c r="O3200" s="21"/>
      <c r="P3200" s="21"/>
      <c r="Q3200" s="21"/>
      <c r="R3200" s="21"/>
      <c r="S3200" s="21"/>
      <c r="T3200" s="21"/>
      <c r="U3200" s="21"/>
      <c r="V3200" s="21">
        <v>13</v>
      </c>
      <c r="W3200" s="21"/>
      <c r="X3200" s="21"/>
      <c r="Y3200" s="21"/>
      <c r="Z3200" s="21"/>
      <c r="AA3200" s="21"/>
      <c r="AB3200" s="21"/>
      <c r="AC3200" s="21"/>
      <c r="AD3200" s="21"/>
      <c r="AE3200" s="21"/>
      <c r="AF3200" s="21"/>
      <c r="AG3200" s="21"/>
      <c r="AH3200" s="21">
        <v>14</v>
      </c>
      <c r="AI3200" s="21"/>
      <c r="AJ3200" s="21"/>
      <c r="AK3200" s="21"/>
      <c r="AL3200" s="21"/>
      <c r="AM3200" s="21">
        <v>1</v>
      </c>
      <c r="AN3200" s="21">
        <v>13</v>
      </c>
      <c r="AO3200" s="21"/>
      <c r="AP3200" s="21"/>
      <c r="AQ3200" s="21"/>
      <c r="AR3200" s="21"/>
      <c r="AS3200" s="21"/>
      <c r="AT3200" s="12" t="str">
        <f>HYPERLINK("http://www.openstreetmap.org/?mlat=32.5235&amp;mlon=45.8474&amp;zoom=12#map=12/32.5235/45.8474","Maplink1")</f>
        <v>Maplink1</v>
      </c>
      <c r="AU3200" s="12" t="str">
        <f>HYPERLINK("https://www.google.iq/maps/search/+32.5235,45.8474/@32.5235,45.8474,14z?hl=en","Maplink2")</f>
        <v>Maplink2</v>
      </c>
      <c r="AV3200" s="12" t="str">
        <f>HYPERLINK("http://www.bing.com/maps/?lvl=14&amp;sty=h&amp;cp=32.5235~45.8474&amp;sp=point.32.5235_45.8474","Maplink3")</f>
        <v>Maplink3</v>
      </c>
    </row>
    <row r="3201" spans="1:48" ht="15" customHeight="1" x14ac:dyDescent="0.25">
      <c r="A3201" s="19">
        <v>25322</v>
      </c>
      <c r="B3201" s="20" t="s">
        <v>26</v>
      </c>
      <c r="C3201" s="20" t="s">
        <v>5442</v>
      </c>
      <c r="D3201" s="20" t="s">
        <v>5505</v>
      </c>
      <c r="E3201" s="20" t="s">
        <v>5506</v>
      </c>
      <c r="F3201" s="20">
        <v>32.514318830000001</v>
      </c>
      <c r="G3201" s="20">
        <v>45.839395680000003</v>
      </c>
      <c r="H3201" s="22">
        <v>13</v>
      </c>
      <c r="I3201" s="22">
        <v>78</v>
      </c>
      <c r="J3201" s="21"/>
      <c r="K3201" s="21"/>
      <c r="L3201" s="21"/>
      <c r="M3201" s="21"/>
      <c r="N3201" s="21"/>
      <c r="O3201" s="21"/>
      <c r="P3201" s="21"/>
      <c r="Q3201" s="21"/>
      <c r="R3201" s="21"/>
      <c r="S3201" s="21"/>
      <c r="T3201" s="21"/>
      <c r="U3201" s="21"/>
      <c r="V3201" s="21">
        <v>13</v>
      </c>
      <c r="W3201" s="21"/>
      <c r="X3201" s="21"/>
      <c r="Y3201" s="21"/>
      <c r="Z3201" s="21"/>
      <c r="AA3201" s="21"/>
      <c r="AB3201" s="21"/>
      <c r="AC3201" s="21"/>
      <c r="AD3201" s="21"/>
      <c r="AE3201" s="21"/>
      <c r="AF3201" s="21"/>
      <c r="AG3201" s="21"/>
      <c r="AH3201" s="21">
        <v>13</v>
      </c>
      <c r="AI3201" s="21"/>
      <c r="AJ3201" s="21"/>
      <c r="AK3201" s="21"/>
      <c r="AL3201" s="21"/>
      <c r="AM3201" s="21">
        <v>10</v>
      </c>
      <c r="AN3201" s="21"/>
      <c r="AO3201" s="21">
        <v>3</v>
      </c>
      <c r="AP3201" s="21"/>
      <c r="AQ3201" s="21"/>
      <c r="AR3201" s="21"/>
      <c r="AS3201" s="21"/>
      <c r="AT3201" s="12" t="str">
        <f>HYPERLINK("http://www.openstreetmap.org/?mlat=32.5143&amp;mlon=45.8394&amp;zoom=12#map=12/32.5143/45.8394","Maplink1")</f>
        <v>Maplink1</v>
      </c>
      <c r="AU3201" s="12" t="str">
        <f>HYPERLINK("https://www.google.iq/maps/search/+32.5143,45.8394/@32.5143,45.8394,14z?hl=en","Maplink2")</f>
        <v>Maplink2</v>
      </c>
      <c r="AV3201" s="12" t="str">
        <f>HYPERLINK("http://www.bing.com/maps/?lvl=14&amp;sty=h&amp;cp=32.5143~45.8394&amp;sp=point.32.5143_45.8394","Maplink3")</f>
        <v>Maplink3</v>
      </c>
    </row>
    <row r="3202" spans="1:48" ht="15" customHeight="1" x14ac:dyDescent="0.25">
      <c r="A3202" s="19">
        <v>19555</v>
      </c>
      <c r="B3202" s="20" t="s">
        <v>26</v>
      </c>
      <c r="C3202" s="20" t="s">
        <v>5442</v>
      </c>
      <c r="D3202" s="20" t="s">
        <v>5507</v>
      </c>
      <c r="E3202" s="20" t="s">
        <v>5508</v>
      </c>
      <c r="F3202" s="20">
        <v>32.535655179999999</v>
      </c>
      <c r="G3202" s="20">
        <v>45.821504879999999</v>
      </c>
      <c r="H3202" s="22">
        <v>38</v>
      </c>
      <c r="I3202" s="22">
        <v>228</v>
      </c>
      <c r="J3202" s="21"/>
      <c r="K3202" s="21"/>
      <c r="L3202" s="21"/>
      <c r="M3202" s="21"/>
      <c r="N3202" s="21"/>
      <c r="O3202" s="21">
        <v>8</v>
      </c>
      <c r="P3202" s="21"/>
      <c r="Q3202" s="21"/>
      <c r="R3202" s="21">
        <v>10</v>
      </c>
      <c r="S3202" s="21"/>
      <c r="T3202" s="21"/>
      <c r="U3202" s="21"/>
      <c r="V3202" s="21">
        <v>10</v>
      </c>
      <c r="W3202" s="21"/>
      <c r="X3202" s="21">
        <v>10</v>
      </c>
      <c r="Y3202" s="21"/>
      <c r="Z3202" s="21"/>
      <c r="AA3202" s="21"/>
      <c r="AB3202" s="21"/>
      <c r="AC3202" s="21"/>
      <c r="AD3202" s="21"/>
      <c r="AE3202" s="21"/>
      <c r="AF3202" s="21"/>
      <c r="AG3202" s="21">
        <v>3</v>
      </c>
      <c r="AH3202" s="21">
        <v>35</v>
      </c>
      <c r="AI3202" s="21"/>
      <c r="AJ3202" s="21"/>
      <c r="AK3202" s="21"/>
      <c r="AL3202" s="21"/>
      <c r="AM3202" s="21">
        <v>18</v>
      </c>
      <c r="AN3202" s="21">
        <v>20</v>
      </c>
      <c r="AO3202" s="21"/>
      <c r="AP3202" s="21"/>
      <c r="AQ3202" s="21"/>
      <c r="AR3202" s="21"/>
      <c r="AS3202" s="21"/>
      <c r="AT3202" s="12" t="str">
        <f>HYPERLINK("http://www.openstreetmap.org/?mlat=32.5357&amp;mlon=45.8215&amp;zoom=12#map=12/32.5357/45.8215","Maplink1")</f>
        <v>Maplink1</v>
      </c>
      <c r="AU3202" s="12" t="str">
        <f>HYPERLINK("https://www.google.iq/maps/search/+32.5357,45.8215/@32.5357,45.8215,14z?hl=en","Maplink2")</f>
        <v>Maplink2</v>
      </c>
      <c r="AV3202" s="12" t="str">
        <f>HYPERLINK("http://www.bing.com/maps/?lvl=14&amp;sty=h&amp;cp=32.5357~45.8215&amp;sp=point.32.5357_45.8215","Maplink3")</f>
        <v>Maplink3</v>
      </c>
    </row>
    <row r="3203" spans="1:48" ht="15" customHeight="1" x14ac:dyDescent="0.25">
      <c r="A3203" s="19">
        <v>24758</v>
      </c>
      <c r="B3203" s="20" t="s">
        <v>26</v>
      </c>
      <c r="C3203" s="20" t="s">
        <v>5442</v>
      </c>
      <c r="D3203" s="20" t="s">
        <v>5509</v>
      </c>
      <c r="E3203" s="20" t="s">
        <v>5510</v>
      </c>
      <c r="F3203" s="20">
        <v>32.535751842499998</v>
      </c>
      <c r="G3203" s="20">
        <v>45.829546480899999</v>
      </c>
      <c r="H3203" s="22">
        <v>48</v>
      </c>
      <c r="I3203" s="22">
        <v>288</v>
      </c>
      <c r="J3203" s="21">
        <v>8</v>
      </c>
      <c r="K3203" s="21"/>
      <c r="L3203" s="21"/>
      <c r="M3203" s="21"/>
      <c r="N3203" s="21"/>
      <c r="O3203" s="21">
        <v>10</v>
      </c>
      <c r="P3203" s="21"/>
      <c r="Q3203" s="21"/>
      <c r="R3203" s="21"/>
      <c r="S3203" s="21"/>
      <c r="T3203" s="21"/>
      <c r="U3203" s="21"/>
      <c r="V3203" s="21">
        <v>20</v>
      </c>
      <c r="W3203" s="21"/>
      <c r="X3203" s="21">
        <v>10</v>
      </c>
      <c r="Y3203" s="21"/>
      <c r="Z3203" s="21"/>
      <c r="AA3203" s="21"/>
      <c r="AB3203" s="21"/>
      <c r="AC3203" s="21"/>
      <c r="AD3203" s="21"/>
      <c r="AE3203" s="21"/>
      <c r="AF3203" s="21"/>
      <c r="AG3203" s="21"/>
      <c r="AH3203" s="21">
        <v>48</v>
      </c>
      <c r="AI3203" s="21"/>
      <c r="AJ3203" s="21"/>
      <c r="AK3203" s="21"/>
      <c r="AL3203" s="21">
        <v>18</v>
      </c>
      <c r="AM3203" s="21">
        <v>20</v>
      </c>
      <c r="AN3203" s="21">
        <v>10</v>
      </c>
      <c r="AO3203" s="21"/>
      <c r="AP3203" s="21"/>
      <c r="AQ3203" s="21"/>
      <c r="AR3203" s="21"/>
      <c r="AS3203" s="21"/>
      <c r="AT3203" s="12" t="str">
        <f>HYPERLINK("http://www.openstreetmap.org/?mlat=32.5358&amp;mlon=45.8295&amp;zoom=12#map=12/32.5358/45.8295","Maplink1")</f>
        <v>Maplink1</v>
      </c>
      <c r="AU3203" s="12" t="str">
        <f>HYPERLINK("https://www.google.iq/maps/search/+32.5358,45.8295/@32.5358,45.8295,14z?hl=en","Maplink2")</f>
        <v>Maplink2</v>
      </c>
      <c r="AV3203" s="12" t="str">
        <f>HYPERLINK("http://www.bing.com/maps/?lvl=14&amp;sty=h&amp;cp=32.5358~45.8295&amp;sp=point.32.5358_45.8295","Maplink3")</f>
        <v>Maplink3</v>
      </c>
    </row>
    <row r="3204" spans="1:48" ht="15" customHeight="1" x14ac:dyDescent="0.25">
      <c r="A3204" s="19">
        <v>19554</v>
      </c>
      <c r="B3204" s="20" t="s">
        <v>26</v>
      </c>
      <c r="C3204" s="20" t="s">
        <v>5442</v>
      </c>
      <c r="D3204" s="20" t="s">
        <v>5511</v>
      </c>
      <c r="E3204" s="20" t="s">
        <v>5512</v>
      </c>
      <c r="F3204" s="20">
        <v>32.536889879999997</v>
      </c>
      <c r="G3204" s="20">
        <v>45.829944279999999</v>
      </c>
      <c r="H3204" s="22">
        <v>25</v>
      </c>
      <c r="I3204" s="22">
        <v>150</v>
      </c>
      <c r="J3204" s="21">
        <v>8</v>
      </c>
      <c r="K3204" s="21"/>
      <c r="L3204" s="21">
        <v>10</v>
      </c>
      <c r="M3204" s="21"/>
      <c r="N3204" s="21"/>
      <c r="O3204" s="21"/>
      <c r="P3204" s="21"/>
      <c r="Q3204" s="21"/>
      <c r="R3204" s="21">
        <v>2</v>
      </c>
      <c r="S3204" s="21"/>
      <c r="T3204" s="21"/>
      <c r="U3204" s="21"/>
      <c r="V3204" s="21">
        <v>5</v>
      </c>
      <c r="W3204" s="21"/>
      <c r="X3204" s="21"/>
      <c r="Y3204" s="21"/>
      <c r="Z3204" s="21"/>
      <c r="AA3204" s="21"/>
      <c r="AB3204" s="21"/>
      <c r="AC3204" s="21"/>
      <c r="AD3204" s="21"/>
      <c r="AE3204" s="21"/>
      <c r="AF3204" s="21"/>
      <c r="AG3204" s="21"/>
      <c r="AH3204" s="21">
        <v>25</v>
      </c>
      <c r="AI3204" s="21"/>
      <c r="AJ3204" s="21"/>
      <c r="AK3204" s="21"/>
      <c r="AL3204" s="21">
        <v>10</v>
      </c>
      <c r="AM3204" s="21">
        <v>7</v>
      </c>
      <c r="AN3204" s="21"/>
      <c r="AO3204" s="21"/>
      <c r="AP3204" s="21">
        <v>8</v>
      </c>
      <c r="AQ3204" s="21"/>
      <c r="AR3204" s="21"/>
      <c r="AS3204" s="21"/>
      <c r="AT3204" s="12" t="str">
        <f>HYPERLINK("http://www.openstreetmap.org/?mlat=32.5369&amp;mlon=45.8299&amp;zoom=12#map=12/32.5369/45.8299","Maplink1")</f>
        <v>Maplink1</v>
      </c>
      <c r="AU3204" s="12" t="str">
        <f>HYPERLINK("https://www.google.iq/maps/search/+32.5369,45.8299/@32.5369,45.8299,14z?hl=en","Maplink2")</f>
        <v>Maplink2</v>
      </c>
      <c r="AV3204" s="12" t="str">
        <f>HYPERLINK("http://www.bing.com/maps/?lvl=14&amp;sty=h&amp;cp=32.5369~45.8299&amp;sp=point.32.5369_45.8299","Maplink3")</f>
        <v>Maplink3</v>
      </c>
    </row>
    <row r="3205" spans="1:48" ht="15" customHeight="1" x14ac:dyDescent="0.25">
      <c r="A3205" s="19">
        <v>19064</v>
      </c>
      <c r="B3205" s="20" t="s">
        <v>26</v>
      </c>
      <c r="C3205" s="20" t="s">
        <v>5442</v>
      </c>
      <c r="D3205" s="20" t="s">
        <v>5513</v>
      </c>
      <c r="E3205" s="20" t="s">
        <v>5514</v>
      </c>
      <c r="F3205" s="20">
        <v>32.529697120000002</v>
      </c>
      <c r="G3205" s="20">
        <v>45.821452579999999</v>
      </c>
      <c r="H3205" s="22">
        <v>12</v>
      </c>
      <c r="I3205" s="22">
        <v>72</v>
      </c>
      <c r="J3205" s="21"/>
      <c r="K3205" s="21"/>
      <c r="L3205" s="21"/>
      <c r="M3205" s="21"/>
      <c r="N3205" s="21"/>
      <c r="O3205" s="21"/>
      <c r="P3205" s="21"/>
      <c r="Q3205" s="21"/>
      <c r="R3205" s="21"/>
      <c r="S3205" s="21"/>
      <c r="T3205" s="21"/>
      <c r="U3205" s="21"/>
      <c r="V3205" s="21">
        <v>12</v>
      </c>
      <c r="W3205" s="21"/>
      <c r="X3205" s="21"/>
      <c r="Y3205" s="21"/>
      <c r="Z3205" s="21"/>
      <c r="AA3205" s="21"/>
      <c r="AB3205" s="21"/>
      <c r="AC3205" s="21"/>
      <c r="AD3205" s="21"/>
      <c r="AE3205" s="21"/>
      <c r="AF3205" s="21"/>
      <c r="AG3205" s="21">
        <v>4</v>
      </c>
      <c r="AH3205" s="21">
        <v>8</v>
      </c>
      <c r="AI3205" s="21"/>
      <c r="AJ3205" s="21"/>
      <c r="AK3205" s="21"/>
      <c r="AL3205" s="21"/>
      <c r="AM3205" s="21">
        <v>12</v>
      </c>
      <c r="AN3205" s="21"/>
      <c r="AO3205" s="21"/>
      <c r="AP3205" s="21"/>
      <c r="AQ3205" s="21"/>
      <c r="AR3205" s="21"/>
      <c r="AS3205" s="21"/>
      <c r="AT3205" s="12" t="str">
        <f>HYPERLINK("http://www.openstreetmap.org/?mlat=32.5297&amp;mlon=45.8215&amp;zoom=12#map=12/32.5297/45.8215","Maplink1")</f>
        <v>Maplink1</v>
      </c>
      <c r="AU3205" s="12" t="str">
        <f>HYPERLINK("https://www.google.iq/maps/search/+32.5297,45.8215/@32.5297,45.8215,14z?hl=en","Maplink2")</f>
        <v>Maplink2</v>
      </c>
      <c r="AV3205" s="12" t="str">
        <f>HYPERLINK("http://www.bing.com/maps/?lvl=14&amp;sty=h&amp;cp=32.5297~45.8215&amp;sp=point.32.5297_45.8215","Maplink3")</f>
        <v>Maplink3</v>
      </c>
    </row>
    <row r="3206" spans="1:48" ht="15" customHeight="1" x14ac:dyDescent="0.25">
      <c r="A3206" s="19">
        <v>27383</v>
      </c>
      <c r="B3206" s="20" t="s">
        <v>26</v>
      </c>
      <c r="C3206" s="20" t="s">
        <v>5442</v>
      </c>
      <c r="D3206" s="20" t="s">
        <v>5515</v>
      </c>
      <c r="E3206" s="20" t="s">
        <v>5516</v>
      </c>
      <c r="F3206" s="20">
        <v>32.514985459999998</v>
      </c>
      <c r="G3206" s="20">
        <v>45.864439130000001</v>
      </c>
      <c r="H3206" s="22">
        <v>15</v>
      </c>
      <c r="I3206" s="22">
        <v>90</v>
      </c>
      <c r="J3206" s="21"/>
      <c r="K3206" s="21"/>
      <c r="L3206" s="21"/>
      <c r="M3206" s="21"/>
      <c r="N3206" s="21"/>
      <c r="O3206" s="21"/>
      <c r="P3206" s="21"/>
      <c r="Q3206" s="21"/>
      <c r="R3206" s="21"/>
      <c r="S3206" s="21"/>
      <c r="T3206" s="21"/>
      <c r="U3206" s="21"/>
      <c r="V3206" s="21">
        <v>15</v>
      </c>
      <c r="W3206" s="21"/>
      <c r="X3206" s="21"/>
      <c r="Y3206" s="21"/>
      <c r="Z3206" s="21"/>
      <c r="AA3206" s="21"/>
      <c r="AB3206" s="21"/>
      <c r="AC3206" s="21"/>
      <c r="AD3206" s="21"/>
      <c r="AE3206" s="21"/>
      <c r="AF3206" s="21"/>
      <c r="AG3206" s="21"/>
      <c r="AH3206" s="21">
        <v>15</v>
      </c>
      <c r="AI3206" s="21"/>
      <c r="AJ3206" s="21"/>
      <c r="AK3206" s="21"/>
      <c r="AL3206" s="21"/>
      <c r="AM3206" s="21">
        <v>15</v>
      </c>
      <c r="AN3206" s="21"/>
      <c r="AO3206" s="21"/>
      <c r="AP3206" s="21"/>
      <c r="AQ3206" s="21"/>
      <c r="AR3206" s="21"/>
      <c r="AS3206" s="21"/>
      <c r="AT3206" s="12" t="str">
        <f>HYPERLINK("http://www.openstreetmap.org/?mlat=32.515&amp;mlon=45.8644&amp;zoom=12#map=12/32.515/45.8644","Maplink1")</f>
        <v>Maplink1</v>
      </c>
      <c r="AU3206" s="12" t="str">
        <f>HYPERLINK("https://www.google.iq/maps/search/+32.515,45.8644/@32.515,45.8644,14z?hl=en","Maplink2")</f>
        <v>Maplink2</v>
      </c>
      <c r="AV3206" s="12" t="str">
        <f>HYPERLINK("http://www.bing.com/maps/?lvl=14&amp;sty=h&amp;cp=32.515~45.8644&amp;sp=point.32.515_45.8644","Maplink3")</f>
        <v>Maplink3</v>
      </c>
    </row>
    <row r="3207" spans="1:48" ht="15" customHeight="1" x14ac:dyDescent="0.25">
      <c r="A3207" s="19">
        <v>24262</v>
      </c>
      <c r="B3207" s="20" t="s">
        <v>26</v>
      </c>
      <c r="C3207" s="20" t="s">
        <v>5442</v>
      </c>
      <c r="D3207" s="20" t="s">
        <v>5517</v>
      </c>
      <c r="E3207" s="20" t="s">
        <v>5518</v>
      </c>
      <c r="F3207" s="20">
        <v>32.516803846199998</v>
      </c>
      <c r="G3207" s="20">
        <v>45.844319761500003</v>
      </c>
      <c r="H3207" s="22">
        <v>17</v>
      </c>
      <c r="I3207" s="22">
        <v>102</v>
      </c>
      <c r="J3207" s="21">
        <v>4</v>
      </c>
      <c r="K3207" s="21"/>
      <c r="L3207" s="21"/>
      <c r="M3207" s="21"/>
      <c r="N3207" s="21"/>
      <c r="O3207" s="21"/>
      <c r="P3207" s="21"/>
      <c r="Q3207" s="21"/>
      <c r="R3207" s="21"/>
      <c r="S3207" s="21"/>
      <c r="T3207" s="21"/>
      <c r="U3207" s="21"/>
      <c r="V3207" s="21">
        <v>13</v>
      </c>
      <c r="W3207" s="21"/>
      <c r="X3207" s="21"/>
      <c r="Y3207" s="21"/>
      <c r="Z3207" s="21"/>
      <c r="AA3207" s="21"/>
      <c r="AB3207" s="21"/>
      <c r="AC3207" s="21"/>
      <c r="AD3207" s="21"/>
      <c r="AE3207" s="21"/>
      <c r="AF3207" s="21"/>
      <c r="AG3207" s="21">
        <v>3</v>
      </c>
      <c r="AH3207" s="21">
        <v>14</v>
      </c>
      <c r="AI3207" s="21"/>
      <c r="AJ3207" s="21"/>
      <c r="AK3207" s="21"/>
      <c r="AL3207" s="21"/>
      <c r="AM3207" s="21">
        <v>13</v>
      </c>
      <c r="AN3207" s="21"/>
      <c r="AO3207" s="21"/>
      <c r="AP3207" s="21">
        <v>4</v>
      </c>
      <c r="AQ3207" s="21"/>
      <c r="AR3207" s="21"/>
      <c r="AS3207" s="21"/>
      <c r="AT3207" s="12" t="str">
        <f>HYPERLINK("http://www.openstreetmap.org/?mlat=32.5168&amp;mlon=45.8443&amp;zoom=12#map=12/32.5168/45.8443","Maplink1")</f>
        <v>Maplink1</v>
      </c>
      <c r="AU3207" s="12" t="str">
        <f>HYPERLINK("https://www.google.iq/maps/search/+32.5168,45.8443/@32.5168,45.8443,14z?hl=en","Maplink2")</f>
        <v>Maplink2</v>
      </c>
      <c r="AV3207" s="12" t="str">
        <f>HYPERLINK("http://www.bing.com/maps/?lvl=14&amp;sty=h&amp;cp=32.5168~45.8443&amp;sp=point.32.5168_45.8443","Maplink3")</f>
        <v>Maplink3</v>
      </c>
    </row>
    <row r="3208" spans="1:48" ht="15" customHeight="1" x14ac:dyDescent="0.25">
      <c r="A3208" s="19">
        <v>23968</v>
      </c>
      <c r="B3208" s="20" t="s">
        <v>26</v>
      </c>
      <c r="C3208" s="20" t="s">
        <v>5442</v>
      </c>
      <c r="D3208" s="20" t="s">
        <v>5519</v>
      </c>
      <c r="E3208" s="20" t="s">
        <v>1458</v>
      </c>
      <c r="F3208" s="20">
        <v>32.503882609999998</v>
      </c>
      <c r="G3208" s="20">
        <v>45.830068920000002</v>
      </c>
      <c r="H3208" s="22">
        <v>8</v>
      </c>
      <c r="I3208" s="22">
        <v>48</v>
      </c>
      <c r="J3208" s="21"/>
      <c r="K3208" s="21"/>
      <c r="L3208" s="21"/>
      <c r="M3208" s="21"/>
      <c r="N3208" s="21"/>
      <c r="O3208" s="21"/>
      <c r="P3208" s="21"/>
      <c r="Q3208" s="21"/>
      <c r="R3208" s="21"/>
      <c r="S3208" s="21"/>
      <c r="T3208" s="21"/>
      <c r="U3208" s="21"/>
      <c r="V3208" s="21">
        <v>8</v>
      </c>
      <c r="W3208" s="21"/>
      <c r="X3208" s="21"/>
      <c r="Y3208" s="21"/>
      <c r="Z3208" s="21"/>
      <c r="AA3208" s="21"/>
      <c r="AB3208" s="21"/>
      <c r="AC3208" s="21"/>
      <c r="AD3208" s="21"/>
      <c r="AE3208" s="21"/>
      <c r="AF3208" s="21"/>
      <c r="AG3208" s="21"/>
      <c r="AH3208" s="21">
        <v>8</v>
      </c>
      <c r="AI3208" s="21"/>
      <c r="AJ3208" s="21"/>
      <c r="AK3208" s="21"/>
      <c r="AL3208" s="21"/>
      <c r="AM3208" s="21"/>
      <c r="AN3208" s="21">
        <v>8</v>
      </c>
      <c r="AO3208" s="21"/>
      <c r="AP3208" s="21"/>
      <c r="AQ3208" s="21"/>
      <c r="AR3208" s="21"/>
      <c r="AS3208" s="21"/>
      <c r="AT3208" s="12" t="str">
        <f>HYPERLINK("http://www.openstreetmap.org/?mlat=32.5039&amp;mlon=45.8301&amp;zoom=12#map=12/32.5039/45.8301","Maplink1")</f>
        <v>Maplink1</v>
      </c>
      <c r="AU3208" s="12" t="str">
        <f>HYPERLINK("https://www.google.iq/maps/search/+32.5039,45.8301/@32.5039,45.8301,14z?hl=en","Maplink2")</f>
        <v>Maplink2</v>
      </c>
      <c r="AV3208" s="12" t="str">
        <f>HYPERLINK("http://www.bing.com/maps/?lvl=14&amp;sty=h&amp;cp=32.5039~45.8301&amp;sp=point.32.5039_45.8301","Maplink3")</f>
        <v>Maplink3</v>
      </c>
    </row>
    <row r="3209" spans="1:48" ht="15" customHeight="1" x14ac:dyDescent="0.25">
      <c r="A3209" s="19">
        <v>25587</v>
      </c>
      <c r="B3209" s="20" t="s">
        <v>26</v>
      </c>
      <c r="C3209" s="20" t="s">
        <v>5442</v>
      </c>
      <c r="D3209" s="20" t="s">
        <v>5520</v>
      </c>
      <c r="E3209" s="20" t="s">
        <v>5521</v>
      </c>
      <c r="F3209" s="20">
        <v>32.499592509999999</v>
      </c>
      <c r="G3209" s="20">
        <v>45.827246709999997</v>
      </c>
      <c r="H3209" s="22">
        <v>8</v>
      </c>
      <c r="I3209" s="22">
        <v>48</v>
      </c>
      <c r="J3209" s="21"/>
      <c r="K3209" s="21"/>
      <c r="L3209" s="21"/>
      <c r="M3209" s="21"/>
      <c r="N3209" s="21"/>
      <c r="O3209" s="21"/>
      <c r="P3209" s="21"/>
      <c r="Q3209" s="21"/>
      <c r="R3209" s="21"/>
      <c r="S3209" s="21"/>
      <c r="T3209" s="21"/>
      <c r="U3209" s="21"/>
      <c r="V3209" s="21">
        <v>8</v>
      </c>
      <c r="W3209" s="21"/>
      <c r="X3209" s="21"/>
      <c r="Y3209" s="21"/>
      <c r="Z3209" s="21"/>
      <c r="AA3209" s="21"/>
      <c r="AB3209" s="21"/>
      <c r="AC3209" s="21"/>
      <c r="AD3209" s="21"/>
      <c r="AE3209" s="21"/>
      <c r="AF3209" s="21"/>
      <c r="AG3209" s="21"/>
      <c r="AH3209" s="21">
        <v>8</v>
      </c>
      <c r="AI3209" s="21"/>
      <c r="AJ3209" s="21"/>
      <c r="AK3209" s="21"/>
      <c r="AL3209" s="21"/>
      <c r="AM3209" s="21">
        <v>8</v>
      </c>
      <c r="AN3209" s="21"/>
      <c r="AO3209" s="21"/>
      <c r="AP3209" s="21"/>
      <c r="AQ3209" s="21"/>
      <c r="AR3209" s="21"/>
      <c r="AS3209" s="21"/>
      <c r="AT3209" s="12" t="str">
        <f>HYPERLINK("http://www.openstreetmap.org/?mlat=32.4996&amp;mlon=45.8272&amp;zoom=12#map=12/32.4996/45.8272","Maplink1")</f>
        <v>Maplink1</v>
      </c>
      <c r="AU3209" s="12" t="str">
        <f>HYPERLINK("https://www.google.iq/maps/search/+32.4996,45.8272/@32.4996,45.8272,14z?hl=en","Maplink2")</f>
        <v>Maplink2</v>
      </c>
      <c r="AV3209" s="12" t="str">
        <f>HYPERLINK("http://www.bing.com/maps/?lvl=14&amp;sty=h&amp;cp=32.4996~45.8272&amp;sp=point.32.4996_45.8272","Maplink3")</f>
        <v>Maplink3</v>
      </c>
    </row>
    <row r="3210" spans="1:48" ht="15" customHeight="1" x14ac:dyDescent="0.25">
      <c r="A3210" s="19">
        <v>25317</v>
      </c>
      <c r="B3210" s="20" t="s">
        <v>26</v>
      </c>
      <c r="C3210" s="20" t="s">
        <v>5442</v>
      </c>
      <c r="D3210" s="20" t="s">
        <v>5522</v>
      </c>
      <c r="E3210" s="20" t="s">
        <v>5523</v>
      </c>
      <c r="F3210" s="20">
        <v>32.515256270000002</v>
      </c>
      <c r="G3210" s="20">
        <v>45.815465089999996</v>
      </c>
      <c r="H3210" s="22">
        <v>7</v>
      </c>
      <c r="I3210" s="22">
        <v>42</v>
      </c>
      <c r="J3210" s="21">
        <v>1</v>
      </c>
      <c r="K3210" s="21"/>
      <c r="L3210" s="21"/>
      <c r="M3210" s="21"/>
      <c r="N3210" s="21"/>
      <c r="O3210" s="21">
        <v>2</v>
      </c>
      <c r="P3210" s="21"/>
      <c r="Q3210" s="21"/>
      <c r="R3210" s="21">
        <v>1</v>
      </c>
      <c r="S3210" s="21"/>
      <c r="T3210" s="21"/>
      <c r="U3210" s="21"/>
      <c r="V3210" s="21">
        <v>3</v>
      </c>
      <c r="W3210" s="21"/>
      <c r="X3210" s="21"/>
      <c r="Y3210" s="21"/>
      <c r="Z3210" s="21"/>
      <c r="AA3210" s="21"/>
      <c r="AB3210" s="21"/>
      <c r="AC3210" s="21"/>
      <c r="AD3210" s="21"/>
      <c r="AE3210" s="21"/>
      <c r="AF3210" s="21"/>
      <c r="AG3210" s="21"/>
      <c r="AH3210" s="21">
        <v>7</v>
      </c>
      <c r="AI3210" s="21"/>
      <c r="AJ3210" s="21"/>
      <c r="AK3210" s="21"/>
      <c r="AL3210" s="21"/>
      <c r="AM3210" s="21">
        <v>3</v>
      </c>
      <c r="AN3210" s="21">
        <v>4</v>
      </c>
      <c r="AO3210" s="21"/>
      <c r="AP3210" s="21"/>
      <c r="AQ3210" s="21"/>
      <c r="AR3210" s="21"/>
      <c r="AS3210" s="21"/>
      <c r="AT3210" s="12" t="str">
        <f>HYPERLINK("http://www.openstreetmap.org/?mlat=32.5153&amp;mlon=45.8155&amp;zoom=12#map=12/32.5153/45.8155","Maplink1")</f>
        <v>Maplink1</v>
      </c>
      <c r="AU3210" s="12" t="str">
        <f>HYPERLINK("https://www.google.iq/maps/search/+32.5153,45.8155/@32.5153,45.8155,14z?hl=en","Maplink2")</f>
        <v>Maplink2</v>
      </c>
      <c r="AV3210" s="12" t="str">
        <f>HYPERLINK("http://www.bing.com/maps/?lvl=14&amp;sty=h&amp;cp=32.5153~45.8155&amp;sp=point.32.5153_45.8155","Maplink3")</f>
        <v>Maplink3</v>
      </c>
    </row>
    <row r="3211" spans="1:48" ht="15" customHeight="1" x14ac:dyDescent="0.25">
      <c r="A3211" s="19">
        <v>20872</v>
      </c>
      <c r="B3211" s="20" t="s">
        <v>26</v>
      </c>
      <c r="C3211" s="20" t="s">
        <v>5442</v>
      </c>
      <c r="D3211" s="20" t="s">
        <v>4040</v>
      </c>
      <c r="E3211" s="20" t="s">
        <v>3376</v>
      </c>
      <c r="F3211" s="20">
        <v>32.545559641499999</v>
      </c>
      <c r="G3211" s="20">
        <v>45.866656055599996</v>
      </c>
      <c r="H3211" s="22">
        <v>20</v>
      </c>
      <c r="I3211" s="22">
        <v>120</v>
      </c>
      <c r="J3211" s="21"/>
      <c r="K3211" s="21"/>
      <c r="L3211" s="21"/>
      <c r="M3211" s="21"/>
      <c r="N3211" s="21"/>
      <c r="O3211" s="21"/>
      <c r="P3211" s="21"/>
      <c r="Q3211" s="21"/>
      <c r="R3211" s="21"/>
      <c r="S3211" s="21"/>
      <c r="T3211" s="21"/>
      <c r="U3211" s="21"/>
      <c r="V3211" s="21">
        <v>20</v>
      </c>
      <c r="W3211" s="21"/>
      <c r="X3211" s="21"/>
      <c r="Y3211" s="21"/>
      <c r="Z3211" s="21"/>
      <c r="AA3211" s="21"/>
      <c r="AB3211" s="21"/>
      <c r="AC3211" s="21"/>
      <c r="AD3211" s="21"/>
      <c r="AE3211" s="21">
        <v>20</v>
      </c>
      <c r="AF3211" s="21"/>
      <c r="AG3211" s="21"/>
      <c r="AH3211" s="21"/>
      <c r="AI3211" s="21"/>
      <c r="AJ3211" s="21"/>
      <c r="AK3211" s="21"/>
      <c r="AL3211" s="21">
        <v>7</v>
      </c>
      <c r="AM3211" s="21">
        <v>13</v>
      </c>
      <c r="AN3211" s="21"/>
      <c r="AO3211" s="21"/>
      <c r="AP3211" s="21"/>
      <c r="AQ3211" s="21"/>
      <c r="AR3211" s="21"/>
      <c r="AS3211" s="21"/>
      <c r="AT3211" s="12" t="str">
        <f>HYPERLINK("http://www.openstreetmap.org/?mlat=32.5456&amp;mlon=45.8667&amp;zoom=12#map=12/32.5456/45.8667","Maplink1")</f>
        <v>Maplink1</v>
      </c>
      <c r="AU3211" s="12" t="str">
        <f>HYPERLINK("https://www.google.iq/maps/search/+32.5456,45.8667/@32.5456,45.8667,14z?hl=en","Maplink2")</f>
        <v>Maplink2</v>
      </c>
      <c r="AV3211" s="12" t="str">
        <f>HYPERLINK("http://www.bing.com/maps/?lvl=14&amp;sty=h&amp;cp=32.5456~45.8667&amp;sp=point.32.5456_45.8667","Maplink3")</f>
        <v>Maplink3</v>
      </c>
    </row>
    <row r="3212" spans="1:48" ht="15" customHeight="1" x14ac:dyDescent="0.25">
      <c r="A3212" s="19">
        <v>24261</v>
      </c>
      <c r="B3212" s="20" t="s">
        <v>26</v>
      </c>
      <c r="C3212" s="20" t="s">
        <v>5442</v>
      </c>
      <c r="D3212" s="20" t="s">
        <v>5524</v>
      </c>
      <c r="E3212" s="20" t="s">
        <v>5525</v>
      </c>
      <c r="F3212" s="20">
        <v>32.488254949999998</v>
      </c>
      <c r="G3212" s="20">
        <v>45.850714250000003</v>
      </c>
      <c r="H3212" s="22">
        <v>88</v>
      </c>
      <c r="I3212" s="22">
        <v>528</v>
      </c>
      <c r="J3212" s="21">
        <v>8</v>
      </c>
      <c r="K3212" s="21"/>
      <c r="L3212" s="21"/>
      <c r="M3212" s="21"/>
      <c r="N3212" s="21"/>
      <c r="O3212" s="21"/>
      <c r="P3212" s="21"/>
      <c r="Q3212" s="21"/>
      <c r="R3212" s="21"/>
      <c r="S3212" s="21"/>
      <c r="T3212" s="21"/>
      <c r="U3212" s="21"/>
      <c r="V3212" s="21">
        <v>70</v>
      </c>
      <c r="W3212" s="21"/>
      <c r="X3212" s="21">
        <v>10</v>
      </c>
      <c r="Y3212" s="21"/>
      <c r="Z3212" s="21"/>
      <c r="AA3212" s="21"/>
      <c r="AB3212" s="21"/>
      <c r="AC3212" s="21"/>
      <c r="AD3212" s="21"/>
      <c r="AE3212" s="21"/>
      <c r="AF3212" s="21"/>
      <c r="AG3212" s="21"/>
      <c r="AH3212" s="21">
        <v>25</v>
      </c>
      <c r="AI3212" s="21"/>
      <c r="AJ3212" s="21">
        <v>63</v>
      </c>
      <c r="AK3212" s="21"/>
      <c r="AL3212" s="21">
        <v>8</v>
      </c>
      <c r="AM3212" s="21">
        <v>70</v>
      </c>
      <c r="AN3212" s="21">
        <v>10</v>
      </c>
      <c r="AO3212" s="21"/>
      <c r="AP3212" s="21"/>
      <c r="AQ3212" s="21"/>
      <c r="AR3212" s="21"/>
      <c r="AS3212" s="21"/>
      <c r="AT3212" s="12" t="str">
        <f>HYPERLINK("http://www.openstreetmap.org/?mlat=32.4883&amp;mlon=45.8507&amp;zoom=12#map=12/32.4883/45.8507","Maplink1")</f>
        <v>Maplink1</v>
      </c>
      <c r="AU3212" s="12" t="str">
        <f>HYPERLINK("https://www.google.iq/maps/search/+32.4883,45.8507/@32.4883,45.8507,14z?hl=en","Maplink2")</f>
        <v>Maplink2</v>
      </c>
      <c r="AV3212" s="12" t="str">
        <f>HYPERLINK("http://www.bing.com/maps/?lvl=14&amp;sty=h&amp;cp=32.4883~45.8507&amp;sp=point.32.4883_45.8507","Maplink3")</f>
        <v>Maplink3</v>
      </c>
    </row>
    <row r="3213" spans="1:48" ht="15" customHeight="1" x14ac:dyDescent="0.25">
      <c r="A3213" s="19">
        <v>24866</v>
      </c>
      <c r="B3213" s="20" t="s">
        <v>26</v>
      </c>
      <c r="C3213" s="20" t="s">
        <v>5442</v>
      </c>
      <c r="D3213" s="20" t="s">
        <v>5526</v>
      </c>
      <c r="E3213" s="20" t="s">
        <v>1841</v>
      </c>
      <c r="F3213" s="20">
        <v>32.53489802</v>
      </c>
      <c r="G3213" s="20">
        <v>45.785530889999997</v>
      </c>
      <c r="H3213" s="22">
        <v>10</v>
      </c>
      <c r="I3213" s="22">
        <v>60</v>
      </c>
      <c r="J3213" s="21"/>
      <c r="K3213" s="21"/>
      <c r="L3213" s="21"/>
      <c r="M3213" s="21"/>
      <c r="N3213" s="21"/>
      <c r="O3213" s="21"/>
      <c r="P3213" s="21"/>
      <c r="Q3213" s="21"/>
      <c r="R3213" s="21">
        <v>2</v>
      </c>
      <c r="S3213" s="21"/>
      <c r="T3213" s="21"/>
      <c r="U3213" s="21"/>
      <c r="V3213" s="21">
        <v>8</v>
      </c>
      <c r="W3213" s="21"/>
      <c r="X3213" s="21"/>
      <c r="Y3213" s="21"/>
      <c r="Z3213" s="21"/>
      <c r="AA3213" s="21"/>
      <c r="AB3213" s="21"/>
      <c r="AC3213" s="21"/>
      <c r="AD3213" s="21"/>
      <c r="AE3213" s="21"/>
      <c r="AF3213" s="21"/>
      <c r="AG3213" s="21"/>
      <c r="AH3213" s="21">
        <v>10</v>
      </c>
      <c r="AI3213" s="21"/>
      <c r="AJ3213" s="21"/>
      <c r="AK3213" s="21"/>
      <c r="AL3213" s="21"/>
      <c r="AM3213" s="21">
        <v>10</v>
      </c>
      <c r="AN3213" s="21"/>
      <c r="AO3213" s="21"/>
      <c r="AP3213" s="21"/>
      <c r="AQ3213" s="21"/>
      <c r="AR3213" s="21"/>
      <c r="AS3213" s="21"/>
      <c r="AT3213" s="12" t="str">
        <f>HYPERLINK("http://www.openstreetmap.org/?mlat=32.5349&amp;mlon=45.7855&amp;zoom=12#map=12/32.5349/45.7855","Maplink1")</f>
        <v>Maplink1</v>
      </c>
      <c r="AU3213" s="12" t="str">
        <f>HYPERLINK("https://www.google.iq/maps/search/+32.5349,45.7855/@32.5349,45.7855,14z?hl=en","Maplink2")</f>
        <v>Maplink2</v>
      </c>
      <c r="AV3213" s="12" t="str">
        <f>HYPERLINK("http://www.bing.com/maps/?lvl=14&amp;sty=h&amp;cp=32.5349~45.7855&amp;sp=point.32.5349_45.7855","Maplink3")</f>
        <v>Maplink3</v>
      </c>
    </row>
    <row r="3214" spans="1:48" ht="15" customHeight="1" x14ac:dyDescent="0.25">
      <c r="A3214" s="19">
        <v>24826</v>
      </c>
      <c r="B3214" s="20" t="s">
        <v>26</v>
      </c>
      <c r="C3214" s="20" t="s">
        <v>5442</v>
      </c>
      <c r="D3214" s="20" t="s">
        <v>4191</v>
      </c>
      <c r="E3214" s="20" t="s">
        <v>1914</v>
      </c>
      <c r="F3214" s="20">
        <v>32.531724730000001</v>
      </c>
      <c r="G3214" s="20">
        <v>45.826145990000001</v>
      </c>
      <c r="H3214" s="22">
        <v>10</v>
      </c>
      <c r="I3214" s="22">
        <v>60</v>
      </c>
      <c r="J3214" s="21"/>
      <c r="K3214" s="21"/>
      <c r="L3214" s="21"/>
      <c r="M3214" s="21"/>
      <c r="N3214" s="21"/>
      <c r="O3214" s="21"/>
      <c r="P3214" s="21"/>
      <c r="Q3214" s="21"/>
      <c r="R3214" s="21"/>
      <c r="S3214" s="21"/>
      <c r="T3214" s="21"/>
      <c r="U3214" s="21"/>
      <c r="V3214" s="21">
        <v>10</v>
      </c>
      <c r="W3214" s="21"/>
      <c r="X3214" s="21"/>
      <c r="Y3214" s="21"/>
      <c r="Z3214" s="21"/>
      <c r="AA3214" s="21"/>
      <c r="AB3214" s="21"/>
      <c r="AC3214" s="21"/>
      <c r="AD3214" s="21"/>
      <c r="AE3214" s="21"/>
      <c r="AF3214" s="21"/>
      <c r="AG3214" s="21"/>
      <c r="AH3214" s="21">
        <v>10</v>
      </c>
      <c r="AI3214" s="21"/>
      <c r="AJ3214" s="21"/>
      <c r="AK3214" s="21"/>
      <c r="AL3214" s="21"/>
      <c r="AM3214" s="21">
        <v>10</v>
      </c>
      <c r="AN3214" s="21"/>
      <c r="AO3214" s="21"/>
      <c r="AP3214" s="21"/>
      <c r="AQ3214" s="21"/>
      <c r="AR3214" s="21"/>
      <c r="AS3214" s="21"/>
      <c r="AT3214" s="12" t="str">
        <f>HYPERLINK("http://www.openstreetmap.org/?mlat=32.5317&amp;mlon=45.8261&amp;zoom=12#map=12/32.5317/45.8261","Maplink1")</f>
        <v>Maplink1</v>
      </c>
      <c r="AU3214" s="12" t="str">
        <f>HYPERLINK("https://www.google.iq/maps/search/+32.5317,45.8261/@32.5317,45.8261,14z?hl=en","Maplink2")</f>
        <v>Maplink2</v>
      </c>
      <c r="AV3214" s="12" t="str">
        <f>HYPERLINK("http://www.bing.com/maps/?lvl=14&amp;sty=h&amp;cp=32.5317~45.8261&amp;sp=point.32.5317_45.8261","Maplink3")</f>
        <v>Maplink3</v>
      </c>
    </row>
    <row r="3215" spans="1:48" ht="15" customHeight="1" x14ac:dyDescent="0.25">
      <c r="A3215" s="19">
        <v>19531</v>
      </c>
      <c r="B3215" s="20" t="s">
        <v>26</v>
      </c>
      <c r="C3215" s="20" t="s">
        <v>5442</v>
      </c>
      <c r="D3215" s="20" t="s">
        <v>311</v>
      </c>
      <c r="E3215" s="20" t="s">
        <v>121</v>
      </c>
      <c r="F3215" s="20">
        <v>32.545062950000002</v>
      </c>
      <c r="G3215" s="20">
        <v>45.835141219999997</v>
      </c>
      <c r="H3215" s="22">
        <v>20</v>
      </c>
      <c r="I3215" s="22">
        <v>120</v>
      </c>
      <c r="J3215" s="21">
        <v>3</v>
      </c>
      <c r="K3215" s="21"/>
      <c r="L3215" s="21"/>
      <c r="M3215" s="21"/>
      <c r="N3215" s="21"/>
      <c r="O3215" s="21"/>
      <c r="P3215" s="21"/>
      <c r="Q3215" s="21"/>
      <c r="R3215" s="21"/>
      <c r="S3215" s="21"/>
      <c r="T3215" s="21"/>
      <c r="U3215" s="21"/>
      <c r="V3215" s="21">
        <v>17</v>
      </c>
      <c r="W3215" s="21"/>
      <c r="X3215" s="21"/>
      <c r="Y3215" s="21"/>
      <c r="Z3215" s="21"/>
      <c r="AA3215" s="21"/>
      <c r="AB3215" s="21"/>
      <c r="AC3215" s="21"/>
      <c r="AD3215" s="21"/>
      <c r="AE3215" s="21"/>
      <c r="AF3215" s="21"/>
      <c r="AG3215" s="21">
        <v>4</v>
      </c>
      <c r="AH3215" s="21">
        <v>16</v>
      </c>
      <c r="AI3215" s="21"/>
      <c r="AJ3215" s="21"/>
      <c r="AK3215" s="21"/>
      <c r="AL3215" s="21">
        <v>3</v>
      </c>
      <c r="AM3215" s="21">
        <v>17</v>
      </c>
      <c r="AN3215" s="21"/>
      <c r="AO3215" s="21"/>
      <c r="AP3215" s="21"/>
      <c r="AQ3215" s="21"/>
      <c r="AR3215" s="21"/>
      <c r="AS3215" s="21"/>
      <c r="AT3215" s="12" t="str">
        <f>HYPERLINK("http://www.openstreetmap.org/?mlat=32.5451&amp;mlon=45.8351&amp;zoom=12#map=12/32.5451/45.8351","Maplink1")</f>
        <v>Maplink1</v>
      </c>
      <c r="AU3215" s="12" t="str">
        <f>HYPERLINK("https://www.google.iq/maps/search/+32.5451,45.8351/@32.5451,45.8351,14z?hl=en","Maplink2")</f>
        <v>Maplink2</v>
      </c>
      <c r="AV3215" s="12" t="str">
        <f>HYPERLINK("http://www.bing.com/maps/?lvl=14&amp;sty=h&amp;cp=32.5451~45.8351&amp;sp=point.32.5451_45.8351","Maplink3")</f>
        <v>Maplink3</v>
      </c>
    </row>
    <row r="3216" spans="1:48" ht="15" customHeight="1" x14ac:dyDescent="0.25">
      <c r="A3216" s="19">
        <v>19070</v>
      </c>
      <c r="B3216" s="20" t="s">
        <v>26</v>
      </c>
      <c r="C3216" s="20" t="s">
        <v>5442</v>
      </c>
      <c r="D3216" s="20" t="s">
        <v>5527</v>
      </c>
      <c r="E3216" s="20" t="s">
        <v>1416</v>
      </c>
      <c r="F3216" s="20">
        <v>32.524920600000002</v>
      </c>
      <c r="G3216" s="20">
        <v>45.817700000000002</v>
      </c>
      <c r="H3216" s="22">
        <v>15</v>
      </c>
      <c r="I3216" s="22">
        <v>90</v>
      </c>
      <c r="J3216" s="21"/>
      <c r="K3216" s="21"/>
      <c r="L3216" s="21"/>
      <c r="M3216" s="21"/>
      <c r="N3216" s="21"/>
      <c r="O3216" s="21"/>
      <c r="P3216" s="21"/>
      <c r="Q3216" s="21"/>
      <c r="R3216" s="21"/>
      <c r="S3216" s="21"/>
      <c r="T3216" s="21"/>
      <c r="U3216" s="21"/>
      <c r="V3216" s="21">
        <v>15</v>
      </c>
      <c r="W3216" s="21"/>
      <c r="X3216" s="21"/>
      <c r="Y3216" s="21"/>
      <c r="Z3216" s="21"/>
      <c r="AA3216" s="21"/>
      <c r="AB3216" s="21"/>
      <c r="AC3216" s="21"/>
      <c r="AD3216" s="21"/>
      <c r="AE3216" s="21"/>
      <c r="AF3216" s="21"/>
      <c r="AG3216" s="21">
        <v>5</v>
      </c>
      <c r="AH3216" s="21">
        <v>10</v>
      </c>
      <c r="AI3216" s="21"/>
      <c r="AJ3216" s="21"/>
      <c r="AK3216" s="21"/>
      <c r="AL3216" s="21"/>
      <c r="AM3216" s="21">
        <v>5</v>
      </c>
      <c r="AN3216" s="21">
        <v>10</v>
      </c>
      <c r="AO3216" s="21"/>
      <c r="AP3216" s="21"/>
      <c r="AQ3216" s="21"/>
      <c r="AR3216" s="21"/>
      <c r="AS3216" s="21"/>
      <c r="AT3216" s="12" t="str">
        <f>HYPERLINK("http://www.openstreetmap.org/?mlat=32.5249&amp;mlon=45.8177&amp;zoom=12#map=12/32.5249/45.8177","Maplink1")</f>
        <v>Maplink1</v>
      </c>
      <c r="AU3216" s="12" t="str">
        <f>HYPERLINK("https://www.google.iq/maps/search/+32.5249,45.8177/@32.5249,45.8177,14z?hl=en","Maplink2")</f>
        <v>Maplink2</v>
      </c>
      <c r="AV3216" s="12" t="str">
        <f>HYPERLINK("http://www.bing.com/maps/?lvl=14&amp;sty=h&amp;cp=32.5249~45.8177&amp;sp=point.32.5249_45.8177","Maplink3")</f>
        <v>Maplink3</v>
      </c>
    </row>
    <row r="3217" spans="1:48" ht="15" customHeight="1" x14ac:dyDescent="0.25">
      <c r="A3217" s="19">
        <v>19541</v>
      </c>
      <c r="B3217" s="20" t="s">
        <v>26</v>
      </c>
      <c r="C3217" s="20" t="s">
        <v>5442</v>
      </c>
      <c r="D3217" s="20" t="s">
        <v>5528</v>
      </c>
      <c r="E3217" s="20" t="s">
        <v>5529</v>
      </c>
      <c r="F3217" s="20">
        <v>32.529923189400002</v>
      </c>
      <c r="G3217" s="20">
        <v>45.7944630004</v>
      </c>
      <c r="H3217" s="22">
        <v>35</v>
      </c>
      <c r="I3217" s="22">
        <v>210</v>
      </c>
      <c r="J3217" s="21">
        <v>13</v>
      </c>
      <c r="K3217" s="21"/>
      <c r="L3217" s="21"/>
      <c r="M3217" s="21"/>
      <c r="N3217" s="21"/>
      <c r="O3217" s="21"/>
      <c r="P3217" s="21"/>
      <c r="Q3217" s="21"/>
      <c r="R3217" s="21"/>
      <c r="S3217" s="21"/>
      <c r="T3217" s="21"/>
      <c r="U3217" s="21"/>
      <c r="V3217" s="21">
        <v>12</v>
      </c>
      <c r="W3217" s="21"/>
      <c r="X3217" s="21">
        <v>10</v>
      </c>
      <c r="Y3217" s="21"/>
      <c r="Z3217" s="21"/>
      <c r="AA3217" s="21"/>
      <c r="AB3217" s="21"/>
      <c r="AC3217" s="21"/>
      <c r="AD3217" s="21"/>
      <c r="AE3217" s="21"/>
      <c r="AF3217" s="21"/>
      <c r="AG3217" s="21"/>
      <c r="AH3217" s="21">
        <v>35</v>
      </c>
      <c r="AI3217" s="21"/>
      <c r="AJ3217" s="21"/>
      <c r="AK3217" s="21"/>
      <c r="AL3217" s="21">
        <v>1</v>
      </c>
      <c r="AM3217" s="21">
        <v>23</v>
      </c>
      <c r="AN3217" s="21">
        <v>10</v>
      </c>
      <c r="AO3217" s="21"/>
      <c r="AP3217" s="21"/>
      <c r="AQ3217" s="21"/>
      <c r="AR3217" s="21">
        <v>1</v>
      </c>
      <c r="AS3217" s="21"/>
      <c r="AT3217" s="12" t="str">
        <f>HYPERLINK("http://www.openstreetmap.org/?mlat=32.5299&amp;mlon=45.7945&amp;zoom=12#map=12/32.5299/45.7945","Maplink1")</f>
        <v>Maplink1</v>
      </c>
      <c r="AU3217" s="12" t="str">
        <f>HYPERLINK("https://www.google.iq/maps/search/+32.5299,45.7945/@32.5299,45.7945,14z?hl=en","Maplink2")</f>
        <v>Maplink2</v>
      </c>
      <c r="AV3217" s="12" t="str">
        <f>HYPERLINK("http://www.bing.com/maps/?lvl=14&amp;sty=h&amp;cp=32.5299~45.7945&amp;sp=point.32.5299_45.7945","Maplink3")</f>
        <v>Maplink3</v>
      </c>
    </row>
    <row r="3218" spans="1:48" ht="15" customHeight="1" x14ac:dyDescent="0.25">
      <c r="A3218" s="19">
        <v>24787</v>
      </c>
      <c r="B3218" s="20" t="s">
        <v>26</v>
      </c>
      <c r="C3218" s="20" t="s">
        <v>5442</v>
      </c>
      <c r="D3218" s="20" t="s">
        <v>5530</v>
      </c>
      <c r="E3218" s="20" t="s">
        <v>5531</v>
      </c>
      <c r="F3218" s="20">
        <v>32.59495699</v>
      </c>
      <c r="G3218" s="20">
        <v>45.942846780000004</v>
      </c>
      <c r="H3218" s="22">
        <v>20</v>
      </c>
      <c r="I3218" s="22">
        <v>120</v>
      </c>
      <c r="J3218" s="21"/>
      <c r="K3218" s="21"/>
      <c r="L3218" s="21"/>
      <c r="M3218" s="21"/>
      <c r="N3218" s="21"/>
      <c r="O3218" s="21"/>
      <c r="P3218" s="21"/>
      <c r="Q3218" s="21"/>
      <c r="R3218" s="21"/>
      <c r="S3218" s="21"/>
      <c r="T3218" s="21"/>
      <c r="U3218" s="21"/>
      <c r="V3218" s="21">
        <v>18</v>
      </c>
      <c r="W3218" s="21"/>
      <c r="X3218" s="21">
        <v>2</v>
      </c>
      <c r="Y3218" s="21"/>
      <c r="Z3218" s="21"/>
      <c r="AA3218" s="21"/>
      <c r="AB3218" s="21"/>
      <c r="AC3218" s="21">
        <v>3</v>
      </c>
      <c r="AD3218" s="21"/>
      <c r="AE3218" s="21"/>
      <c r="AF3218" s="21"/>
      <c r="AG3218" s="21">
        <v>5</v>
      </c>
      <c r="AH3218" s="21">
        <v>12</v>
      </c>
      <c r="AI3218" s="21"/>
      <c r="AJ3218" s="21"/>
      <c r="AK3218" s="21"/>
      <c r="AL3218" s="21"/>
      <c r="AM3218" s="21">
        <v>20</v>
      </c>
      <c r="AN3218" s="21"/>
      <c r="AO3218" s="21"/>
      <c r="AP3218" s="21"/>
      <c r="AQ3218" s="21"/>
      <c r="AR3218" s="21"/>
      <c r="AS3218" s="21"/>
      <c r="AT3218" s="12" t="str">
        <f>HYPERLINK("http://www.openstreetmap.org/?mlat=32.595&amp;mlon=45.9428&amp;zoom=12#map=12/32.595/45.9428","Maplink1")</f>
        <v>Maplink1</v>
      </c>
      <c r="AU3218" s="12" t="str">
        <f>HYPERLINK("https://www.google.iq/maps/search/+32.595,45.9428/@32.595,45.9428,14z?hl=en","Maplink2")</f>
        <v>Maplink2</v>
      </c>
      <c r="AV3218" s="12" t="str">
        <f>HYPERLINK("http://www.bing.com/maps/?lvl=14&amp;sty=h&amp;cp=32.595~45.9428&amp;sp=point.32.595_45.9428","Maplink3")</f>
        <v>Maplink3</v>
      </c>
    </row>
    <row r="3219" spans="1:48" ht="15" customHeight="1" x14ac:dyDescent="0.25">
      <c r="A3219" s="19">
        <v>25107</v>
      </c>
      <c r="B3219" s="20" t="s">
        <v>26</v>
      </c>
      <c r="C3219" s="20" t="s">
        <v>5442</v>
      </c>
      <c r="D3219" s="20" t="s">
        <v>5532</v>
      </c>
      <c r="E3219" s="20" t="s">
        <v>5533</v>
      </c>
      <c r="F3219" s="20">
        <v>32.653085410000003</v>
      </c>
      <c r="G3219" s="20">
        <v>46.077650290000001</v>
      </c>
      <c r="H3219" s="22">
        <v>14</v>
      </c>
      <c r="I3219" s="22">
        <v>84</v>
      </c>
      <c r="J3219" s="21"/>
      <c r="K3219" s="21"/>
      <c r="L3219" s="21"/>
      <c r="M3219" s="21"/>
      <c r="N3219" s="21"/>
      <c r="O3219" s="21"/>
      <c r="P3219" s="21"/>
      <c r="Q3219" s="21"/>
      <c r="R3219" s="21"/>
      <c r="S3219" s="21"/>
      <c r="T3219" s="21"/>
      <c r="U3219" s="21"/>
      <c r="V3219" s="21">
        <v>14</v>
      </c>
      <c r="W3219" s="21"/>
      <c r="X3219" s="21"/>
      <c r="Y3219" s="21"/>
      <c r="Z3219" s="21"/>
      <c r="AA3219" s="21"/>
      <c r="AB3219" s="21"/>
      <c r="AC3219" s="21"/>
      <c r="AD3219" s="21"/>
      <c r="AE3219" s="21"/>
      <c r="AF3219" s="21"/>
      <c r="AG3219" s="21">
        <v>4</v>
      </c>
      <c r="AH3219" s="21">
        <v>10</v>
      </c>
      <c r="AI3219" s="21"/>
      <c r="AJ3219" s="21"/>
      <c r="AK3219" s="21"/>
      <c r="AL3219" s="21"/>
      <c r="AM3219" s="21">
        <v>14</v>
      </c>
      <c r="AN3219" s="21"/>
      <c r="AO3219" s="21"/>
      <c r="AP3219" s="21"/>
      <c r="AQ3219" s="21"/>
      <c r="AR3219" s="21"/>
      <c r="AS3219" s="21"/>
      <c r="AT3219" s="12" t="str">
        <f>HYPERLINK("http://www.openstreetmap.org/?mlat=32.6531&amp;mlon=46.0777&amp;zoom=12#map=12/32.6531/46.0777","Maplink1")</f>
        <v>Maplink1</v>
      </c>
      <c r="AU3219" s="12" t="str">
        <f>HYPERLINK("https://www.google.iq/maps/search/+32.6531,46.0777/@32.6531,46.0777,14z?hl=en","Maplink2")</f>
        <v>Maplink2</v>
      </c>
      <c r="AV3219" s="12" t="str">
        <f>HYPERLINK("http://www.bing.com/maps/?lvl=14&amp;sty=h&amp;cp=32.6531~46.0777&amp;sp=point.32.6531_46.0777","Maplink3")</f>
        <v>Maplink3</v>
      </c>
    </row>
    <row r="3220" spans="1:48" ht="15" customHeight="1" x14ac:dyDescent="0.25">
      <c r="A3220" s="19">
        <v>18435</v>
      </c>
      <c r="B3220" s="20" t="s">
        <v>26</v>
      </c>
      <c r="C3220" s="20" t="s">
        <v>5442</v>
      </c>
      <c r="D3220" s="20" t="s">
        <v>5534</v>
      </c>
      <c r="E3220" s="20" t="s">
        <v>5535</v>
      </c>
      <c r="F3220" s="20">
        <v>32.565855900000003</v>
      </c>
      <c r="G3220" s="20">
        <v>46.274682249999998</v>
      </c>
      <c r="H3220" s="22">
        <v>5</v>
      </c>
      <c r="I3220" s="22">
        <v>30</v>
      </c>
      <c r="J3220" s="21"/>
      <c r="K3220" s="21"/>
      <c r="L3220" s="21"/>
      <c r="M3220" s="21"/>
      <c r="N3220" s="21"/>
      <c r="O3220" s="21"/>
      <c r="P3220" s="21"/>
      <c r="Q3220" s="21"/>
      <c r="R3220" s="21"/>
      <c r="S3220" s="21"/>
      <c r="T3220" s="21"/>
      <c r="U3220" s="21"/>
      <c r="V3220" s="21">
        <v>5</v>
      </c>
      <c r="W3220" s="21"/>
      <c r="X3220" s="21"/>
      <c r="Y3220" s="21"/>
      <c r="Z3220" s="21"/>
      <c r="AA3220" s="21"/>
      <c r="AB3220" s="21"/>
      <c r="AC3220" s="21">
        <v>2</v>
      </c>
      <c r="AD3220" s="21"/>
      <c r="AE3220" s="21"/>
      <c r="AF3220" s="21"/>
      <c r="AG3220" s="21">
        <v>3</v>
      </c>
      <c r="AH3220" s="21"/>
      <c r="AI3220" s="21"/>
      <c r="AJ3220" s="21"/>
      <c r="AK3220" s="21"/>
      <c r="AL3220" s="21"/>
      <c r="AM3220" s="21"/>
      <c r="AN3220" s="21">
        <v>5</v>
      </c>
      <c r="AO3220" s="21"/>
      <c r="AP3220" s="21"/>
      <c r="AQ3220" s="21"/>
      <c r="AR3220" s="21"/>
      <c r="AS3220" s="21"/>
      <c r="AT3220" s="12" t="str">
        <f>HYPERLINK("http://www.openstreetmap.org/?mlat=32.5659&amp;mlon=46.2747&amp;zoom=12#map=12/32.5659/46.2747","Maplink1")</f>
        <v>Maplink1</v>
      </c>
      <c r="AU3220" s="12" t="str">
        <f>HYPERLINK("https://www.google.iq/maps/search/+32.5659,46.2747/@32.5659,46.2747,14z?hl=en","Maplink2")</f>
        <v>Maplink2</v>
      </c>
      <c r="AV3220" s="12" t="str">
        <f>HYPERLINK("http://www.bing.com/maps/?lvl=14&amp;sty=h&amp;cp=32.5659~46.2747&amp;sp=point.32.5659_46.2747","Maplink3")</f>
        <v>Maplink3</v>
      </c>
    </row>
    <row r="3221" spans="1:48" ht="15" customHeight="1" x14ac:dyDescent="0.25">
      <c r="A3221" s="19">
        <v>19551</v>
      </c>
      <c r="B3221" s="20" t="s">
        <v>26</v>
      </c>
      <c r="C3221" s="20" t="s">
        <v>5442</v>
      </c>
      <c r="D3221" s="20" t="s">
        <v>5536</v>
      </c>
      <c r="E3221" s="20" t="s">
        <v>5537</v>
      </c>
      <c r="F3221" s="20">
        <v>32.448429220000001</v>
      </c>
      <c r="G3221" s="20">
        <v>45.900242179999999</v>
      </c>
      <c r="H3221" s="22">
        <v>19</v>
      </c>
      <c r="I3221" s="22">
        <v>114</v>
      </c>
      <c r="J3221" s="21"/>
      <c r="K3221" s="21"/>
      <c r="L3221" s="21"/>
      <c r="M3221" s="21"/>
      <c r="N3221" s="21"/>
      <c r="O3221" s="21"/>
      <c r="P3221" s="21"/>
      <c r="Q3221" s="21"/>
      <c r="R3221" s="21"/>
      <c r="S3221" s="21"/>
      <c r="T3221" s="21"/>
      <c r="U3221" s="21"/>
      <c r="V3221" s="21">
        <v>19</v>
      </c>
      <c r="W3221" s="21"/>
      <c r="X3221" s="21"/>
      <c r="Y3221" s="21"/>
      <c r="Z3221" s="21"/>
      <c r="AA3221" s="21"/>
      <c r="AB3221" s="21"/>
      <c r="AC3221" s="21"/>
      <c r="AD3221" s="21"/>
      <c r="AE3221" s="21"/>
      <c r="AF3221" s="21"/>
      <c r="AG3221" s="21">
        <v>6</v>
      </c>
      <c r="AH3221" s="21">
        <v>13</v>
      </c>
      <c r="AI3221" s="21"/>
      <c r="AJ3221" s="21"/>
      <c r="AK3221" s="21"/>
      <c r="AL3221" s="21"/>
      <c r="AM3221" s="21">
        <v>19</v>
      </c>
      <c r="AN3221" s="21"/>
      <c r="AO3221" s="21"/>
      <c r="AP3221" s="21"/>
      <c r="AQ3221" s="21"/>
      <c r="AR3221" s="21"/>
      <c r="AS3221" s="21"/>
      <c r="AT3221" s="12" t="str">
        <f>HYPERLINK("http://www.openstreetmap.org/?mlat=32.4484&amp;mlon=45.9002&amp;zoom=12#map=12/32.4484/45.9002","Maplink1")</f>
        <v>Maplink1</v>
      </c>
      <c r="AU3221" s="12" t="str">
        <f>HYPERLINK("https://www.google.iq/maps/search/+32.4484,45.9002/@32.4484,45.9002,14z?hl=en","Maplink2")</f>
        <v>Maplink2</v>
      </c>
      <c r="AV3221" s="12" t="str">
        <f>HYPERLINK("http://www.bing.com/maps/?lvl=14&amp;sty=h&amp;cp=32.4484~45.9002&amp;sp=point.32.4484_45.9002","Maplink3")</f>
        <v>Maplink3</v>
      </c>
    </row>
    <row r="3222" spans="1:48" ht="15" customHeight="1" x14ac:dyDescent="0.25">
      <c r="A3222" s="19">
        <v>20948</v>
      </c>
      <c r="B3222" s="20" t="s">
        <v>26</v>
      </c>
      <c r="C3222" s="20" t="s">
        <v>5442</v>
      </c>
      <c r="D3222" s="20" t="s">
        <v>5538</v>
      </c>
      <c r="E3222" s="20" t="s">
        <v>5539</v>
      </c>
      <c r="F3222" s="20">
        <v>32.53170806</v>
      </c>
      <c r="G3222" s="20">
        <v>45.764585889999999</v>
      </c>
      <c r="H3222" s="22">
        <v>25</v>
      </c>
      <c r="I3222" s="22">
        <v>150</v>
      </c>
      <c r="J3222" s="21"/>
      <c r="K3222" s="21"/>
      <c r="L3222" s="21"/>
      <c r="M3222" s="21"/>
      <c r="N3222" s="21"/>
      <c r="O3222" s="21"/>
      <c r="P3222" s="21"/>
      <c r="Q3222" s="21"/>
      <c r="R3222" s="21"/>
      <c r="S3222" s="21"/>
      <c r="T3222" s="21"/>
      <c r="U3222" s="21"/>
      <c r="V3222" s="21">
        <v>25</v>
      </c>
      <c r="W3222" s="21"/>
      <c r="X3222" s="21"/>
      <c r="Y3222" s="21"/>
      <c r="Z3222" s="21"/>
      <c r="AA3222" s="21"/>
      <c r="AB3222" s="21"/>
      <c r="AC3222" s="21">
        <v>5</v>
      </c>
      <c r="AD3222" s="21"/>
      <c r="AE3222" s="21"/>
      <c r="AF3222" s="21"/>
      <c r="AG3222" s="21"/>
      <c r="AH3222" s="21">
        <v>20</v>
      </c>
      <c r="AI3222" s="21"/>
      <c r="AJ3222" s="21"/>
      <c r="AK3222" s="21"/>
      <c r="AL3222" s="21"/>
      <c r="AM3222" s="21">
        <v>12</v>
      </c>
      <c r="AN3222" s="21"/>
      <c r="AO3222" s="21">
        <v>13</v>
      </c>
      <c r="AP3222" s="21"/>
      <c r="AQ3222" s="21"/>
      <c r="AR3222" s="21"/>
      <c r="AS3222" s="21"/>
      <c r="AT3222" s="12" t="str">
        <f>HYPERLINK("http://www.openstreetmap.org/?mlat=32.5317&amp;mlon=45.7646&amp;zoom=12#map=12/32.5317/45.7646","Maplink1")</f>
        <v>Maplink1</v>
      </c>
      <c r="AU3222" s="12" t="str">
        <f>HYPERLINK("https://www.google.iq/maps/search/+32.5317,45.7646/@32.5317,45.7646,14z?hl=en","Maplink2")</f>
        <v>Maplink2</v>
      </c>
      <c r="AV3222" s="12" t="str">
        <f>HYPERLINK("http://www.bing.com/maps/?lvl=14&amp;sty=h&amp;cp=32.5317~45.7646&amp;sp=point.32.5317_45.7646","Maplink3")</f>
        <v>Maplink3</v>
      </c>
    </row>
  </sheetData>
  <autoFilter ref="A4:AV3222" xr:uid="{00000000-0009-0000-0000-000000000000}"/>
  <sortState ref="A5:AS3222">
    <sortCondition ref="B5:B3222"/>
    <sortCondition ref="C5:C3222"/>
  </sortState>
  <mergeCells count="6">
    <mergeCell ref="A1:E1"/>
    <mergeCell ref="AL3:AQ3"/>
    <mergeCell ref="AT3:AV3"/>
    <mergeCell ref="AB3:AK3"/>
    <mergeCell ref="J3:AA3"/>
    <mergeCell ref="A3:G3"/>
  </mergeCells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8"/>
  <sheetViews>
    <sheetView showGridLines="0" zoomScaleNormal="100" workbookViewId="0">
      <selection activeCell="I30" sqref="I30"/>
    </sheetView>
  </sheetViews>
  <sheetFormatPr defaultRowHeight="15" x14ac:dyDescent="0.25"/>
  <cols>
    <col min="1" max="1" width="12.7109375" bestFit="1" customWidth="1"/>
    <col min="2" max="3" width="10.28515625" customWidth="1"/>
    <col min="4" max="4" width="9.5703125" customWidth="1"/>
    <col min="5" max="5" width="10" bestFit="1" customWidth="1"/>
    <col min="6" max="6" width="13.7109375" customWidth="1"/>
    <col min="7" max="7" width="10.28515625" customWidth="1"/>
    <col min="8" max="8" width="15.7109375" customWidth="1"/>
    <col min="9" max="9" width="19.85546875" customWidth="1"/>
    <col min="10" max="10" width="18.7109375" customWidth="1"/>
    <col min="11" max="11" width="20" customWidth="1"/>
    <col min="12" max="12" width="19.42578125" customWidth="1"/>
    <col min="13" max="13" width="10.28515625" customWidth="1"/>
    <col min="14" max="33" width="19.42578125" customWidth="1"/>
    <col min="34" max="49" width="19.42578125" bestFit="1" customWidth="1"/>
    <col min="50" max="50" width="17.7109375" customWidth="1"/>
    <col min="51" max="51" width="24.42578125" bestFit="1" customWidth="1"/>
    <col min="52" max="52" width="24" bestFit="1" customWidth="1"/>
  </cols>
  <sheetData>
    <row r="1" spans="1:20" s="24" customFormat="1" ht="15" customHeight="1" x14ac:dyDescent="0.25">
      <c r="A1" s="66" t="s">
        <v>61</v>
      </c>
      <c r="B1" s="67"/>
      <c r="D1" s="72" t="s">
        <v>3</v>
      </c>
      <c r="E1" s="72"/>
      <c r="F1" s="30" t="s">
        <v>35</v>
      </c>
      <c r="G1" s="30" t="s">
        <v>36</v>
      </c>
      <c r="H1" s="30" t="s">
        <v>37</v>
      </c>
      <c r="I1" s="30" t="s">
        <v>38</v>
      </c>
    </row>
    <row r="2" spans="1:20" s="24" customFormat="1" x14ac:dyDescent="0.25">
      <c r="A2" s="25" t="s">
        <v>59</v>
      </c>
      <c r="B2" s="6">
        <f>SUMPRODUCT(1/COUNTIF('DTM DATASET'!C5:C3222,'DTM DATASET'!C5:C3222&amp;""))</f>
        <v>103.9999999999978</v>
      </c>
      <c r="D2" s="39" t="s">
        <v>54</v>
      </c>
      <c r="E2" s="40"/>
      <c r="F2" s="28">
        <f>COUNT('DTM DATASET'!AL:AL)</f>
        <v>785</v>
      </c>
      <c r="G2" s="28">
        <f>SUM('DTM DATASET'!AL:AL)</f>
        <v>10635</v>
      </c>
      <c r="H2" s="28">
        <f t="shared" ref="H2:H7" si="0">G2*6</f>
        <v>63810</v>
      </c>
      <c r="I2" s="48">
        <f t="shared" ref="I2:I9" si="1">H2/$H$10</f>
        <v>3.5394312947629063E-2</v>
      </c>
    </row>
    <row r="3" spans="1:20" s="24" customFormat="1" x14ac:dyDescent="0.25">
      <c r="A3" s="25" t="s">
        <v>58</v>
      </c>
      <c r="B3" s="6">
        <f>COUNT('DTM DATASET'!A:A)</f>
        <v>3218</v>
      </c>
      <c r="D3" s="37" t="s">
        <v>42</v>
      </c>
      <c r="E3" s="38"/>
      <c r="F3" s="2">
        <f>COUNT('DTM DATASET'!AM:AM)</f>
        <v>1829</v>
      </c>
      <c r="G3" s="2">
        <f>SUM('DTM DATASET'!AM:AM)</f>
        <v>51357</v>
      </c>
      <c r="H3" s="2">
        <f t="shared" si="0"/>
        <v>308142</v>
      </c>
      <c r="I3" s="49">
        <f t="shared" si="1"/>
        <v>0.17092108416092014</v>
      </c>
    </row>
    <row r="4" spans="1:20" s="24" customFormat="1" x14ac:dyDescent="0.25">
      <c r="A4" s="25" t="s">
        <v>57</v>
      </c>
      <c r="B4" s="6">
        <f>SUM('DTM DATASET'!H:H)</f>
        <v>300472</v>
      </c>
      <c r="D4" s="37" t="s">
        <v>43</v>
      </c>
      <c r="E4" s="38"/>
      <c r="F4" s="2">
        <f>COUNT('DTM DATASET'!AN:AN)</f>
        <v>1559</v>
      </c>
      <c r="G4" s="2">
        <f>SUM('DTM DATASET'!AN:AN)</f>
        <v>78774</v>
      </c>
      <c r="H4" s="2">
        <f t="shared" si="0"/>
        <v>472644</v>
      </c>
      <c r="I4" s="49">
        <f t="shared" si="1"/>
        <v>0.26216752309699404</v>
      </c>
    </row>
    <row r="5" spans="1:20" s="24" customFormat="1" ht="15" customHeight="1" x14ac:dyDescent="0.25">
      <c r="A5" s="25" t="s">
        <v>60</v>
      </c>
      <c r="B5" s="6">
        <f>SUM('DTM DATASET'!I:I)</f>
        <v>1802832</v>
      </c>
      <c r="D5" s="37" t="s">
        <v>55</v>
      </c>
      <c r="E5" s="38"/>
      <c r="F5" s="2">
        <f>COUNT('DTM DATASET'!AO:AO)</f>
        <v>1237</v>
      </c>
      <c r="G5" s="2">
        <f>SUM('DTM DATASET'!AO:AO)</f>
        <v>22526</v>
      </c>
      <c r="H5" s="2">
        <f t="shared" si="0"/>
        <v>135156</v>
      </c>
      <c r="I5" s="49">
        <f t="shared" si="1"/>
        <v>7.4968715887004447E-2</v>
      </c>
    </row>
    <row r="6" spans="1:20" s="24" customFormat="1" x14ac:dyDescent="0.25">
      <c r="D6" s="37" t="s">
        <v>56</v>
      </c>
      <c r="E6" s="38"/>
      <c r="F6" s="2">
        <f>COUNT('DTM DATASET'!AP:AP)</f>
        <v>904</v>
      </c>
      <c r="G6" s="2">
        <f>SUM('DTM DATASET'!AP:AP)</f>
        <v>19690</v>
      </c>
      <c r="H6" s="2">
        <f t="shared" si="0"/>
        <v>118140</v>
      </c>
      <c r="I6" s="49">
        <f t="shared" si="1"/>
        <v>6.5530232434303365E-2</v>
      </c>
    </row>
    <row r="7" spans="1:20" s="26" customFormat="1" ht="15" customHeight="1" x14ac:dyDescent="0.25">
      <c r="D7" s="37" t="s">
        <v>63</v>
      </c>
      <c r="E7" s="38"/>
      <c r="F7" s="2">
        <f>COUNT('DTM DATASET'!AQ:AQ)</f>
        <v>543</v>
      </c>
      <c r="G7" s="2">
        <f>SUM('DTM DATASET'!AQ:AQ)</f>
        <v>13229</v>
      </c>
      <c r="H7" s="2">
        <f t="shared" si="0"/>
        <v>79374</v>
      </c>
      <c r="I7" s="49">
        <f t="shared" si="1"/>
        <v>4.4027396895550998E-2</v>
      </c>
    </row>
    <row r="8" spans="1:20" s="26" customFormat="1" ht="15" customHeight="1" x14ac:dyDescent="0.25">
      <c r="D8" s="37" t="s">
        <v>67</v>
      </c>
      <c r="E8" s="38"/>
      <c r="F8" s="2">
        <f>COUNT('DTM DATASET'!AR:AR)</f>
        <v>786</v>
      </c>
      <c r="G8" s="2">
        <f>SUM('DTM DATASET'!AR:AR)</f>
        <v>70824</v>
      </c>
      <c r="H8" s="2">
        <f>G8*6</f>
        <v>424944</v>
      </c>
      <c r="I8" s="49">
        <f t="shared" si="1"/>
        <v>0.23570915093586092</v>
      </c>
    </row>
    <row r="9" spans="1:20" s="26" customFormat="1" ht="15" customHeight="1" x14ac:dyDescent="0.25">
      <c r="D9" s="41" t="s">
        <v>68</v>
      </c>
      <c r="E9" s="42"/>
      <c r="F9" s="2">
        <f>COUNT('DTM DATASET'!AS:AS)</f>
        <v>618</v>
      </c>
      <c r="G9" s="2">
        <f>SUM('DTM DATASET'!AS:AS)</f>
        <v>33437</v>
      </c>
      <c r="H9" s="2">
        <f>G9*6</f>
        <v>200622</v>
      </c>
      <c r="I9" s="49">
        <f t="shared" si="1"/>
        <v>0.111281583641737</v>
      </c>
    </row>
    <row r="10" spans="1:20" x14ac:dyDescent="0.25">
      <c r="D10" s="68" t="s">
        <v>0</v>
      </c>
      <c r="E10" s="69"/>
      <c r="F10" s="2"/>
      <c r="G10" s="8">
        <f>SUM(G2:G9)</f>
        <v>300472</v>
      </c>
      <c r="H10" s="8">
        <f>SUM(H2:H9)</f>
        <v>1802832</v>
      </c>
      <c r="I10" s="49">
        <f>SUM(I2:I9)</f>
        <v>1</v>
      </c>
    </row>
    <row r="11" spans="1:20" x14ac:dyDescent="0.25">
      <c r="H11" s="7"/>
      <c r="I11" s="7"/>
      <c r="J11" s="7"/>
      <c r="L11" s="7"/>
      <c r="M11" s="7"/>
      <c r="N11" s="47"/>
      <c r="O11" s="47"/>
      <c r="P11" s="47"/>
      <c r="Q11" s="47"/>
      <c r="R11" s="7"/>
      <c r="S11" s="7"/>
      <c r="T11" s="7"/>
    </row>
    <row r="12" spans="1:20" x14ac:dyDescent="0.25">
      <c r="A12" s="33" t="s">
        <v>0</v>
      </c>
      <c r="B12" s="70" t="s">
        <v>39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N12" s="47"/>
      <c r="O12" s="47"/>
      <c r="P12" s="47"/>
      <c r="Q12" s="47"/>
    </row>
    <row r="13" spans="1:20" ht="38.25" x14ac:dyDescent="0.25">
      <c r="A13" s="34" t="s">
        <v>53</v>
      </c>
      <c r="B13" s="29" t="s">
        <v>27</v>
      </c>
      <c r="C13" s="29" t="s">
        <v>28</v>
      </c>
      <c r="D13" s="29" t="s">
        <v>6046</v>
      </c>
      <c r="E13" s="29" t="s">
        <v>32</v>
      </c>
      <c r="F13" s="29" t="s">
        <v>33</v>
      </c>
      <c r="G13" s="29" t="s">
        <v>30</v>
      </c>
      <c r="H13" s="29" t="s">
        <v>6047</v>
      </c>
      <c r="I13" s="29" t="s">
        <v>29</v>
      </c>
      <c r="J13" s="29" t="s">
        <v>31</v>
      </c>
      <c r="K13" s="29" t="s">
        <v>34</v>
      </c>
      <c r="L13" s="29" t="s">
        <v>40</v>
      </c>
      <c r="N13" s="47"/>
      <c r="O13" s="47"/>
      <c r="P13" s="47"/>
      <c r="Q13" s="47"/>
    </row>
    <row r="14" spans="1:20" x14ac:dyDescent="0.25">
      <c r="A14" s="27" t="s">
        <v>9</v>
      </c>
      <c r="B14" s="28">
        <f>SUMIF('DTM DATASET'!B:B,A14,'DTM DATASET'!AB:AB)</f>
        <v>6354</v>
      </c>
      <c r="C14" s="28">
        <f>SUMIF('DTM DATASET'!B:B,A14,'DTM DATASET'!AC:AC)</f>
        <v>2151</v>
      </c>
      <c r="D14" s="28">
        <f>SUMIF('DTM DATASET'!B:B,A14,'DTM DATASET'!AD:AD)</f>
        <v>0</v>
      </c>
      <c r="E14" s="28">
        <f>SUMIF('DTM DATASET'!B:B,A14,'DTM DATASET'!AE:AE)</f>
        <v>1239</v>
      </c>
      <c r="F14" s="28">
        <f>SUMIF('DTM DATASET'!B:B,A14,'DTM DATASET'!AF:AF)</f>
        <v>0</v>
      </c>
      <c r="G14" s="28">
        <f>SUMIF('DTM DATASET'!B:B,A14,'DTM DATASET'!AG:AG)</f>
        <v>0</v>
      </c>
      <c r="H14" s="28">
        <f>SUMIF('DTM DATASET'!B:B,A14,'DTM DATASET'!AH:AH)</f>
        <v>370</v>
      </c>
      <c r="I14" s="28">
        <f>SUMIF('DTM DATASET'!B:B,A14,'DTM DATASET'!AI:AI)</f>
        <v>0</v>
      </c>
      <c r="J14" s="28">
        <f>SUMIF('DTM DATASET'!B:B,A14,'DTM DATASET'!AJ:AJ)</f>
        <v>0</v>
      </c>
      <c r="K14" s="28"/>
      <c r="L14" s="2">
        <f t="shared" ref="L14:L31" si="2">SUM(B14:K14)</f>
        <v>10114</v>
      </c>
      <c r="M14" s="50"/>
      <c r="N14" s="50"/>
      <c r="O14" s="47"/>
      <c r="P14" s="47"/>
      <c r="Q14" s="47"/>
    </row>
    <row r="15" spans="1:20" x14ac:dyDescent="0.25">
      <c r="A15" s="1" t="s">
        <v>10</v>
      </c>
      <c r="B15" s="2">
        <f>SUMIF('DTM DATASET'!B:B,A15,'DTM DATASET'!AB:AB)</f>
        <v>0</v>
      </c>
      <c r="C15" s="2">
        <f>SUMIF('DTM DATASET'!B:B,A15,'DTM DATASET'!AC:AC)</f>
        <v>176</v>
      </c>
      <c r="D15" s="2">
        <f>SUMIF('DTM DATASET'!B:B,A15,'DTM DATASET'!AD:AD)</f>
        <v>13</v>
      </c>
      <c r="E15" s="2">
        <f>SUMIF('DTM DATASET'!B:B,A15,'DTM DATASET'!AE:AE)</f>
        <v>83</v>
      </c>
      <c r="F15" s="2">
        <f>SUMIF('DTM DATASET'!B:B,A15,'DTM DATASET'!AF:AF)</f>
        <v>0</v>
      </c>
      <c r="G15" s="2">
        <f>SUMIF('DTM DATASET'!B:B,A15,'DTM DATASET'!AG:AG)</f>
        <v>6</v>
      </c>
      <c r="H15" s="2">
        <f>SUMIF('DTM DATASET'!B:B,A15,'DTM DATASET'!AH:AH)</f>
        <v>2828</v>
      </c>
      <c r="I15" s="2">
        <f>SUMIF('DTM DATASET'!B:B,A15,'DTM DATASET'!AI:AI)</f>
        <v>0</v>
      </c>
      <c r="J15" s="2">
        <f>SUMIF('DTM DATASET'!B:B,A15,'DTM DATASET'!AJ:AJ)</f>
        <v>9</v>
      </c>
      <c r="K15" s="2">
        <f>SUMIF('DTM DATASET'!B:B,A15,'DTM DATASET'!AK:AK)</f>
        <v>0</v>
      </c>
      <c r="L15" s="2">
        <f t="shared" si="2"/>
        <v>3115</v>
      </c>
      <c r="M15" s="50"/>
      <c r="N15" s="50"/>
      <c r="O15" s="47"/>
      <c r="P15" s="47"/>
      <c r="Q15" s="47"/>
    </row>
    <row r="16" spans="1:20" x14ac:dyDescent="0.25">
      <c r="A16" s="1" t="s">
        <v>11</v>
      </c>
      <c r="B16" s="2">
        <f>SUMIF('DTM DATASET'!B:B,A16,'DTM DATASET'!AB:AB)</f>
        <v>746</v>
      </c>
      <c r="C16" s="2">
        <f>SUMIF('DTM DATASET'!B:B,A16,'DTM DATASET'!AC:AC)</f>
        <v>4580</v>
      </c>
      <c r="D16" s="2">
        <f>SUMIF('DTM DATASET'!B:B,A16,'DTM DATASET'!AD:AD)</f>
        <v>0</v>
      </c>
      <c r="E16" s="2">
        <f>SUMIF('DTM DATASET'!B:B,A16,'DTM DATASET'!AE:AE)</f>
        <v>18</v>
      </c>
      <c r="F16" s="2">
        <f>SUMIF('DTM DATASET'!B:B,A16,'DTM DATASET'!AF:AF)</f>
        <v>0</v>
      </c>
      <c r="G16" s="2">
        <f>SUMIF('DTM DATASET'!B:B,A16,'DTM DATASET'!AG:AG)</f>
        <v>22</v>
      </c>
      <c r="H16" s="2">
        <f>SUMIF('DTM DATASET'!B:B,A16,'DTM DATASET'!AH:AH)</f>
        <v>5998</v>
      </c>
      <c r="I16" s="2">
        <f>SUMIF('DTM DATASET'!B:B,A16,'DTM DATASET'!AI:AI)</f>
        <v>26</v>
      </c>
      <c r="J16" s="2">
        <f>SUMIF('DTM DATASET'!B:B,A16,'DTM DATASET'!AJ:AJ)</f>
        <v>144</v>
      </c>
      <c r="K16" s="2">
        <f>SUMIF('DTM DATASET'!B:B,A16,'DTM DATASET'!AK:AK)</f>
        <v>0</v>
      </c>
      <c r="L16" s="2">
        <f t="shared" si="2"/>
        <v>11534</v>
      </c>
      <c r="M16" s="50"/>
      <c r="N16" s="50"/>
      <c r="O16" s="47"/>
      <c r="P16" s="47"/>
      <c r="Q16" s="47"/>
    </row>
    <row r="17" spans="1:17" x14ac:dyDescent="0.25">
      <c r="A17" s="1" t="s">
        <v>12</v>
      </c>
      <c r="B17" s="2">
        <f>SUMIF('DTM DATASET'!B:B,A17,'DTM DATASET'!AB:AB)</f>
        <v>0</v>
      </c>
      <c r="C17" s="2">
        <f>SUMIF('DTM DATASET'!B:B,A17,'DTM DATASET'!AC:AC)</f>
        <v>303</v>
      </c>
      <c r="D17" s="2">
        <f>SUMIF('DTM DATASET'!B:B,A17,'DTM DATASET'!AD:AD)</f>
        <v>1</v>
      </c>
      <c r="E17" s="2">
        <f>SUMIF('DTM DATASET'!B:B,A17,'DTM DATASET'!AE:AE)</f>
        <v>118</v>
      </c>
      <c r="F17" s="2">
        <f>SUMIF('DTM DATASET'!B:B,A17,'DTM DATASET'!AF:AF)</f>
        <v>0</v>
      </c>
      <c r="G17" s="2">
        <f>SUMIF('DTM DATASET'!B:B,A17,'DTM DATASET'!AG:AG)</f>
        <v>6</v>
      </c>
      <c r="H17" s="2">
        <f>SUMIF('DTM DATASET'!B:B,A17,'DTM DATASET'!AH:AH)</f>
        <v>854</v>
      </c>
      <c r="I17" s="2">
        <f>SUMIF('DTM DATASET'!B:B,A17,'DTM DATASET'!AI:AI)</f>
        <v>1</v>
      </c>
      <c r="J17" s="2">
        <f>SUMIF('DTM DATASET'!B:B,A17,'DTM DATASET'!AJ:AJ)</f>
        <v>1</v>
      </c>
      <c r="K17" s="2">
        <f>SUMIF('DTM DATASET'!B:B,A17,'DTM DATASET'!AK:AK)</f>
        <v>0</v>
      </c>
      <c r="L17" s="2">
        <f t="shared" si="2"/>
        <v>1284</v>
      </c>
      <c r="M17" s="50"/>
      <c r="N17" s="50"/>
      <c r="O17" s="47"/>
      <c r="P17" s="47"/>
      <c r="Q17" s="47"/>
    </row>
    <row r="18" spans="1:17" x14ac:dyDescent="0.25">
      <c r="A18" s="1" t="s">
        <v>13</v>
      </c>
      <c r="B18" s="2">
        <f>SUMIF('DTM DATASET'!B:B,A18,'DTM DATASET'!AB:AB)</f>
        <v>25356</v>
      </c>
      <c r="C18" s="2">
        <f>SUMIF('DTM DATASET'!B:B,A18,'DTM DATASET'!AC:AC)</f>
        <v>3151</v>
      </c>
      <c r="D18" s="2">
        <f>SUMIF('DTM DATASET'!B:B,A18,'DTM DATASET'!AD:AD)</f>
        <v>192</v>
      </c>
      <c r="E18" s="2">
        <f>SUMIF('DTM DATASET'!B:B,A18,'DTM DATASET'!AE:AE)</f>
        <v>2528</v>
      </c>
      <c r="F18" s="2">
        <f>SUMIF('DTM DATASET'!B:B,A18,'DTM DATASET'!AF:AF)</f>
        <v>0</v>
      </c>
      <c r="G18" s="2">
        <f>SUMIF('DTM DATASET'!B:B,A18,'DTM DATASET'!AG:AG)</f>
        <v>2</v>
      </c>
      <c r="H18" s="2">
        <f>SUMIF('DTM DATASET'!B:B,A18,'DTM DATASET'!AH:AH)</f>
        <v>19517</v>
      </c>
      <c r="I18" s="2">
        <f>SUMIF('DTM DATASET'!B:B,A18,'DTM DATASET'!AI:AI)</f>
        <v>0</v>
      </c>
      <c r="J18" s="2">
        <f>SUMIF('DTM DATASET'!B:B,A18,'DTM DATASET'!AJ:AJ)</f>
        <v>5520</v>
      </c>
      <c r="K18" s="2">
        <f>SUMIF('DTM DATASET'!B:B,A18,'DTM DATASET'!AK:AK)</f>
        <v>0</v>
      </c>
      <c r="L18" s="2">
        <f t="shared" si="2"/>
        <v>56266</v>
      </c>
      <c r="M18" s="50"/>
      <c r="N18" s="50"/>
      <c r="O18" s="47"/>
      <c r="P18" s="47"/>
      <c r="Q18" s="47"/>
    </row>
    <row r="19" spans="1:17" x14ac:dyDescent="0.25">
      <c r="A19" s="1" t="s">
        <v>14</v>
      </c>
      <c r="B19" s="2">
        <f>SUMIF('DTM DATASET'!B:B,A19,'DTM DATASET'!AB:AB)</f>
        <v>1313</v>
      </c>
      <c r="C19" s="2">
        <f>SUMIF('DTM DATASET'!B:B,A19,'DTM DATASET'!AC:AC)</f>
        <v>1990</v>
      </c>
      <c r="D19" s="2">
        <f>SUMIF('DTM DATASET'!B:B,A19,'DTM DATASET'!AD:AD)</f>
        <v>5</v>
      </c>
      <c r="E19" s="2">
        <f>SUMIF('DTM DATASET'!B:B,A19,'DTM DATASET'!AE:AE)</f>
        <v>0</v>
      </c>
      <c r="F19" s="2">
        <f>SUMIF('DTM DATASET'!B:B,A19,'DTM DATASET'!AF:AF)</f>
        <v>0</v>
      </c>
      <c r="G19" s="2">
        <f>SUMIF('DTM DATASET'!B:B,A19,'DTM DATASET'!AG:AG)</f>
        <v>20</v>
      </c>
      <c r="H19" s="2">
        <f>SUMIF('DTM DATASET'!B:B,A19,'DTM DATASET'!AH:AH)</f>
        <v>5898</v>
      </c>
      <c r="I19" s="2">
        <f>SUMIF('DTM DATASET'!B:B,A19,'DTM DATASET'!AI:AI)</f>
        <v>6</v>
      </c>
      <c r="J19" s="2">
        <f>SUMIF('DTM DATASET'!B:B,A19,'DTM DATASET'!AJ:AJ)</f>
        <v>612</v>
      </c>
      <c r="K19" s="2">
        <f>SUMIF('DTM DATASET'!B:B,A19,'DTM DATASET'!AK:AK)</f>
        <v>0</v>
      </c>
      <c r="L19" s="2">
        <f t="shared" si="2"/>
        <v>9844</v>
      </c>
      <c r="M19" s="50"/>
      <c r="N19" s="50"/>
      <c r="O19" s="47"/>
      <c r="P19" s="47"/>
      <c r="Q19" s="47"/>
    </row>
    <row r="20" spans="1:17" x14ac:dyDescent="0.25">
      <c r="A20" s="1" t="s">
        <v>15</v>
      </c>
      <c r="B20" s="2">
        <f>SUMIF('DTM DATASET'!B:B,A20,'DTM DATASET'!AB:AB)</f>
        <v>3095</v>
      </c>
      <c r="C20" s="2">
        <f>SUMIF('DTM DATASET'!B:B,A20,'DTM DATASET'!AC:AC)</f>
        <v>443</v>
      </c>
      <c r="D20" s="2">
        <f>SUMIF('DTM DATASET'!B:B,A20,'DTM DATASET'!AD:AD)</f>
        <v>29</v>
      </c>
      <c r="E20" s="2">
        <f>SUMIF('DTM DATASET'!B:B,A20,'DTM DATASET'!AE:AE)</f>
        <v>192</v>
      </c>
      <c r="F20" s="2">
        <f>SUMIF('DTM DATASET'!B:B,A20,'DTM DATASET'!AF:AF)</f>
        <v>0</v>
      </c>
      <c r="G20" s="2">
        <f>SUMIF('DTM DATASET'!B:B,A20,'DTM DATASET'!AG:AG)</f>
        <v>0</v>
      </c>
      <c r="H20" s="2">
        <f>SUMIF('DTM DATASET'!B:B,A20,'DTM DATASET'!AH:AH)</f>
        <v>31506</v>
      </c>
      <c r="I20" s="2">
        <f>SUMIF('DTM DATASET'!B:B,A20,'DTM DATASET'!AI:AI)</f>
        <v>0</v>
      </c>
      <c r="J20" s="2">
        <f>SUMIF('DTM DATASET'!B:B,A20,'DTM DATASET'!AJ:AJ)</f>
        <v>55</v>
      </c>
      <c r="K20" s="2">
        <f>SUMIF('DTM DATASET'!B:B,A20,'DTM DATASET'!AK:AK)</f>
        <v>0</v>
      </c>
      <c r="L20" s="2">
        <f t="shared" si="2"/>
        <v>35320</v>
      </c>
      <c r="M20" s="50"/>
      <c r="N20" s="50"/>
      <c r="O20" s="47"/>
      <c r="P20" s="47"/>
      <c r="Q20" s="47"/>
    </row>
    <row r="21" spans="1:17" x14ac:dyDescent="0.25">
      <c r="A21" s="1" t="s">
        <v>16</v>
      </c>
      <c r="B21" s="2">
        <f>SUMIF('DTM DATASET'!B:B,A21,'DTM DATASET'!AB:AB)</f>
        <v>211</v>
      </c>
      <c r="C21" s="2">
        <f>SUMIF('DTM DATASET'!B:B,A21,'DTM DATASET'!AC:AC)</f>
        <v>72</v>
      </c>
      <c r="D21" s="2">
        <f>SUMIF('DTM DATASET'!B:B,A21,'DTM DATASET'!AD:AD)</f>
        <v>42</v>
      </c>
      <c r="E21" s="2">
        <f>SUMIF('DTM DATASET'!B:B,A21,'DTM DATASET'!AE:AE)</f>
        <v>2</v>
      </c>
      <c r="F21" s="2">
        <f>SUMIF('DTM DATASET'!B:B,A21,'DTM DATASET'!AF:AF)</f>
        <v>58</v>
      </c>
      <c r="G21" s="2">
        <f>SUMIF('DTM DATASET'!B:B,A21,'DTM DATASET'!AG:AG)</f>
        <v>940</v>
      </c>
      <c r="H21" s="2">
        <f>SUMIF('DTM DATASET'!B:B,A21,'DTM DATASET'!AH:AH)</f>
        <v>2341</v>
      </c>
      <c r="I21" s="2">
        <f>SUMIF('DTM DATASET'!B:B,A21,'DTM DATASET'!AI:AI)</f>
        <v>0</v>
      </c>
      <c r="J21" s="2">
        <f>SUMIF('DTM DATASET'!B:B,A21,'DTM DATASET'!AJ:AJ)</f>
        <v>17</v>
      </c>
      <c r="K21" s="2">
        <f>SUMIF('DTM DATASET'!B:B,A21,'DTM DATASET'!AK:AK)</f>
        <v>0</v>
      </c>
      <c r="L21" s="2">
        <f t="shared" si="2"/>
        <v>3683</v>
      </c>
      <c r="M21" s="50"/>
      <c r="N21" s="50"/>
      <c r="O21" s="47"/>
      <c r="P21" s="47"/>
      <c r="Q21" s="47"/>
    </row>
    <row r="22" spans="1:17" x14ac:dyDescent="0.25">
      <c r="A22" s="1" t="s">
        <v>17</v>
      </c>
      <c r="B22" s="2">
        <f>SUMIF('DTM DATASET'!B:B,A22,'DTM DATASET'!AB:AB)</f>
        <v>2213</v>
      </c>
      <c r="C22" s="2">
        <f>SUMIF('DTM DATASET'!B:B,A22,'DTM DATASET'!AC:AC)</f>
        <v>705</v>
      </c>
      <c r="D22" s="2">
        <f>SUMIF('DTM DATASET'!B:B,A22,'DTM DATASET'!AD:AD)</f>
        <v>0</v>
      </c>
      <c r="E22" s="2">
        <f>SUMIF('DTM DATASET'!B:B,A22,'DTM DATASET'!AE:AE)</f>
        <v>1232</v>
      </c>
      <c r="F22" s="2">
        <f>SUMIF('DTM DATASET'!B:B,A22,'DTM DATASET'!AF:AF)</f>
        <v>0</v>
      </c>
      <c r="G22" s="2">
        <f>SUMIF('DTM DATASET'!B:B,A22,'DTM DATASET'!AG:AG)</f>
        <v>10</v>
      </c>
      <c r="H22" s="2">
        <f>SUMIF('DTM DATASET'!B:B,A22,'DTM DATASET'!AH:AH)</f>
        <v>13483</v>
      </c>
      <c r="I22" s="2">
        <f>SUMIF('DTM DATASET'!B:B,A22,'DTM DATASET'!AI:AI)</f>
        <v>0</v>
      </c>
      <c r="J22" s="2">
        <f>SUMIF('DTM DATASET'!B:B,A22,'DTM DATASET'!AJ:AJ)</f>
        <v>380</v>
      </c>
      <c r="K22" s="2">
        <f>SUMIF('DTM DATASET'!B:B,A22,'DTM DATASET'!AK:AK)</f>
        <v>0</v>
      </c>
      <c r="L22" s="2">
        <f t="shared" si="2"/>
        <v>18023</v>
      </c>
      <c r="M22" s="50"/>
      <c r="N22" s="50"/>
      <c r="O22" s="47"/>
      <c r="P22" s="47"/>
      <c r="Q22" s="47"/>
    </row>
    <row r="23" spans="1:17" x14ac:dyDescent="0.25">
      <c r="A23" s="1" t="s">
        <v>18</v>
      </c>
      <c r="B23" s="2">
        <f>SUMIF('DTM DATASET'!B:B,A23,'DTM DATASET'!AB:AB)</f>
        <v>17</v>
      </c>
      <c r="C23" s="2">
        <f>SUMIF('DTM DATASET'!B:B,A23,'DTM DATASET'!AC:AC)</f>
        <v>174</v>
      </c>
      <c r="D23" s="2">
        <f>SUMIF('DTM DATASET'!B:B,A23,'DTM DATASET'!AD:AD)</f>
        <v>0</v>
      </c>
      <c r="E23" s="2">
        <f>SUMIF('DTM DATASET'!B:B,A23,'DTM DATASET'!AE:AE)</f>
        <v>26</v>
      </c>
      <c r="F23" s="2">
        <f>SUMIF('DTM DATASET'!B:B,A23,'DTM DATASET'!AF:AF)</f>
        <v>2</v>
      </c>
      <c r="G23" s="2">
        <f>SUMIF('DTM DATASET'!B:B,A23,'DTM DATASET'!AG:AG)</f>
        <v>2</v>
      </c>
      <c r="H23" s="2">
        <f>SUMIF('DTM DATASET'!B:B,A23,'DTM DATASET'!AH:AH)</f>
        <v>206</v>
      </c>
      <c r="I23" s="2">
        <f>SUMIF('DTM DATASET'!B:B,A23,'DTM DATASET'!AI:AI)</f>
        <v>5</v>
      </c>
      <c r="J23" s="2">
        <f>SUMIF('DTM DATASET'!B:B,A23,'DTM DATASET'!AJ:AJ)</f>
        <v>0</v>
      </c>
      <c r="K23" s="2">
        <f>SUMIF('DTM DATASET'!B:B,A23,'DTM DATASET'!AK:AK)</f>
        <v>0</v>
      </c>
      <c r="L23" s="2">
        <f t="shared" si="2"/>
        <v>432</v>
      </c>
      <c r="M23" s="50"/>
      <c r="N23" s="50"/>
      <c r="O23" s="47"/>
      <c r="P23" s="47"/>
      <c r="Q23" s="47"/>
    </row>
    <row r="24" spans="1:17" x14ac:dyDescent="0.25">
      <c r="A24" s="1" t="s">
        <v>19</v>
      </c>
      <c r="B24" s="2">
        <f>SUMIF('DTM DATASET'!B:B,A24,'DTM DATASET'!AB:AB)</f>
        <v>0</v>
      </c>
      <c r="C24" s="2">
        <f>SUMIF('DTM DATASET'!B:B,A24,'DTM DATASET'!AC:AC)</f>
        <v>58</v>
      </c>
      <c r="D24" s="2">
        <f>SUMIF('DTM DATASET'!B:B,A24,'DTM DATASET'!AD:AD)</f>
        <v>0</v>
      </c>
      <c r="E24" s="2">
        <f>SUMIF('DTM DATASET'!B:B,A24,'DTM DATASET'!AE:AE)</f>
        <v>0</v>
      </c>
      <c r="F24" s="2">
        <f>SUMIF('DTM DATASET'!B:B,A24,'DTM DATASET'!AF:AF)</f>
        <v>0</v>
      </c>
      <c r="G24" s="2">
        <f>SUMIF('DTM DATASET'!B:B,A24,'DTM DATASET'!AG:AG)</f>
        <v>4</v>
      </c>
      <c r="H24" s="2">
        <f>SUMIF('DTM DATASET'!B:B,A24,'DTM DATASET'!AH:AH)</f>
        <v>133</v>
      </c>
      <c r="I24" s="2">
        <f>SUMIF('DTM DATASET'!B:B,A24,'DTM DATASET'!AI:AI)</f>
        <v>0</v>
      </c>
      <c r="J24" s="2">
        <f>SUMIF('DTM DATASET'!B:B,A24,'DTM DATASET'!AJ:AJ)</f>
        <v>5</v>
      </c>
      <c r="K24" s="2">
        <f>SUMIF('DTM DATASET'!B:B,A24,'DTM DATASET'!AK:AK)</f>
        <v>0</v>
      </c>
      <c r="L24" s="2">
        <f t="shared" si="2"/>
        <v>200</v>
      </c>
      <c r="M24" s="50"/>
      <c r="N24" s="50"/>
      <c r="O24" s="47"/>
      <c r="P24" s="47"/>
      <c r="Q24" s="47"/>
    </row>
    <row r="25" spans="1:17" x14ac:dyDescent="0.25">
      <c r="A25" s="1" t="s">
        <v>20</v>
      </c>
      <c r="B25" s="2">
        <f>SUMIF('DTM DATASET'!B:B,A25,'DTM DATASET'!AB:AB)</f>
        <v>192</v>
      </c>
      <c r="C25" s="2">
        <f>SUMIF('DTM DATASET'!B:B,A25,'DTM DATASET'!AC:AC)</f>
        <v>0</v>
      </c>
      <c r="D25" s="2">
        <f>SUMIF('DTM DATASET'!B:B,A25,'DTM DATASET'!AD:AD)</f>
        <v>0</v>
      </c>
      <c r="E25" s="2">
        <f>SUMIF('DTM DATASET'!B:B,A25,'DTM DATASET'!AE:AE)</f>
        <v>0</v>
      </c>
      <c r="F25" s="2">
        <f>SUMIF('DTM DATASET'!B:B,A25,'DTM DATASET'!AF:AF)</f>
        <v>0</v>
      </c>
      <c r="G25" s="2">
        <f>SUMIF('DTM DATASET'!B:B,A25,'DTM DATASET'!AG:AG)</f>
        <v>92</v>
      </c>
      <c r="H25" s="2">
        <f>SUMIF('DTM DATASET'!B:B,A25,'DTM DATASET'!AH:AH)</f>
        <v>1859</v>
      </c>
      <c r="I25" s="2">
        <f>SUMIF('DTM DATASET'!B:B,A25,'DTM DATASET'!AI:AI)</f>
        <v>0</v>
      </c>
      <c r="J25" s="2">
        <f>SUMIF('DTM DATASET'!B:B,A25,'DTM DATASET'!AJ:AJ)</f>
        <v>0</v>
      </c>
      <c r="K25" s="2">
        <f>SUMIF('DTM DATASET'!B:B,A25,'DTM DATASET'!AK:AK)</f>
        <v>0</v>
      </c>
      <c r="L25" s="2">
        <f t="shared" si="2"/>
        <v>2143</v>
      </c>
      <c r="M25" s="50"/>
      <c r="N25" s="50"/>
      <c r="O25" s="47"/>
      <c r="P25" s="47"/>
      <c r="Q25" s="47"/>
    </row>
    <row r="26" spans="1:17" x14ac:dyDescent="0.25">
      <c r="A26" s="1" t="s">
        <v>21</v>
      </c>
      <c r="B26" s="2">
        <f>SUMIF('DTM DATASET'!B:B,A26,'DTM DATASET'!AB:AB)</f>
        <v>47209</v>
      </c>
      <c r="C26" s="2">
        <f>SUMIF('DTM DATASET'!B:B,A26,'DTM DATASET'!AC:AC)</f>
        <v>14020</v>
      </c>
      <c r="D26" s="2">
        <f>SUMIF('DTM DATASET'!B:B,A26,'DTM DATASET'!AD:AD)</f>
        <v>0</v>
      </c>
      <c r="E26" s="2">
        <f>SUMIF('DTM DATASET'!B:B,A26,'DTM DATASET'!AE:AE)</f>
        <v>603</v>
      </c>
      <c r="F26" s="2">
        <f>SUMIF('DTM DATASET'!B:B,A26,'DTM DATASET'!AF:AF)</f>
        <v>0</v>
      </c>
      <c r="G26" s="2">
        <f>SUMIF('DTM DATASET'!B:B,A26,'DTM DATASET'!AG:AG)</f>
        <v>39</v>
      </c>
      <c r="H26" s="2">
        <f>SUMIF('DTM DATASET'!B:B,A26,'DTM DATASET'!AH:AH)</f>
        <v>31147</v>
      </c>
      <c r="I26" s="2">
        <f>SUMIF('DTM DATASET'!B:B,A26,'DTM DATASET'!AI:AI)</f>
        <v>216</v>
      </c>
      <c r="J26" s="2">
        <f>SUMIF('DTM DATASET'!B:B,A26,'DTM DATASET'!AJ:AJ)</f>
        <v>2644</v>
      </c>
      <c r="K26" s="2">
        <f>SUMIF('DTM DATASET'!B:B,A26,'DTM DATASET'!AK:AK)</f>
        <v>127</v>
      </c>
      <c r="L26" s="2">
        <f t="shared" si="2"/>
        <v>96005</v>
      </c>
      <c r="M26" s="50"/>
      <c r="N26" s="50"/>
      <c r="O26" s="47"/>
      <c r="P26" s="47"/>
      <c r="Q26" s="47"/>
    </row>
    <row r="27" spans="1:17" x14ac:dyDescent="0.25">
      <c r="A27" s="1" t="s">
        <v>22</v>
      </c>
      <c r="B27" s="2">
        <f>SUMIF('DTM DATASET'!B:B,A27,'DTM DATASET'!AB:AB)</f>
        <v>0</v>
      </c>
      <c r="C27" s="2">
        <f>SUMIF('DTM DATASET'!B:B,A27,'DTM DATASET'!AC:AC)</f>
        <v>361</v>
      </c>
      <c r="D27" s="2">
        <f>SUMIF('DTM DATASET'!B:B,A27,'DTM DATASET'!AD:AD)</f>
        <v>54</v>
      </c>
      <c r="E27" s="2">
        <f>SUMIF('DTM DATASET'!B:B,A27,'DTM DATASET'!AE:AE)</f>
        <v>7</v>
      </c>
      <c r="F27" s="2">
        <f>SUMIF('DTM DATASET'!B:B,A27,'DTM DATASET'!AF:AF)</f>
        <v>210</v>
      </c>
      <c r="G27" s="2">
        <f>SUMIF('DTM DATASET'!B:B,A27,'DTM DATASET'!AG:AG)</f>
        <v>445</v>
      </c>
      <c r="H27" s="2">
        <f>SUMIF('DTM DATASET'!B:B,A27,'DTM DATASET'!AH:AH)</f>
        <v>742</v>
      </c>
      <c r="I27" s="2">
        <f>SUMIF('DTM DATASET'!B:B,A27,'DTM DATASET'!AI:AI)</f>
        <v>4</v>
      </c>
      <c r="J27" s="2">
        <f>SUMIF('DTM DATASET'!B:B,A27,'DTM DATASET'!AJ:AJ)</f>
        <v>52</v>
      </c>
      <c r="K27" s="2">
        <f>SUMIF('DTM DATASET'!B:B,A27,'DTM DATASET'!AK:AK)</f>
        <v>0</v>
      </c>
      <c r="L27" s="2">
        <f t="shared" si="2"/>
        <v>1875</v>
      </c>
      <c r="M27" s="50"/>
      <c r="N27" s="50"/>
      <c r="O27" s="47"/>
      <c r="P27" s="47"/>
      <c r="Q27" s="47"/>
    </row>
    <row r="28" spans="1:17" x14ac:dyDescent="0.25">
      <c r="A28" s="1" t="s">
        <v>23</v>
      </c>
      <c r="B28" s="2">
        <f>SUMIF('DTM DATASET'!B:B,A28,'DTM DATASET'!AB:AB)</f>
        <v>1324</v>
      </c>
      <c r="C28" s="2">
        <f>SUMIF('DTM DATASET'!B:B,A28,'DTM DATASET'!AC:AC)</f>
        <v>2092</v>
      </c>
      <c r="D28" s="2">
        <f>SUMIF('DTM DATASET'!B:B,A28,'DTM DATASET'!AD:AD)</f>
        <v>0</v>
      </c>
      <c r="E28" s="2">
        <f>SUMIF('DTM DATASET'!B:B,A28,'DTM DATASET'!AE:AE)</f>
        <v>2740</v>
      </c>
      <c r="F28" s="2">
        <f>SUMIF('DTM DATASET'!B:B,A28,'DTM DATASET'!AF:AF)</f>
        <v>2</v>
      </c>
      <c r="G28" s="2">
        <f>SUMIF('DTM DATASET'!B:B,A28,'DTM DATASET'!AG:AG)</f>
        <v>21</v>
      </c>
      <c r="H28" s="2">
        <f>SUMIF('DTM DATASET'!B:B,A28,'DTM DATASET'!AH:AH)</f>
        <v>13482</v>
      </c>
      <c r="I28" s="2">
        <f>SUMIF('DTM DATASET'!B:B,A28,'DTM DATASET'!AI:AI)</f>
        <v>599</v>
      </c>
      <c r="J28" s="2">
        <f>SUMIF('DTM DATASET'!B:B,A28,'DTM DATASET'!AJ:AJ)</f>
        <v>2682</v>
      </c>
      <c r="K28" s="2">
        <f>SUMIF('DTM DATASET'!B:B,A28,'DTM DATASET'!AK:AK)</f>
        <v>0</v>
      </c>
      <c r="L28" s="2">
        <f t="shared" si="2"/>
        <v>22942</v>
      </c>
      <c r="M28" s="50"/>
      <c r="N28" s="50"/>
      <c r="O28" s="47"/>
      <c r="P28" s="47"/>
      <c r="Q28" s="47"/>
    </row>
    <row r="29" spans="1:17" x14ac:dyDescent="0.25">
      <c r="A29" s="1" t="s">
        <v>24</v>
      </c>
      <c r="B29" s="2">
        <f>SUMIF('DTM DATASET'!B:B,A29,'DTM DATASET'!AB:AB)</f>
        <v>3188</v>
      </c>
      <c r="C29" s="2">
        <f>SUMIF('DTM DATASET'!B:B,A29,'DTM DATASET'!AC:AC)</f>
        <v>61</v>
      </c>
      <c r="D29" s="2">
        <f>SUMIF('DTM DATASET'!B:B,A29,'DTM DATASET'!AD:AD)</f>
        <v>35</v>
      </c>
      <c r="E29" s="2">
        <f>SUMIF('DTM DATASET'!B:B,A29,'DTM DATASET'!AE:AE)</f>
        <v>9</v>
      </c>
      <c r="F29" s="2">
        <f>SUMIF('DTM DATASET'!B:B,A29,'DTM DATASET'!AF:AF)</f>
        <v>0</v>
      </c>
      <c r="G29" s="2">
        <f>SUMIF('DTM DATASET'!B:B,A29,'DTM DATASET'!AG:AG)</f>
        <v>13</v>
      </c>
      <c r="H29" s="2">
        <f>SUMIF('DTM DATASET'!B:B,A29,'DTM DATASET'!AH:AH)</f>
        <v>21774</v>
      </c>
      <c r="I29" s="2">
        <f>SUMIF('DTM DATASET'!B:B,A29,'DTM DATASET'!AI:AI)</f>
        <v>5</v>
      </c>
      <c r="J29" s="2">
        <f>SUMIF('DTM DATASET'!B:B,A29,'DTM DATASET'!AJ:AJ)</f>
        <v>64</v>
      </c>
      <c r="K29" s="2">
        <f>SUMIF('DTM DATASET'!B:B,A29,'DTM DATASET'!AK:AK)</f>
        <v>0</v>
      </c>
      <c r="L29" s="2">
        <f t="shared" si="2"/>
        <v>25149</v>
      </c>
      <c r="M29" s="50"/>
      <c r="N29" s="50"/>
      <c r="O29" s="47"/>
      <c r="P29" s="47"/>
      <c r="Q29" s="47"/>
    </row>
    <row r="30" spans="1:17" x14ac:dyDescent="0.25">
      <c r="A30" s="1" t="s">
        <v>25</v>
      </c>
      <c r="B30" s="2">
        <f>SUMIF('DTM DATASET'!B:B,A30,'DTM DATASET'!AB:AB)</f>
        <v>0</v>
      </c>
      <c r="C30" s="2">
        <f>SUMIF('DTM DATASET'!B:B,A30,'DTM DATASET'!AC:AC)</f>
        <v>142</v>
      </c>
      <c r="D30" s="2">
        <f>SUMIF('DTM DATASET'!B:B,A30,'DTM DATASET'!AD:AD)</f>
        <v>31</v>
      </c>
      <c r="E30" s="2">
        <f>SUMIF('DTM DATASET'!B:B,A30,'DTM DATASET'!AE:AE)</f>
        <v>1</v>
      </c>
      <c r="F30" s="2">
        <f>SUMIF('DTM DATASET'!B:B,A30,'DTM DATASET'!AF:AF)</f>
        <v>0</v>
      </c>
      <c r="G30" s="2">
        <f>SUMIF('DTM DATASET'!B:B,A30,'DTM DATASET'!AG:AG)</f>
        <v>3</v>
      </c>
      <c r="H30" s="2">
        <f>SUMIF('DTM DATASET'!B:B,A30,'DTM DATASET'!AH:AH)</f>
        <v>415</v>
      </c>
      <c r="I30" s="2">
        <f>SUMIF('DTM DATASET'!B:B,A30,'DTM DATASET'!AI:AI)</f>
        <v>0</v>
      </c>
      <c r="J30" s="2">
        <f>SUMIF('DTM DATASET'!B:B,A30,'DTM DATASET'!AJ:AJ)</f>
        <v>0</v>
      </c>
      <c r="K30" s="2">
        <f>SUMIF('DTM DATASET'!B:B,A30,'DTM DATASET'!AK:AK)</f>
        <v>0</v>
      </c>
      <c r="L30" s="2">
        <f t="shared" si="2"/>
        <v>592</v>
      </c>
      <c r="M30" s="50"/>
      <c r="N30" s="50"/>
      <c r="O30" s="47"/>
      <c r="P30" s="47"/>
      <c r="Q30" s="47"/>
    </row>
    <row r="31" spans="1:17" x14ac:dyDescent="0.25">
      <c r="A31" s="1" t="s">
        <v>26</v>
      </c>
      <c r="B31" s="2">
        <f>SUMIF('DTM DATASET'!B:B,A31,'DTM DATASET'!AB:AB)</f>
        <v>0</v>
      </c>
      <c r="C31" s="2">
        <f>SUMIF('DTM DATASET'!B:B,A31,'DTM DATASET'!AC:AC)</f>
        <v>144</v>
      </c>
      <c r="D31" s="2">
        <f>SUMIF('DTM DATASET'!B:B,A31,'DTM DATASET'!AD:AD)</f>
        <v>0</v>
      </c>
      <c r="E31" s="2">
        <f>SUMIF('DTM DATASET'!B:B,A31,'DTM DATASET'!AE:AE)</f>
        <v>20</v>
      </c>
      <c r="F31" s="2">
        <f>SUMIF('DTM DATASET'!B:B,A31,'DTM DATASET'!AF:AF)</f>
        <v>0</v>
      </c>
      <c r="G31" s="2">
        <f>SUMIF('DTM DATASET'!B:B,A31,'DTM DATASET'!AG:AG)</f>
        <v>242</v>
      </c>
      <c r="H31" s="2">
        <f>SUMIF('DTM DATASET'!B:B,A31,'DTM DATASET'!AH:AH)</f>
        <v>1465</v>
      </c>
      <c r="I31" s="2">
        <f>SUMIF('DTM DATASET'!B:B,A31,'DTM DATASET'!AI:AI)</f>
        <v>0</v>
      </c>
      <c r="J31" s="2">
        <f>SUMIF('DTM DATASET'!B:B,A31,'DTM DATASET'!AJ:AJ)</f>
        <v>80</v>
      </c>
      <c r="K31" s="2">
        <f>SUMIF('DTM DATASET'!B:B,A31,'DTM DATASET'!AK:AK)</f>
        <v>0</v>
      </c>
      <c r="L31" s="2">
        <f t="shared" si="2"/>
        <v>1951</v>
      </c>
      <c r="M31" s="50"/>
      <c r="N31" s="50"/>
      <c r="O31" s="47"/>
      <c r="P31" s="47"/>
      <c r="Q31" s="47"/>
    </row>
    <row r="32" spans="1:17" x14ac:dyDescent="0.25">
      <c r="A32" s="3" t="s">
        <v>41</v>
      </c>
      <c r="B32" s="4">
        <f t="shared" ref="B32:L32" si="3">SUM(B14:B31)</f>
        <v>91218</v>
      </c>
      <c r="C32" s="4">
        <f t="shared" si="3"/>
        <v>30623</v>
      </c>
      <c r="D32" s="4">
        <f t="shared" si="3"/>
        <v>402</v>
      </c>
      <c r="E32" s="4">
        <f t="shared" si="3"/>
        <v>8818</v>
      </c>
      <c r="F32" s="4">
        <f t="shared" si="3"/>
        <v>272</v>
      </c>
      <c r="G32" s="4">
        <f t="shared" si="3"/>
        <v>1867</v>
      </c>
      <c r="H32" s="4">
        <f t="shared" si="3"/>
        <v>154018</v>
      </c>
      <c r="I32" s="4">
        <f t="shared" si="3"/>
        <v>862</v>
      </c>
      <c r="J32" s="4">
        <f t="shared" si="3"/>
        <v>12265</v>
      </c>
      <c r="K32" s="4">
        <f t="shared" si="3"/>
        <v>127</v>
      </c>
      <c r="L32" s="4">
        <f t="shared" si="3"/>
        <v>300472</v>
      </c>
      <c r="M32" s="50"/>
      <c r="N32" s="50"/>
      <c r="O32" s="47"/>
      <c r="P32" s="47"/>
      <c r="Q32" s="47"/>
    </row>
    <row r="33" spans="1:17" s="56" customFormat="1" ht="18" customHeight="1" x14ac:dyDescent="0.25">
      <c r="A33" s="54"/>
      <c r="B33" s="55">
        <f>B32/$L$32</f>
        <v>0.30358236374770359</v>
      </c>
      <c r="C33" s="55">
        <f t="shared" ref="C33:L33" si="4">C32/$L$32</f>
        <v>0.10191631832583402</v>
      </c>
      <c r="D33" s="55">
        <f t="shared" si="4"/>
        <v>1.3378950451289971E-3</v>
      </c>
      <c r="E33" s="55">
        <f t="shared" si="4"/>
        <v>2.9347160467531084E-2</v>
      </c>
      <c r="F33" s="55">
        <f t="shared" si="4"/>
        <v>9.0524241859474427E-4</v>
      </c>
      <c r="G33" s="55">
        <f t="shared" si="4"/>
        <v>6.2135573364573071E-3</v>
      </c>
      <c r="H33" s="55">
        <f t="shared" si="4"/>
        <v>0.51258686333501957</v>
      </c>
      <c r="I33" s="55">
        <f t="shared" si="4"/>
        <v>2.8688197236348147E-3</v>
      </c>
      <c r="J33" s="55">
        <f t="shared" si="4"/>
        <v>4.0819111264943156E-2</v>
      </c>
      <c r="K33" s="55">
        <f t="shared" si="4"/>
        <v>4.226683351526931E-4</v>
      </c>
      <c r="L33" s="55">
        <f t="shared" si="4"/>
        <v>1</v>
      </c>
      <c r="N33" s="57"/>
      <c r="O33" s="57"/>
      <c r="P33" s="57"/>
      <c r="Q33" s="57"/>
    </row>
    <row r="34" spans="1:17" s="56" customFormat="1" ht="18" customHeight="1" x14ac:dyDescent="0.25">
      <c r="A34" s="54"/>
      <c r="B34" s="55">
        <f>$L$33-B33</f>
        <v>0.69641763625229647</v>
      </c>
      <c r="C34" s="55">
        <f t="shared" ref="C34:K34" si="5">$L$33-C33</f>
        <v>0.89808368167416597</v>
      </c>
      <c r="D34" s="55">
        <f t="shared" si="5"/>
        <v>0.99866210495487095</v>
      </c>
      <c r="E34" s="55">
        <f t="shared" si="5"/>
        <v>0.97065283953246895</v>
      </c>
      <c r="F34" s="55">
        <f t="shared" si="5"/>
        <v>0.9990947575814052</v>
      </c>
      <c r="G34" s="55">
        <f t="shared" si="5"/>
        <v>0.99378644266354266</v>
      </c>
      <c r="H34" s="55">
        <f t="shared" si="5"/>
        <v>0.48741313666498043</v>
      </c>
      <c r="I34" s="55">
        <f t="shared" si="5"/>
        <v>0.99713118027636516</v>
      </c>
      <c r="J34" s="55">
        <f t="shared" si="5"/>
        <v>0.9591808887350568</v>
      </c>
      <c r="K34" s="55">
        <f t="shared" si="5"/>
        <v>0.9995773316648473</v>
      </c>
      <c r="L34" s="54"/>
    </row>
    <row r="35" spans="1:17" ht="15" customHeight="1" x14ac:dyDescent="0.25">
      <c r="A35" s="33" t="s">
        <v>0</v>
      </c>
      <c r="B35" s="70" t="s">
        <v>1</v>
      </c>
      <c r="C35" s="70"/>
      <c r="D35" s="70"/>
      <c r="E35" s="70"/>
      <c r="F35" s="70"/>
      <c r="G35" s="70"/>
      <c r="H35" s="70"/>
      <c r="I35" s="70"/>
      <c r="J35" s="70"/>
      <c r="K35" s="10"/>
      <c r="L35" s="10"/>
      <c r="M35" s="9"/>
    </row>
    <row r="36" spans="1:17" ht="25.5" x14ac:dyDescent="0.25">
      <c r="A36" s="34" t="s">
        <v>53</v>
      </c>
      <c r="B36" s="29" t="s">
        <v>9</v>
      </c>
      <c r="C36" s="29" t="s">
        <v>10</v>
      </c>
      <c r="D36" s="29" t="s">
        <v>11</v>
      </c>
      <c r="E36" s="35" t="s">
        <v>13</v>
      </c>
      <c r="F36" s="29" t="s">
        <v>14</v>
      </c>
      <c r="G36" s="29" t="s">
        <v>15</v>
      </c>
      <c r="H36" s="29" t="s">
        <v>17</v>
      </c>
      <c r="I36" s="29" t="s">
        <v>21</v>
      </c>
      <c r="J36" s="29" t="s">
        <v>23</v>
      </c>
      <c r="K36" s="29" t="s">
        <v>40</v>
      </c>
    </row>
    <row r="37" spans="1:17" x14ac:dyDescent="0.25">
      <c r="A37" s="27" t="s">
        <v>9</v>
      </c>
      <c r="B37" s="28">
        <f>SUMIF('DTM DATASET'!B:B,A37,'DTM DATASET'!J:J)</f>
        <v>8813</v>
      </c>
      <c r="C37" s="28">
        <f>SUMIF('DTM DATASET'!B:B,A37,'DTM DATASET'!K:K)</f>
        <v>1219</v>
      </c>
      <c r="D37" s="28">
        <f>SUMIF('DTM DATASET'!B:B,A37,'DTM DATASET'!L:L)</f>
        <v>10</v>
      </c>
      <c r="E37" s="28">
        <f>SUMIF('DTM DATASET'!B:B,A37,'DTM DATASET'!N:N)</f>
        <v>0</v>
      </c>
      <c r="F37" s="28">
        <f>SUMIF('DTM DATASET'!B:B,A37,'DTM DATASET'!O:O)</f>
        <v>0</v>
      </c>
      <c r="G37" s="28">
        <f>SUMIF('DTM DATASET'!B:B,A37,'DTM DATASET'!P:P)</f>
        <v>0</v>
      </c>
      <c r="H37" s="28">
        <f>SUMIF('DTM DATASET'!B:B,A37,'DTM DATASET'!R:R)</f>
        <v>0</v>
      </c>
      <c r="I37" s="28">
        <f>SUMIF('DTM DATASET'!B:B,A37,'DTM DATASET'!V:V)</f>
        <v>72</v>
      </c>
      <c r="J37" s="28">
        <f>SUMIF('DTM DATASET'!B:B,A37,'DTM DATASET'!X:X)</f>
        <v>0</v>
      </c>
      <c r="K37" s="2">
        <f t="shared" ref="K37:K54" si="6">SUM(B37:J37)</f>
        <v>10114</v>
      </c>
    </row>
    <row r="38" spans="1:17" x14ac:dyDescent="0.25">
      <c r="A38" s="1" t="s">
        <v>10</v>
      </c>
      <c r="B38" s="2">
        <f>SUMIF('DTM DATASET'!B:B,A38,'DTM DATASET'!J:J)</f>
        <v>88</v>
      </c>
      <c r="C38" s="2">
        <f>SUMIF('DTM DATASET'!B:B,A38,'DTM DATASET'!K:K)</f>
        <v>2534</v>
      </c>
      <c r="D38" s="2">
        <f>SUMIF('DTM DATASET'!B:B,A38,'DTM DATASET'!L:L)</f>
        <v>41</v>
      </c>
      <c r="E38" s="28">
        <f>SUMIF('DTM DATASET'!B:B,A38,'DTM DATASET'!N:N)</f>
        <v>0</v>
      </c>
      <c r="F38" s="2">
        <f>SUMIF('DTM DATASET'!B:B,A38,'DTM DATASET'!O:O)</f>
        <v>8</v>
      </c>
      <c r="G38" s="2">
        <f>SUMIF('DTM DATASET'!B:B,A38,'DTM DATASET'!P:P)</f>
        <v>0</v>
      </c>
      <c r="H38" s="2">
        <f>SUMIF('DTM DATASET'!B:B,A38,'DTM DATASET'!R:R)</f>
        <v>2</v>
      </c>
      <c r="I38" s="2">
        <f>SUMIF('DTM DATASET'!B:B,A38,'DTM DATASET'!V:V)</f>
        <v>419</v>
      </c>
      <c r="J38" s="2">
        <f>SUMIF('DTM DATASET'!B:B,A38,'DTM DATASET'!X:X)</f>
        <v>23</v>
      </c>
      <c r="K38" s="2">
        <f t="shared" si="6"/>
        <v>3115</v>
      </c>
    </row>
    <row r="39" spans="1:17" x14ac:dyDescent="0.25">
      <c r="A39" s="1" t="s">
        <v>11</v>
      </c>
      <c r="B39" s="2">
        <f>SUMIF('DTM DATASET'!B:B,A39,'DTM DATASET'!J:J)</f>
        <v>6987</v>
      </c>
      <c r="C39" s="2">
        <f>SUMIF('DTM DATASET'!B:B,A39,'DTM DATASET'!K:K)</f>
        <v>813</v>
      </c>
      <c r="D39" s="2">
        <f>SUMIF('DTM DATASET'!B:B,A39,'DTM DATASET'!L:L)</f>
        <v>81</v>
      </c>
      <c r="E39" s="28">
        <f>SUMIF('DTM DATASET'!B:B,A39,'DTM DATASET'!N:N)</f>
        <v>0</v>
      </c>
      <c r="F39" s="2">
        <f>SUMIF('DTM DATASET'!B:B,A39,'DTM DATASET'!O:O)</f>
        <v>271</v>
      </c>
      <c r="G39" s="2">
        <f>SUMIF('DTM DATASET'!B:B,A39,'DTM DATASET'!P:P)</f>
        <v>0</v>
      </c>
      <c r="H39" s="2">
        <f>SUMIF('DTM DATASET'!B:B,A39,'DTM DATASET'!R:R)</f>
        <v>74</v>
      </c>
      <c r="I39" s="2">
        <f>SUMIF('DTM DATASET'!B:B,A39,'DTM DATASET'!V:V)</f>
        <v>2474</v>
      </c>
      <c r="J39" s="2">
        <f>SUMIF('DTM DATASET'!B:B,A39,'DTM DATASET'!X:X)</f>
        <v>834</v>
      </c>
      <c r="K39" s="2">
        <f t="shared" si="6"/>
        <v>11534</v>
      </c>
    </row>
    <row r="40" spans="1:17" x14ac:dyDescent="0.25">
      <c r="A40" s="1" t="s">
        <v>12</v>
      </c>
      <c r="B40" s="2">
        <f>SUMIF('DTM DATASET'!B:B,A40,'DTM DATASET'!J:J)</f>
        <v>252</v>
      </c>
      <c r="C40" s="2">
        <f>SUMIF('DTM DATASET'!B:B,A40,'DTM DATASET'!K:K)</f>
        <v>23</v>
      </c>
      <c r="D40" s="2">
        <f>SUMIF('DTM DATASET'!B:B,A40,'DTM DATASET'!L:L)</f>
        <v>33</v>
      </c>
      <c r="E40" s="28">
        <f>SUMIF('DTM DATASET'!B:B,A40,'DTM DATASET'!N:N)</f>
        <v>0</v>
      </c>
      <c r="F40" s="2">
        <f>SUMIF('DTM DATASET'!B:B,A40,'DTM DATASET'!O:O)</f>
        <v>37</v>
      </c>
      <c r="G40" s="2">
        <f>SUMIF('DTM DATASET'!B:B,A40,'DTM DATASET'!P:P)</f>
        <v>0</v>
      </c>
      <c r="H40" s="2">
        <f>SUMIF('DTM DATASET'!B:B,A40,'DTM DATASET'!R:R)</f>
        <v>114</v>
      </c>
      <c r="I40" s="2">
        <f>SUMIF('DTM DATASET'!B:B,A40,'DTM DATASET'!V:V)</f>
        <v>420</v>
      </c>
      <c r="J40" s="2">
        <f>SUMIF('DTM DATASET'!B:B,A40,'DTM DATASET'!X:X)</f>
        <v>405</v>
      </c>
      <c r="K40" s="2">
        <f t="shared" si="6"/>
        <v>1284</v>
      </c>
    </row>
    <row r="41" spans="1:17" x14ac:dyDescent="0.25">
      <c r="A41" s="1" t="s">
        <v>13</v>
      </c>
      <c r="B41" s="2">
        <f>SUMIF('DTM DATASET'!B:B,A41,'DTM DATASET'!J:J)</f>
        <v>55</v>
      </c>
      <c r="C41" s="2">
        <f>SUMIF('DTM DATASET'!B:B,A41,'DTM DATASET'!K:K)</f>
        <v>0</v>
      </c>
      <c r="D41" s="2">
        <f>SUMIF('DTM DATASET'!B:B,A41,'DTM DATASET'!L:L)</f>
        <v>0</v>
      </c>
      <c r="E41" s="28">
        <f>SUMIF('DTM DATASET'!B:B,A41,'DTM DATASET'!N:N)</f>
        <v>0</v>
      </c>
      <c r="F41" s="2">
        <f>SUMIF('DTM DATASET'!B:B,A41,'DTM DATASET'!O:O)</f>
        <v>0</v>
      </c>
      <c r="G41" s="2">
        <f>SUMIF('DTM DATASET'!B:B,A41,'DTM DATASET'!P:P)</f>
        <v>0</v>
      </c>
      <c r="H41" s="2">
        <f>SUMIF('DTM DATASET'!B:B,A41,'DTM DATASET'!R:R)</f>
        <v>9</v>
      </c>
      <c r="I41" s="2">
        <f>SUMIF('DTM DATASET'!B:B,A41,'DTM DATASET'!V:V)</f>
        <v>56109</v>
      </c>
      <c r="J41" s="2">
        <f>SUMIF('DTM DATASET'!B:B,A41,'DTM DATASET'!X:X)</f>
        <v>93</v>
      </c>
      <c r="K41" s="2">
        <f t="shared" si="6"/>
        <v>56266</v>
      </c>
    </row>
    <row r="42" spans="1:17" x14ac:dyDescent="0.25">
      <c r="A42" s="1" t="s">
        <v>14</v>
      </c>
      <c r="B42" s="2">
        <f>SUMIF('DTM DATASET'!B:B,A42,'DTM DATASET'!J:J)</f>
        <v>191</v>
      </c>
      <c r="C42" s="2">
        <f>SUMIF('DTM DATASET'!B:B,A42,'DTM DATASET'!K:K)</f>
        <v>98</v>
      </c>
      <c r="D42" s="2">
        <f>SUMIF('DTM DATASET'!B:B,A42,'DTM DATASET'!L:L)</f>
        <v>116</v>
      </c>
      <c r="E42" s="28">
        <f>SUMIF('DTM DATASET'!B:B,A42,'DTM DATASET'!N:N)</f>
        <v>0</v>
      </c>
      <c r="F42" s="2">
        <f>SUMIF('DTM DATASET'!B:B,A42,'DTM DATASET'!O:O)</f>
        <v>8449</v>
      </c>
      <c r="G42" s="2">
        <f>SUMIF('DTM DATASET'!B:B,A42,'DTM DATASET'!P:P)</f>
        <v>0</v>
      </c>
      <c r="H42" s="2">
        <f>SUMIF('DTM DATASET'!B:B,A42,'DTM DATASET'!R:R)</f>
        <v>23</v>
      </c>
      <c r="I42" s="2">
        <f>SUMIF('DTM DATASET'!B:B,A42,'DTM DATASET'!V:V)</f>
        <v>105</v>
      </c>
      <c r="J42" s="2">
        <f>SUMIF('DTM DATASET'!B:B,A42,'DTM DATASET'!X:X)</f>
        <v>862</v>
      </c>
      <c r="K42" s="2">
        <f t="shared" si="6"/>
        <v>9844</v>
      </c>
    </row>
    <row r="43" spans="1:17" x14ac:dyDescent="0.25">
      <c r="A43" s="1" t="s">
        <v>15</v>
      </c>
      <c r="B43" s="2">
        <f>SUMIF('DTM DATASET'!B:B,A43,'DTM DATASET'!J:J)</f>
        <v>11774</v>
      </c>
      <c r="C43" s="2">
        <f>SUMIF('DTM DATASET'!B:B,A43,'DTM DATASET'!K:K)</f>
        <v>0</v>
      </c>
      <c r="D43" s="2">
        <f>SUMIF('DTM DATASET'!B:B,A43,'DTM DATASET'!L:L)</f>
        <v>778</v>
      </c>
      <c r="E43" s="28">
        <f>SUMIF('DTM DATASET'!B:B,A43,'DTM DATASET'!N:N)</f>
        <v>0</v>
      </c>
      <c r="F43" s="2">
        <f>SUMIF('DTM DATASET'!B:B,A43,'DTM DATASET'!O:O)</f>
        <v>68</v>
      </c>
      <c r="G43" s="2">
        <f>SUMIF('DTM DATASET'!B:B,A43,'DTM DATASET'!P:P)</f>
        <v>1660</v>
      </c>
      <c r="H43" s="2">
        <f>SUMIF('DTM DATASET'!B:B,A43,'DTM DATASET'!R:R)</f>
        <v>2082</v>
      </c>
      <c r="I43" s="2">
        <f>SUMIF('DTM DATASET'!B:B,A43,'DTM DATASET'!V:V)</f>
        <v>15570</v>
      </c>
      <c r="J43" s="2">
        <f>SUMIF('DTM DATASET'!B:B,A43,'DTM DATASET'!X:X)</f>
        <v>3388</v>
      </c>
      <c r="K43" s="2">
        <f t="shared" si="6"/>
        <v>35320</v>
      </c>
    </row>
    <row r="44" spans="1:17" x14ac:dyDescent="0.25">
      <c r="A44" s="1" t="s">
        <v>16</v>
      </c>
      <c r="B44" s="2">
        <f>SUMIF('DTM DATASET'!B:B,A44,'DTM DATASET'!J:J)</f>
        <v>100</v>
      </c>
      <c r="C44" s="2">
        <f>SUMIF('DTM DATASET'!B:B,A44,'DTM DATASET'!K:K)</f>
        <v>158</v>
      </c>
      <c r="D44" s="2">
        <f>SUMIF('DTM DATASET'!B:B,A44,'DTM DATASET'!L:L)</f>
        <v>23</v>
      </c>
      <c r="E44" s="28">
        <f>SUMIF('DTM DATASET'!B:B,A44,'DTM DATASET'!N:N)</f>
        <v>0</v>
      </c>
      <c r="F44" s="2">
        <f>SUMIF('DTM DATASET'!B:B,A44,'DTM DATASET'!O:O)</f>
        <v>25</v>
      </c>
      <c r="G44" s="2">
        <f>SUMIF('DTM DATASET'!B:B,A44,'DTM DATASET'!P:P)</f>
        <v>0</v>
      </c>
      <c r="H44" s="2">
        <f>SUMIF('DTM DATASET'!B:B,A44,'DTM DATASET'!R:R)</f>
        <v>43</v>
      </c>
      <c r="I44" s="2">
        <f>SUMIF('DTM DATASET'!B:B,A44,'DTM DATASET'!V:V)</f>
        <v>3314</v>
      </c>
      <c r="J44" s="2">
        <f>SUMIF('DTM DATASET'!B:B,A44,'DTM DATASET'!X:X)</f>
        <v>20</v>
      </c>
      <c r="K44" s="2">
        <f t="shared" si="6"/>
        <v>3683</v>
      </c>
    </row>
    <row r="45" spans="1:17" x14ac:dyDescent="0.25">
      <c r="A45" s="1" t="s">
        <v>17</v>
      </c>
      <c r="B45" s="2">
        <f>SUMIF('DTM DATASET'!B:B,A45,'DTM DATASET'!J:J)</f>
        <v>632</v>
      </c>
      <c r="C45" s="2">
        <f>SUMIF('DTM DATASET'!B:B,A45,'DTM DATASET'!K:K)</f>
        <v>23</v>
      </c>
      <c r="D45" s="2">
        <f>SUMIF('DTM DATASET'!B:B,A45,'DTM DATASET'!L:L)</f>
        <v>139</v>
      </c>
      <c r="E45" s="28">
        <f>SUMIF('DTM DATASET'!B:B,A45,'DTM DATASET'!N:N)</f>
        <v>0</v>
      </c>
      <c r="F45" s="2">
        <f>SUMIF('DTM DATASET'!B:B,A45,'DTM DATASET'!O:O)</f>
        <v>770</v>
      </c>
      <c r="G45" s="2">
        <f>SUMIF('DTM DATASET'!B:B,A45,'DTM DATASET'!P:P)</f>
        <v>0</v>
      </c>
      <c r="H45" s="2">
        <f>SUMIF('DTM DATASET'!B:B,A45,'DTM DATASET'!R:R)</f>
        <v>10442</v>
      </c>
      <c r="I45" s="2">
        <f>SUMIF('DTM DATASET'!B:B,A45,'DTM DATASET'!V:V)</f>
        <v>2200</v>
      </c>
      <c r="J45" s="2">
        <f>SUMIF('DTM DATASET'!B:B,A45,'DTM DATASET'!X:X)</f>
        <v>3817</v>
      </c>
      <c r="K45" s="2">
        <f t="shared" si="6"/>
        <v>18023</v>
      </c>
    </row>
    <row r="46" spans="1:17" x14ac:dyDescent="0.25">
      <c r="A46" s="1" t="s">
        <v>18</v>
      </c>
      <c r="B46" s="2">
        <f>SUMIF('DTM DATASET'!B:B,A46,'DTM DATASET'!J:J)</f>
        <v>27</v>
      </c>
      <c r="C46" s="2">
        <f>SUMIF('DTM DATASET'!B:B,A46,'DTM DATASET'!K:K)</f>
        <v>5</v>
      </c>
      <c r="D46" s="2">
        <f>SUMIF('DTM DATASET'!B:B,A46,'DTM DATASET'!L:L)</f>
        <v>25</v>
      </c>
      <c r="E46" s="28">
        <f>SUMIF('DTM DATASET'!B:B,A46,'DTM DATASET'!N:N)</f>
        <v>0</v>
      </c>
      <c r="F46" s="2">
        <f>SUMIF('DTM DATASET'!B:B,A46,'DTM DATASET'!O:O)</f>
        <v>16</v>
      </c>
      <c r="G46" s="2">
        <f>SUMIF('DTM DATASET'!B:B,A46,'DTM DATASET'!P:P)</f>
        <v>0</v>
      </c>
      <c r="H46" s="2">
        <f>SUMIF('DTM DATASET'!B:B,A46,'DTM DATASET'!R:R)</f>
        <v>91</v>
      </c>
      <c r="I46" s="2">
        <f>SUMIF('DTM DATASET'!B:B,A46,'DTM DATASET'!V:V)</f>
        <v>210</v>
      </c>
      <c r="J46" s="2">
        <f>SUMIF('DTM DATASET'!B:B,A46,'DTM DATASET'!X:X)</f>
        <v>58</v>
      </c>
      <c r="K46" s="2">
        <f t="shared" si="6"/>
        <v>432</v>
      </c>
    </row>
    <row r="47" spans="1:17" x14ac:dyDescent="0.25">
      <c r="A47" s="1" t="s">
        <v>19</v>
      </c>
      <c r="B47" s="2">
        <f>SUMIF('DTM DATASET'!B:B,A47,'DTM DATASET'!J:J)</f>
        <v>22</v>
      </c>
      <c r="C47" s="2">
        <f>SUMIF('DTM DATASET'!B:B,A47,'DTM DATASET'!K:K)</f>
        <v>0</v>
      </c>
      <c r="D47" s="2">
        <f>SUMIF('DTM DATASET'!B:B,A47,'DTM DATASET'!L:L)</f>
        <v>21</v>
      </c>
      <c r="E47" s="28">
        <f>SUMIF('DTM DATASET'!B:B,A47,'DTM DATASET'!N:N)</f>
        <v>0</v>
      </c>
      <c r="F47" s="2">
        <f>SUMIF('DTM DATASET'!B:B,A47,'DTM DATASET'!O:O)</f>
        <v>5</v>
      </c>
      <c r="G47" s="2">
        <f>SUMIF('DTM DATASET'!B:B,A47,'DTM DATASET'!P:P)</f>
        <v>0</v>
      </c>
      <c r="H47" s="2">
        <f>SUMIF('DTM DATASET'!B:B,A47,'DTM DATASET'!R:R)</f>
        <v>16</v>
      </c>
      <c r="I47" s="2">
        <f>SUMIF('DTM DATASET'!B:B,A47,'DTM DATASET'!V:V)</f>
        <v>120</v>
      </c>
      <c r="J47" s="2">
        <f>SUMIF('DTM DATASET'!B:B,A47,'DTM DATASET'!X:X)</f>
        <v>16</v>
      </c>
      <c r="K47" s="2">
        <f t="shared" si="6"/>
        <v>200</v>
      </c>
    </row>
    <row r="48" spans="1:17" x14ac:dyDescent="0.25">
      <c r="A48" s="1" t="s">
        <v>20</v>
      </c>
      <c r="B48" s="2">
        <f>SUMIF('DTM DATASET'!B:B,A48,'DTM DATASET'!J:J)</f>
        <v>14</v>
      </c>
      <c r="C48" s="2">
        <f>SUMIF('DTM DATASET'!B:B,A48,'DTM DATASET'!K:K)</f>
        <v>0</v>
      </c>
      <c r="D48" s="2">
        <f>SUMIF('DTM DATASET'!B:B,A48,'DTM DATASET'!L:L)</f>
        <v>0</v>
      </c>
      <c r="E48" s="28">
        <f>SUMIF('DTM DATASET'!B:B,A48,'DTM DATASET'!N:N)</f>
        <v>0</v>
      </c>
      <c r="F48" s="2">
        <f>SUMIF('DTM DATASET'!B:B,A48,'DTM DATASET'!O:O)</f>
        <v>7</v>
      </c>
      <c r="G48" s="2">
        <f>SUMIF('DTM DATASET'!B:B,A48,'DTM DATASET'!P:P)</f>
        <v>0</v>
      </c>
      <c r="H48" s="2">
        <f>SUMIF('DTM DATASET'!B:B,A48,'DTM DATASET'!R:R)</f>
        <v>1</v>
      </c>
      <c r="I48" s="2">
        <f>SUMIF('DTM DATASET'!B:B,A48,'DTM DATASET'!V:V)</f>
        <v>2114</v>
      </c>
      <c r="J48" s="2">
        <f>SUMIF('DTM DATASET'!B:B,A48,'DTM DATASET'!X:X)</f>
        <v>7</v>
      </c>
      <c r="K48" s="2">
        <f t="shared" si="6"/>
        <v>2143</v>
      </c>
    </row>
    <row r="49" spans="1:11" x14ac:dyDescent="0.25">
      <c r="A49" s="1" t="s">
        <v>21</v>
      </c>
      <c r="B49" s="2">
        <f>SUMIF('DTM DATASET'!B:B,A49,'DTM DATASET'!J:J)</f>
        <v>59</v>
      </c>
      <c r="C49" s="2">
        <f>SUMIF('DTM DATASET'!B:B,A49,'DTM DATASET'!K:K)</f>
        <v>0</v>
      </c>
      <c r="D49" s="2">
        <f>SUMIF('DTM DATASET'!B:B,A49,'DTM DATASET'!L:L)</f>
        <v>0</v>
      </c>
      <c r="E49" s="28">
        <f>SUMIF('DTM DATASET'!B:B,A49,'DTM DATASET'!N:N)</f>
        <v>0</v>
      </c>
      <c r="F49" s="2">
        <f>SUMIF('DTM DATASET'!B:B,A49,'DTM DATASET'!O:O)</f>
        <v>0</v>
      </c>
      <c r="G49" s="2">
        <f>SUMIF('DTM DATASET'!B:B,A49,'DTM DATASET'!P:P)</f>
        <v>1607</v>
      </c>
      <c r="H49" s="2">
        <f>SUMIF('DTM DATASET'!B:B,A49,'DTM DATASET'!R:R)</f>
        <v>833</v>
      </c>
      <c r="I49" s="2">
        <f>SUMIF('DTM DATASET'!B:B,A49,'DTM DATASET'!V:V)</f>
        <v>89906</v>
      </c>
      <c r="J49" s="2">
        <f>SUMIF('DTM DATASET'!B:B,A49,'DTM DATASET'!X:X)</f>
        <v>3600</v>
      </c>
      <c r="K49" s="2">
        <f t="shared" si="6"/>
        <v>96005</v>
      </c>
    </row>
    <row r="50" spans="1:11" x14ac:dyDescent="0.25">
      <c r="A50" s="1" t="s">
        <v>22</v>
      </c>
      <c r="B50" s="2">
        <f>SUMIF('DTM DATASET'!B:B,A50,'DTM DATASET'!J:J)</f>
        <v>21</v>
      </c>
      <c r="C50" s="2">
        <f>SUMIF('DTM DATASET'!B:B,A50,'DTM DATASET'!K:K)</f>
        <v>0</v>
      </c>
      <c r="D50" s="2">
        <f>SUMIF('DTM DATASET'!B:B,A50,'DTM DATASET'!L:L)</f>
        <v>44</v>
      </c>
      <c r="E50" s="28">
        <f>SUMIF('DTM DATASET'!B:B,A50,'DTM DATASET'!N:N)</f>
        <v>0</v>
      </c>
      <c r="F50" s="2">
        <f>SUMIF('DTM DATASET'!B:B,A50,'DTM DATASET'!O:O)</f>
        <v>11</v>
      </c>
      <c r="G50" s="2">
        <f>SUMIF('DTM DATASET'!B:B,A50,'DTM DATASET'!P:P)</f>
        <v>0</v>
      </c>
      <c r="H50" s="2">
        <f>SUMIF('DTM DATASET'!B:B,A50,'DTM DATASET'!R:R)</f>
        <v>243</v>
      </c>
      <c r="I50" s="2">
        <f>SUMIF('DTM DATASET'!B:B,A50,'DTM DATASET'!V:V)</f>
        <v>1534</v>
      </c>
      <c r="J50" s="2">
        <f>SUMIF('DTM DATASET'!B:B,A50,'DTM DATASET'!X:X)</f>
        <v>22</v>
      </c>
      <c r="K50" s="2">
        <f t="shared" si="6"/>
        <v>1875</v>
      </c>
    </row>
    <row r="51" spans="1:11" x14ac:dyDescent="0.25">
      <c r="A51" s="1" t="s">
        <v>23</v>
      </c>
      <c r="B51" s="2">
        <f>SUMIF('DTM DATASET'!B:B,A51,'DTM DATASET'!J:J)</f>
        <v>125</v>
      </c>
      <c r="C51" s="2">
        <f>SUMIF('DTM DATASET'!B:B,A51,'DTM DATASET'!K:K)</f>
        <v>0</v>
      </c>
      <c r="D51" s="2">
        <f>SUMIF('DTM DATASET'!B:B,A51,'DTM DATASET'!L:L)</f>
        <v>0</v>
      </c>
      <c r="E51" s="28">
        <f>SUMIF('DTM DATASET'!B:B,A51,'DTM DATASET'!N:N)</f>
        <v>0</v>
      </c>
      <c r="F51" s="2">
        <f>SUMIF('DTM DATASET'!B:B,A51,'DTM DATASET'!O:O)</f>
        <v>241</v>
      </c>
      <c r="G51" s="2">
        <f>SUMIF('DTM DATASET'!B:B,A51,'DTM DATASET'!P:P)</f>
        <v>0</v>
      </c>
      <c r="H51" s="2">
        <f>SUMIF('DTM DATASET'!B:B,A51,'DTM DATASET'!R:R)</f>
        <v>2696</v>
      </c>
      <c r="I51" s="2">
        <f>SUMIF('DTM DATASET'!B:B,A51,'DTM DATASET'!V:V)</f>
        <v>235</v>
      </c>
      <c r="J51" s="2">
        <f>SUMIF('DTM DATASET'!B:B,A51,'DTM DATASET'!X:X)</f>
        <v>19645</v>
      </c>
      <c r="K51" s="2">
        <f t="shared" si="6"/>
        <v>22942</v>
      </c>
    </row>
    <row r="52" spans="1:11" x14ac:dyDescent="0.25">
      <c r="A52" s="1" t="s">
        <v>24</v>
      </c>
      <c r="B52" s="2">
        <f>SUMIF('DTM DATASET'!B:B,A52,'DTM DATASET'!J:J)</f>
        <v>4262</v>
      </c>
      <c r="C52" s="2">
        <f>SUMIF('DTM DATASET'!B:B,A52,'DTM DATASET'!K:K)</f>
        <v>1703</v>
      </c>
      <c r="D52" s="2">
        <f>SUMIF('DTM DATASET'!B:B,A52,'DTM DATASET'!L:L)</f>
        <v>3668</v>
      </c>
      <c r="E52" s="28">
        <f>SUMIF('DTM DATASET'!B:B,A52,'DTM DATASET'!N:N)</f>
        <v>0</v>
      </c>
      <c r="F52" s="2">
        <f>SUMIF('DTM DATASET'!B:B,A52,'DTM DATASET'!O:O)</f>
        <v>4625</v>
      </c>
      <c r="G52" s="2">
        <f>SUMIF('DTM DATASET'!B:B,A52,'DTM DATASET'!P:P)</f>
        <v>0</v>
      </c>
      <c r="H52" s="2">
        <f>SUMIF('DTM DATASET'!B:B,A52,'DTM DATASET'!R:R)</f>
        <v>1624</v>
      </c>
      <c r="I52" s="2">
        <f>SUMIF('DTM DATASET'!B:B,A52,'DTM DATASET'!V:V)</f>
        <v>2466</v>
      </c>
      <c r="J52" s="2">
        <f>SUMIF('DTM DATASET'!B:B,A52,'DTM DATASET'!X:X)</f>
        <v>6801</v>
      </c>
      <c r="K52" s="2">
        <f t="shared" si="6"/>
        <v>25149</v>
      </c>
    </row>
    <row r="53" spans="1:11" x14ac:dyDescent="0.25">
      <c r="A53" s="1" t="s">
        <v>25</v>
      </c>
      <c r="B53" s="2">
        <f>SUMIF('DTM DATASET'!B:B,A53,'DTM DATASET'!J:J)</f>
        <v>103</v>
      </c>
      <c r="C53" s="2">
        <f>SUMIF('DTM DATASET'!B:B,A53,'DTM DATASET'!K:K)</f>
        <v>4</v>
      </c>
      <c r="D53" s="2">
        <f>SUMIF('DTM DATASET'!B:B,A53,'DTM DATASET'!L:L)</f>
        <v>2</v>
      </c>
      <c r="E53" s="28">
        <f>SUMIF('DTM DATASET'!B:B,A53,'DTM DATASET'!N:N)</f>
        <v>0</v>
      </c>
      <c r="F53" s="2">
        <f>SUMIF('DTM DATASET'!B:B,A53,'DTM DATASET'!O:O)</f>
        <v>9</v>
      </c>
      <c r="G53" s="2">
        <f>SUMIF('DTM DATASET'!B:B,A53,'DTM DATASET'!P:P)</f>
        <v>0</v>
      </c>
      <c r="H53" s="2">
        <f>SUMIF('DTM DATASET'!B:B,A53,'DTM DATASET'!R:R)</f>
        <v>85</v>
      </c>
      <c r="I53" s="2">
        <f>SUMIF('DTM DATASET'!B:B,A53,'DTM DATASET'!V:V)</f>
        <v>352</v>
      </c>
      <c r="J53" s="2">
        <f>SUMIF('DTM DATASET'!B:B,A53,'DTM DATASET'!X:X)</f>
        <v>37</v>
      </c>
      <c r="K53" s="2">
        <f t="shared" si="6"/>
        <v>592</v>
      </c>
    </row>
    <row r="54" spans="1:11" x14ac:dyDescent="0.25">
      <c r="A54" s="1" t="s">
        <v>26</v>
      </c>
      <c r="B54" s="2">
        <f>SUMIF('DTM DATASET'!B:B,A54,'DTM DATASET'!J:J)</f>
        <v>141</v>
      </c>
      <c r="C54" s="2">
        <f>SUMIF('DTM DATASET'!B:B,A54,'DTM DATASET'!K:K)</f>
        <v>0</v>
      </c>
      <c r="D54" s="2">
        <f>SUMIF('DTM DATASET'!B:B,A54,'DTM DATASET'!L:L)</f>
        <v>24</v>
      </c>
      <c r="E54" s="28">
        <f>SUMIF('DTM DATASET'!B:B,A54,'DTM DATASET'!N:N)</f>
        <v>0</v>
      </c>
      <c r="F54" s="2">
        <f>SUMIF('DTM DATASET'!B:B,A54,'DTM DATASET'!O:O)</f>
        <v>103</v>
      </c>
      <c r="G54" s="2">
        <f>SUMIF('DTM DATASET'!B:B,A54,'DTM DATASET'!P:P)</f>
        <v>0</v>
      </c>
      <c r="H54" s="2">
        <f>SUMIF('DTM DATASET'!B:B,A54,'DTM DATASET'!R:R)</f>
        <v>144</v>
      </c>
      <c r="I54" s="2">
        <f>SUMIF('DTM DATASET'!B:B,A54,'DTM DATASET'!V:V)</f>
        <v>1379</v>
      </c>
      <c r="J54" s="2">
        <f>SUMIF('DTM DATASET'!B:B,A54,'DTM DATASET'!X:X)</f>
        <v>160</v>
      </c>
      <c r="K54" s="2">
        <f t="shared" si="6"/>
        <v>1951</v>
      </c>
    </row>
    <row r="55" spans="1:11" x14ac:dyDescent="0.25">
      <c r="A55" s="5" t="s">
        <v>41</v>
      </c>
      <c r="B55" s="6">
        <f>SUM(B37:B54)</f>
        <v>33666</v>
      </c>
      <c r="C55" s="6">
        <f>SUM(C37:C54)</f>
        <v>6580</v>
      </c>
      <c r="D55" s="6">
        <f t="shared" ref="D55:K55" si="7">SUM(D37:D54)</f>
        <v>5005</v>
      </c>
      <c r="E55" s="6">
        <f t="shared" si="7"/>
        <v>0</v>
      </c>
      <c r="F55" s="6">
        <f t="shared" si="7"/>
        <v>14645</v>
      </c>
      <c r="G55" s="6">
        <f t="shared" si="7"/>
        <v>3267</v>
      </c>
      <c r="H55" s="6">
        <f t="shared" si="7"/>
        <v>18522</v>
      </c>
      <c r="I55" s="6">
        <f t="shared" si="7"/>
        <v>178999</v>
      </c>
      <c r="J55" s="6">
        <f t="shared" si="7"/>
        <v>39788</v>
      </c>
      <c r="K55" s="6">
        <f t="shared" si="7"/>
        <v>300472</v>
      </c>
    </row>
    <row r="56" spans="1:11" ht="18" customHeight="1" x14ac:dyDescent="0.25"/>
    <row r="57" spans="1:11" x14ac:dyDescent="0.25">
      <c r="A57" s="33" t="s">
        <v>0</v>
      </c>
      <c r="B57" s="70" t="s">
        <v>3</v>
      </c>
      <c r="C57" s="71"/>
      <c r="D57" s="71"/>
      <c r="E57" s="71"/>
      <c r="F57" s="71"/>
      <c r="G57" s="71"/>
    </row>
    <row r="58" spans="1:11" ht="39" x14ac:dyDescent="0.25">
      <c r="A58" s="34" t="s">
        <v>53</v>
      </c>
      <c r="B58" s="31" t="s">
        <v>54</v>
      </c>
      <c r="C58" s="31" t="s">
        <v>42</v>
      </c>
      <c r="D58" s="32" t="s">
        <v>43</v>
      </c>
      <c r="E58" s="31" t="s">
        <v>55</v>
      </c>
      <c r="F58" s="31" t="s">
        <v>56</v>
      </c>
      <c r="G58" s="31" t="s">
        <v>64</v>
      </c>
      <c r="H58" s="31" t="s">
        <v>65</v>
      </c>
      <c r="I58" s="32" t="s">
        <v>68</v>
      </c>
      <c r="J58" s="31" t="s">
        <v>40</v>
      </c>
    </row>
    <row r="59" spans="1:11" x14ac:dyDescent="0.25">
      <c r="A59" s="27" t="s">
        <v>9</v>
      </c>
      <c r="B59" s="28">
        <f>SUMIF('DTM DATASET'!B:B,A59,'DTM DATASET'!AL:AL)</f>
        <v>583</v>
      </c>
      <c r="C59" s="28">
        <f>SUMIF('DTM DATASET'!B:B,A59,'DTM DATASET'!AM:AM)</f>
        <v>0</v>
      </c>
      <c r="D59" s="28">
        <f>SUMIF('DTM DATASET'!B:B,A59,'DTM DATASET'!AN:AN)</f>
        <v>0</v>
      </c>
      <c r="E59" s="28">
        <f>SUMIF('DTM DATASET'!B:B,A59,'DTM DATASET'!AO:AO)</f>
        <v>491</v>
      </c>
      <c r="F59" s="28">
        <f>SUMIF('DTM DATASET'!B:B,A59,'DTM DATASET'!AP:AP)</f>
        <v>1459</v>
      </c>
      <c r="G59" s="28">
        <f>SUMIF('DTM DATASET'!B:B,A59,'DTM DATASET'!AQ:AQ)</f>
        <v>2555</v>
      </c>
      <c r="H59" s="28">
        <f>SUMIF('DTM DATASET'!B:B,A59,'DTM DATASET'!AR:AR)</f>
        <v>942</v>
      </c>
      <c r="I59" s="28">
        <f>SUMIF('DTM DATASET'!B:B,A59,'DTM DATASET'!AS:AS)</f>
        <v>4084</v>
      </c>
      <c r="J59" s="2">
        <f t="shared" ref="J59:J76" si="8">SUM(B59:I59)</f>
        <v>10114</v>
      </c>
    </row>
    <row r="60" spans="1:11" x14ac:dyDescent="0.25">
      <c r="A60" s="1" t="s">
        <v>10</v>
      </c>
      <c r="B60" s="2">
        <f>SUMIF('DTM DATASET'!B:B,A60,'DTM DATASET'!AL:AL)</f>
        <v>39</v>
      </c>
      <c r="C60" s="2">
        <f>SUMIF('DTM DATASET'!B:B,A60,'DTM DATASET'!AM:AM)</f>
        <v>2372</v>
      </c>
      <c r="D60" s="2">
        <f>SUMIF('DTM DATASET'!B:B,A60,'DTM DATASET'!AN:AN)</f>
        <v>569</v>
      </c>
      <c r="E60" s="2">
        <f>SUMIF('DTM DATASET'!B:B,A60,'DTM DATASET'!AO:AO)</f>
        <v>110</v>
      </c>
      <c r="F60" s="2">
        <f>SUMIF('DTM DATASET'!B:B,A60,'DTM DATASET'!AP:AP)</f>
        <v>22</v>
      </c>
      <c r="G60" s="28">
        <f>SUMIF('DTM DATASET'!B:B,A60,'DTM DATASET'!AQ:AQ)</f>
        <v>0</v>
      </c>
      <c r="H60" s="28">
        <f>SUMIF('DTM DATASET'!B:B,A60,'DTM DATASET'!AR:AR)</f>
        <v>3</v>
      </c>
      <c r="I60" s="28">
        <f>SUMIF('DTM DATASET'!B:B,A60,'DTM DATASET'!AS:AS)</f>
        <v>0</v>
      </c>
      <c r="J60" s="2">
        <f t="shared" si="8"/>
        <v>3115</v>
      </c>
    </row>
    <row r="61" spans="1:11" x14ac:dyDescent="0.25">
      <c r="A61" s="1" t="s">
        <v>11</v>
      </c>
      <c r="B61" s="2">
        <f>SUMIF('DTM DATASET'!B:B,A61,'DTM DATASET'!AL:AL)</f>
        <v>1593</v>
      </c>
      <c r="C61" s="2">
        <f>SUMIF('DTM DATASET'!B:B,A61,'DTM DATASET'!AM:AM)</f>
        <v>2154</v>
      </c>
      <c r="D61" s="2">
        <f>SUMIF('DTM DATASET'!B:B,A61,'DTM DATASET'!AN:AN)</f>
        <v>2096</v>
      </c>
      <c r="E61" s="2">
        <f>SUMIF('DTM DATASET'!B:B,A61,'DTM DATASET'!AO:AO)</f>
        <v>2235</v>
      </c>
      <c r="F61" s="2">
        <f>SUMIF('DTM DATASET'!B:B,A61,'DTM DATASET'!AP:AP)</f>
        <v>2307</v>
      </c>
      <c r="G61" s="28">
        <f>SUMIF('DTM DATASET'!B:B,A61,'DTM DATASET'!AQ:AQ)</f>
        <v>512</v>
      </c>
      <c r="H61" s="28">
        <f>SUMIF('DTM DATASET'!B:B,A61,'DTM DATASET'!AR:AR)</f>
        <v>532</v>
      </c>
      <c r="I61" s="28">
        <f>SUMIF('DTM DATASET'!B:B,A61,'DTM DATASET'!AS:AS)</f>
        <v>105</v>
      </c>
      <c r="J61" s="2">
        <f t="shared" si="8"/>
        <v>11534</v>
      </c>
    </row>
    <row r="62" spans="1:11" x14ac:dyDescent="0.25">
      <c r="A62" s="1" t="s">
        <v>12</v>
      </c>
      <c r="B62" s="2">
        <f>SUMIF('DTM DATASET'!B:B,A62,'DTM DATASET'!AL:AL)</f>
        <v>101</v>
      </c>
      <c r="C62" s="2">
        <f>SUMIF('DTM DATASET'!B:B,A62,'DTM DATASET'!AM:AM)</f>
        <v>252</v>
      </c>
      <c r="D62" s="2">
        <f>SUMIF('DTM DATASET'!B:B,A62,'DTM DATASET'!AN:AN)</f>
        <v>272</v>
      </c>
      <c r="E62" s="2">
        <f>SUMIF('DTM DATASET'!B:B,A62,'DTM DATASET'!AO:AO)</f>
        <v>443</v>
      </c>
      <c r="F62" s="2">
        <f>SUMIF('DTM DATASET'!B:B,A62,'DTM DATASET'!AP:AP)</f>
        <v>105</v>
      </c>
      <c r="G62" s="28">
        <f>SUMIF('DTM DATASET'!B:B,A62,'DTM DATASET'!AQ:AQ)</f>
        <v>35</v>
      </c>
      <c r="H62" s="28">
        <f>SUMIF('DTM DATASET'!B:B,A62,'DTM DATASET'!AR:AR)</f>
        <v>66</v>
      </c>
      <c r="I62" s="28">
        <f>SUMIF('DTM DATASET'!B:B,A62,'DTM DATASET'!AS:AS)</f>
        <v>10</v>
      </c>
      <c r="J62" s="2">
        <f t="shared" si="8"/>
        <v>1284</v>
      </c>
    </row>
    <row r="63" spans="1:11" x14ac:dyDescent="0.25">
      <c r="A63" s="1" t="s">
        <v>13</v>
      </c>
      <c r="B63" s="2">
        <f>SUMIF('DTM DATASET'!B:B,A63,'DTM DATASET'!AL:AL)</f>
        <v>55</v>
      </c>
      <c r="C63" s="2">
        <f>SUMIF('DTM DATASET'!B:B,A63,'DTM DATASET'!AM:AM)</f>
        <v>9304</v>
      </c>
      <c r="D63" s="2">
        <f>SUMIF('DTM DATASET'!B:B,A63,'DTM DATASET'!AN:AN)</f>
        <v>43679</v>
      </c>
      <c r="E63" s="2">
        <f>SUMIF('DTM DATASET'!B:B,A63,'DTM DATASET'!AO:AO)</f>
        <v>0</v>
      </c>
      <c r="F63" s="2">
        <f>SUMIF('DTM DATASET'!B:B,A63,'DTM DATASET'!AP:AP)</f>
        <v>74</v>
      </c>
      <c r="G63" s="28">
        <f>SUMIF('DTM DATASET'!B:B,A63,'DTM DATASET'!AQ:AQ)</f>
        <v>0</v>
      </c>
      <c r="H63" s="28">
        <f>SUMIF('DTM DATASET'!B:B,A63,'DTM DATASET'!AR:AR)</f>
        <v>0</v>
      </c>
      <c r="I63" s="28">
        <f>SUMIF('DTM DATASET'!B:B,A63,'DTM DATASET'!AS:AS)</f>
        <v>3154</v>
      </c>
      <c r="J63" s="2">
        <f t="shared" si="8"/>
        <v>56266</v>
      </c>
    </row>
    <row r="64" spans="1:11" x14ac:dyDescent="0.25">
      <c r="A64" s="1" t="s">
        <v>14</v>
      </c>
      <c r="B64" s="2">
        <f>SUMIF('DTM DATASET'!B:B,A64,'DTM DATASET'!AL:AL)</f>
        <v>104</v>
      </c>
      <c r="C64" s="2">
        <f>SUMIF('DTM DATASET'!B:B,A64,'DTM DATASET'!AM:AM)</f>
        <v>3406</v>
      </c>
      <c r="D64" s="2">
        <f>SUMIF('DTM DATASET'!B:B,A64,'DTM DATASET'!AN:AN)</f>
        <v>1298</v>
      </c>
      <c r="E64" s="2">
        <f>SUMIF('DTM DATASET'!B:B,A64,'DTM DATASET'!AO:AO)</f>
        <v>3994</v>
      </c>
      <c r="F64" s="2">
        <f>SUMIF('DTM DATASET'!B:B,A64,'DTM DATASET'!AP:AP)</f>
        <v>203</v>
      </c>
      <c r="G64" s="28">
        <f>SUMIF('DTM DATASET'!B:B,A64,'DTM DATASET'!AQ:AQ)</f>
        <v>95</v>
      </c>
      <c r="H64" s="28">
        <f>SUMIF('DTM DATASET'!B:B,A64,'DTM DATASET'!AR:AR)</f>
        <v>111</v>
      </c>
      <c r="I64" s="28">
        <f>SUMIF('DTM DATASET'!B:B,A64,'DTM DATASET'!AS:AS)</f>
        <v>633</v>
      </c>
      <c r="J64" s="2">
        <f t="shared" si="8"/>
        <v>9844</v>
      </c>
    </row>
    <row r="65" spans="1:10" x14ac:dyDescent="0.25">
      <c r="A65" s="1" t="s">
        <v>15</v>
      </c>
      <c r="B65" s="2">
        <f>SUMIF('DTM DATASET'!B:B,A65,'DTM DATASET'!AL:AL)</f>
        <v>5450</v>
      </c>
      <c r="C65" s="2">
        <f>SUMIF('DTM DATASET'!B:B,A65,'DTM DATASET'!AM:AM)</f>
        <v>11919</v>
      </c>
      <c r="D65" s="2">
        <f>SUMIF('DTM DATASET'!B:B,A65,'DTM DATASET'!AN:AN)</f>
        <v>2852</v>
      </c>
      <c r="E65" s="2">
        <f>SUMIF('DTM DATASET'!B:B,A65,'DTM DATASET'!AO:AO)</f>
        <v>1009</v>
      </c>
      <c r="F65" s="2">
        <f>SUMIF('DTM DATASET'!B:B,A65,'DTM DATASET'!AP:AP)</f>
        <v>5563</v>
      </c>
      <c r="G65" s="28">
        <f>SUMIF('DTM DATASET'!B:B,A65,'DTM DATASET'!AQ:AQ)</f>
        <v>1596</v>
      </c>
      <c r="H65" s="28">
        <f>SUMIF('DTM DATASET'!B:B,A65,'DTM DATASET'!AR:AR)</f>
        <v>4067</v>
      </c>
      <c r="I65" s="28">
        <f>SUMIF('DTM DATASET'!B:B,A65,'DTM DATASET'!AS:AS)</f>
        <v>2864</v>
      </c>
      <c r="J65" s="2">
        <f t="shared" si="8"/>
        <v>35320</v>
      </c>
    </row>
    <row r="66" spans="1:10" x14ac:dyDescent="0.25">
      <c r="A66" s="1" t="s">
        <v>16</v>
      </c>
      <c r="B66" s="2">
        <f>SUMIF('DTM DATASET'!B:B,A66,'DTM DATASET'!AL:AL)</f>
        <v>254</v>
      </c>
      <c r="C66" s="2">
        <f>SUMIF('DTM DATASET'!B:B,A66,'DTM DATASET'!AM:AM)</f>
        <v>3361</v>
      </c>
      <c r="D66" s="2">
        <f>SUMIF('DTM DATASET'!B:B,A66,'DTM DATASET'!AN:AN)</f>
        <v>65</v>
      </c>
      <c r="E66" s="2">
        <f>SUMIF('DTM DATASET'!B:B,A66,'DTM DATASET'!AO:AO)</f>
        <v>3</v>
      </c>
      <c r="F66" s="2">
        <f>SUMIF('DTM DATASET'!B:B,A66,'DTM DATASET'!AP:AP)</f>
        <v>0</v>
      </c>
      <c r="G66" s="28">
        <f>SUMIF('DTM DATASET'!B:B,A66,'DTM DATASET'!AQ:AQ)</f>
        <v>0</v>
      </c>
      <c r="H66" s="28">
        <f>SUMIF('DTM DATASET'!B:B,A66,'DTM DATASET'!AR:AR)</f>
        <v>0</v>
      </c>
      <c r="I66" s="28">
        <f>SUMIF('DTM DATASET'!B:B,A66,'DTM DATASET'!AS:AS)</f>
        <v>0</v>
      </c>
      <c r="J66" s="2">
        <f t="shared" si="8"/>
        <v>3683</v>
      </c>
    </row>
    <row r="67" spans="1:10" x14ac:dyDescent="0.25">
      <c r="A67" s="1" t="s">
        <v>17</v>
      </c>
      <c r="B67" s="2">
        <f>SUMIF('DTM DATASET'!B:B,A67,'DTM DATASET'!AL:AL)</f>
        <v>240</v>
      </c>
      <c r="C67" s="2">
        <f>SUMIF('DTM DATASET'!B:B,A67,'DTM DATASET'!AM:AM)</f>
        <v>2285</v>
      </c>
      <c r="D67" s="2">
        <f>SUMIF('DTM DATASET'!B:B,A67,'DTM DATASET'!AN:AN)</f>
        <v>1706</v>
      </c>
      <c r="E67" s="2">
        <f>SUMIF('DTM DATASET'!B:B,A67,'DTM DATASET'!AO:AO)</f>
        <v>3609</v>
      </c>
      <c r="F67" s="2">
        <f>SUMIF('DTM DATASET'!B:B,A67,'DTM DATASET'!AP:AP)</f>
        <v>2876</v>
      </c>
      <c r="G67" s="28">
        <f>SUMIF('DTM DATASET'!B:B,A67,'DTM DATASET'!AQ:AQ)</f>
        <v>2613</v>
      </c>
      <c r="H67" s="28">
        <f>SUMIF('DTM DATASET'!B:B,A67,'DTM DATASET'!AR:AR)</f>
        <v>2943</v>
      </c>
      <c r="I67" s="28">
        <f>SUMIF('DTM DATASET'!B:B,A67,'DTM DATASET'!AS:AS)</f>
        <v>1751</v>
      </c>
      <c r="J67" s="2">
        <f t="shared" si="8"/>
        <v>18023</v>
      </c>
    </row>
    <row r="68" spans="1:10" x14ac:dyDescent="0.25">
      <c r="A68" s="1" t="s">
        <v>18</v>
      </c>
      <c r="B68" s="2">
        <f>SUMIF('DTM DATASET'!B:B,A68,'DTM DATASET'!AL:AL)</f>
        <v>17</v>
      </c>
      <c r="C68" s="2">
        <f>SUMIF('DTM DATASET'!B:B,A68,'DTM DATASET'!AM:AM)</f>
        <v>143</v>
      </c>
      <c r="D68" s="2">
        <f>SUMIF('DTM DATASET'!B:B,A68,'DTM DATASET'!AN:AN)</f>
        <v>149</v>
      </c>
      <c r="E68" s="2">
        <f>SUMIF('DTM DATASET'!B:B,A68,'DTM DATASET'!AO:AO)</f>
        <v>84</v>
      </c>
      <c r="F68" s="2">
        <f>SUMIF('DTM DATASET'!B:B,A68,'DTM DATASET'!AP:AP)</f>
        <v>11</v>
      </c>
      <c r="G68" s="28">
        <f>SUMIF('DTM DATASET'!B:B,A68,'DTM DATASET'!AQ:AQ)</f>
        <v>1</v>
      </c>
      <c r="H68" s="28">
        <f>SUMIF('DTM DATASET'!B:B,A68,'DTM DATASET'!AR:AR)</f>
        <v>27</v>
      </c>
      <c r="I68" s="28">
        <f>SUMIF('DTM DATASET'!B:B,A68,'DTM DATASET'!AS:AS)</f>
        <v>0</v>
      </c>
      <c r="J68" s="2">
        <f t="shared" si="8"/>
        <v>432</v>
      </c>
    </row>
    <row r="69" spans="1:10" x14ac:dyDescent="0.25">
      <c r="A69" s="1" t="s">
        <v>19</v>
      </c>
      <c r="B69" s="2">
        <f>SUMIF('DTM DATASET'!B:B,A69,'DTM DATASET'!AL:AL)</f>
        <v>5</v>
      </c>
      <c r="C69" s="2">
        <f>SUMIF('DTM DATASET'!B:B,A69,'DTM DATASET'!AM:AM)</f>
        <v>79</v>
      </c>
      <c r="D69" s="2">
        <f>SUMIF('DTM DATASET'!B:B,A69,'DTM DATASET'!AN:AN)</f>
        <v>62</v>
      </c>
      <c r="E69" s="2">
        <f>SUMIF('DTM DATASET'!B:B,A69,'DTM DATASET'!AO:AO)</f>
        <v>34</v>
      </c>
      <c r="F69" s="2">
        <f>SUMIF('DTM DATASET'!B:B,A69,'DTM DATASET'!AP:AP)</f>
        <v>13</v>
      </c>
      <c r="G69" s="28">
        <f>SUMIF('DTM DATASET'!B:B,A69,'DTM DATASET'!AQ:AQ)</f>
        <v>0</v>
      </c>
      <c r="H69" s="28">
        <f>SUMIF('DTM DATASET'!B:B,A69,'DTM DATASET'!AR:AR)</f>
        <v>7</v>
      </c>
      <c r="I69" s="28">
        <f>SUMIF('DTM DATASET'!B:B,A69,'DTM DATASET'!AS:AS)</f>
        <v>0</v>
      </c>
      <c r="J69" s="2">
        <f t="shared" si="8"/>
        <v>200</v>
      </c>
    </row>
    <row r="70" spans="1:10" x14ac:dyDescent="0.25">
      <c r="A70" s="1" t="s">
        <v>20</v>
      </c>
      <c r="B70" s="2">
        <f>SUMIF('DTM DATASET'!B:B,A70,'DTM DATASET'!AL:AL)</f>
        <v>12</v>
      </c>
      <c r="C70" s="2">
        <f>SUMIF('DTM DATASET'!B:B,A70,'DTM DATASET'!AM:AM)</f>
        <v>1400</v>
      </c>
      <c r="D70" s="2">
        <f>SUMIF('DTM DATASET'!B:B,A70,'DTM DATASET'!AN:AN)</f>
        <v>588</v>
      </c>
      <c r="E70" s="2">
        <f>SUMIF('DTM DATASET'!B:B,A70,'DTM DATASET'!AO:AO)</f>
        <v>135</v>
      </c>
      <c r="F70" s="2">
        <f>SUMIF('DTM DATASET'!B:B,A70,'DTM DATASET'!AP:AP)</f>
        <v>8</v>
      </c>
      <c r="G70" s="28">
        <f>SUMIF('DTM DATASET'!B:B,A70,'DTM DATASET'!AQ:AQ)</f>
        <v>0</v>
      </c>
      <c r="H70" s="28">
        <f>SUMIF('DTM DATASET'!B:B,A70,'DTM DATASET'!AR:AR)</f>
        <v>0</v>
      </c>
      <c r="I70" s="28">
        <f>SUMIF('DTM DATASET'!B:B,A70,'DTM DATASET'!AS:AS)</f>
        <v>0</v>
      </c>
      <c r="J70" s="2">
        <f t="shared" si="8"/>
        <v>2143</v>
      </c>
    </row>
    <row r="71" spans="1:10" x14ac:dyDescent="0.25">
      <c r="A71" s="1" t="s">
        <v>21</v>
      </c>
      <c r="B71" s="2">
        <f>SUMIF('DTM DATASET'!B:B,A71,'DTM DATASET'!AL:AL)</f>
        <v>11</v>
      </c>
      <c r="C71" s="2">
        <f>SUMIF('DTM DATASET'!B:B,A71,'DTM DATASET'!AM:AM)</f>
        <v>4429</v>
      </c>
      <c r="D71" s="2">
        <f>SUMIF('DTM DATASET'!B:B,A71,'DTM DATASET'!AN:AN)</f>
        <v>15736</v>
      </c>
      <c r="E71" s="2">
        <f>SUMIF('DTM DATASET'!B:B,A71,'DTM DATASET'!AO:AO)</f>
        <v>1166</v>
      </c>
      <c r="F71" s="2">
        <f>SUMIF('DTM DATASET'!B:B,A71,'DTM DATASET'!AP:AP)</f>
        <v>1611</v>
      </c>
      <c r="G71" s="28">
        <f>SUMIF('DTM DATASET'!B:B,A71,'DTM DATASET'!AQ:AQ)</f>
        <v>488</v>
      </c>
      <c r="H71" s="28">
        <f>SUMIF('DTM DATASET'!B:B,A71,'DTM DATASET'!AR:AR)</f>
        <v>56930</v>
      </c>
      <c r="I71" s="28">
        <f>SUMIF('DTM DATASET'!B:B,A71,'DTM DATASET'!AS:AS)</f>
        <v>15634</v>
      </c>
      <c r="J71" s="2">
        <f t="shared" si="8"/>
        <v>96005</v>
      </c>
    </row>
    <row r="72" spans="1:10" x14ac:dyDescent="0.25">
      <c r="A72" s="1" t="s">
        <v>22</v>
      </c>
      <c r="B72" s="2">
        <f>SUMIF('DTM DATASET'!B:B,A72,'DTM DATASET'!AL:AL)</f>
        <v>10</v>
      </c>
      <c r="C72" s="2">
        <f>SUMIF('DTM DATASET'!B:B,A72,'DTM DATASET'!AM:AM)</f>
        <v>670</v>
      </c>
      <c r="D72" s="2">
        <f>SUMIF('DTM DATASET'!B:B,A72,'DTM DATASET'!AN:AN)</f>
        <v>1138</v>
      </c>
      <c r="E72" s="2">
        <f>SUMIF('DTM DATASET'!B:B,A72,'DTM DATASET'!AO:AO)</f>
        <v>50</v>
      </c>
      <c r="F72" s="2">
        <f>SUMIF('DTM DATASET'!B:B,A72,'DTM DATASET'!AP:AP)</f>
        <v>2</v>
      </c>
      <c r="G72" s="28">
        <f>SUMIF('DTM DATASET'!B:B,A72,'DTM DATASET'!AQ:AQ)</f>
        <v>0</v>
      </c>
      <c r="H72" s="28">
        <f>SUMIF('DTM DATASET'!B:B,A72,'DTM DATASET'!AR:AR)</f>
        <v>5</v>
      </c>
      <c r="I72" s="28">
        <f>SUMIF('DTM DATASET'!B:B,A72,'DTM DATASET'!AS:AS)</f>
        <v>0</v>
      </c>
      <c r="J72" s="2">
        <f t="shared" si="8"/>
        <v>1875</v>
      </c>
    </row>
    <row r="73" spans="1:10" x14ac:dyDescent="0.25">
      <c r="A73" s="1" t="s">
        <v>23</v>
      </c>
      <c r="B73" s="2">
        <f>SUMIF('DTM DATASET'!B:B,A73,'DTM DATASET'!AL:AL)</f>
        <v>131</v>
      </c>
      <c r="C73" s="2">
        <f>SUMIF('DTM DATASET'!B:B,A73,'DTM DATASET'!AM:AM)</f>
        <v>3239</v>
      </c>
      <c r="D73" s="2">
        <f>SUMIF('DTM DATASET'!B:B,A73,'DTM DATASET'!AN:AN)</f>
        <v>5065</v>
      </c>
      <c r="E73" s="2">
        <f>SUMIF('DTM DATASET'!B:B,A73,'DTM DATASET'!AO:AO)</f>
        <v>2823</v>
      </c>
      <c r="F73" s="2">
        <f>SUMIF('DTM DATASET'!B:B,A73,'DTM DATASET'!AP:AP)</f>
        <v>3187</v>
      </c>
      <c r="G73" s="28">
        <f>SUMIF('DTM DATASET'!B:B,A73,'DTM DATASET'!AQ:AQ)</f>
        <v>3449</v>
      </c>
      <c r="H73" s="28">
        <f>SUMIF('DTM DATASET'!B:B,A73,'DTM DATASET'!AR:AR)</f>
        <v>3696</v>
      </c>
      <c r="I73" s="28">
        <f>SUMIF('DTM DATASET'!B:B,A73,'DTM DATASET'!AS:AS)</f>
        <v>1352</v>
      </c>
      <c r="J73" s="2">
        <f t="shared" si="8"/>
        <v>22942</v>
      </c>
    </row>
    <row r="74" spans="1:10" x14ac:dyDescent="0.25">
      <c r="A74" s="1" t="s">
        <v>24</v>
      </c>
      <c r="B74" s="2">
        <f>SUMIF('DTM DATASET'!B:B,A74,'DTM DATASET'!AL:AL)</f>
        <v>1843</v>
      </c>
      <c r="C74" s="2">
        <f>SUMIF('DTM DATASET'!B:B,A74,'DTM DATASET'!AM:AM)</f>
        <v>4710</v>
      </c>
      <c r="D74" s="2">
        <f>SUMIF('DTM DATASET'!B:B,A74,'DTM DATASET'!AN:AN)</f>
        <v>3063</v>
      </c>
      <c r="E74" s="2">
        <f>SUMIF('DTM DATASET'!B:B,A74,'DTM DATASET'!AO:AO)</f>
        <v>6173</v>
      </c>
      <c r="F74" s="2">
        <f>SUMIF('DTM DATASET'!B:B,A74,'DTM DATASET'!AP:AP)</f>
        <v>2150</v>
      </c>
      <c r="G74" s="28">
        <f>SUMIF('DTM DATASET'!B:B,A74,'DTM DATASET'!AQ:AQ)</f>
        <v>1885</v>
      </c>
      <c r="H74" s="28">
        <f>SUMIF('DTM DATASET'!B:B,A74,'DTM DATASET'!AR:AR)</f>
        <v>1475</v>
      </c>
      <c r="I74" s="28">
        <f>SUMIF('DTM DATASET'!B:B,A74,'DTM DATASET'!AS:AS)</f>
        <v>3850</v>
      </c>
      <c r="J74" s="2">
        <f t="shared" si="8"/>
        <v>25149</v>
      </c>
    </row>
    <row r="75" spans="1:10" x14ac:dyDescent="0.25">
      <c r="A75" s="1" t="s">
        <v>25</v>
      </c>
      <c r="B75" s="2">
        <f>SUMIF('DTM DATASET'!B:B,A75,'DTM DATASET'!AL:AL)</f>
        <v>47</v>
      </c>
      <c r="C75" s="2">
        <f>SUMIF('DTM DATASET'!B:B,A75,'DTM DATASET'!AM:AM)</f>
        <v>219</v>
      </c>
      <c r="D75" s="2">
        <f>SUMIF('DTM DATASET'!B:B,A75,'DTM DATASET'!AN:AN)</f>
        <v>186</v>
      </c>
      <c r="E75" s="2">
        <f>SUMIF('DTM DATASET'!B:B,A75,'DTM DATASET'!AO:AO)</f>
        <v>110</v>
      </c>
      <c r="F75" s="2">
        <f>SUMIF('DTM DATASET'!B:B,A75,'DTM DATASET'!AP:AP)</f>
        <v>17</v>
      </c>
      <c r="G75" s="28">
        <f>SUMIF('DTM DATASET'!B:B,A75,'DTM DATASET'!AQ:AQ)</f>
        <v>0</v>
      </c>
      <c r="H75" s="28">
        <f>SUMIF('DTM DATASET'!B:B,A75,'DTM DATASET'!AR:AR)</f>
        <v>13</v>
      </c>
      <c r="I75" s="28">
        <f>SUMIF('DTM DATASET'!B:B,A75,'DTM DATASET'!AS:AS)</f>
        <v>0</v>
      </c>
      <c r="J75" s="2">
        <f t="shared" si="8"/>
        <v>592</v>
      </c>
    </row>
    <row r="76" spans="1:10" x14ac:dyDescent="0.25">
      <c r="A76" s="1" t="s">
        <v>26</v>
      </c>
      <c r="B76" s="2">
        <f>SUMIF('DTM DATASET'!B:B,A76,'DTM DATASET'!AL:AL)</f>
        <v>140</v>
      </c>
      <c r="C76" s="2">
        <f>SUMIF('DTM DATASET'!B:B,A76,'DTM DATASET'!AM:AM)</f>
        <v>1415</v>
      </c>
      <c r="D76" s="2">
        <f>SUMIF('DTM DATASET'!B:B,A76,'DTM DATASET'!AN:AN)</f>
        <v>250</v>
      </c>
      <c r="E76" s="2">
        <f>SUMIF('DTM DATASET'!B:B,A76,'DTM DATASET'!AO:AO)</f>
        <v>57</v>
      </c>
      <c r="F76" s="2">
        <f>SUMIF('DTM DATASET'!B:B,A76,'DTM DATASET'!AP:AP)</f>
        <v>82</v>
      </c>
      <c r="G76" s="28">
        <f>SUMIF('DTM DATASET'!B:B,A76,'DTM DATASET'!AQ:AQ)</f>
        <v>0</v>
      </c>
      <c r="H76" s="28">
        <f>SUMIF('DTM DATASET'!B:B,A76,'DTM DATASET'!AR:AR)</f>
        <v>7</v>
      </c>
      <c r="I76" s="28">
        <f>SUMIF('DTM DATASET'!B:B,A76,'DTM DATASET'!AS:AS)</f>
        <v>0</v>
      </c>
      <c r="J76" s="2">
        <f t="shared" si="8"/>
        <v>1951</v>
      </c>
    </row>
    <row r="77" spans="1:10" x14ac:dyDescent="0.25">
      <c r="A77" s="5" t="s">
        <v>41</v>
      </c>
      <c r="B77" s="6">
        <f t="shared" ref="B77:J77" si="9">SUM(B59:B76)</f>
        <v>10635</v>
      </c>
      <c r="C77" s="6">
        <f t="shared" si="9"/>
        <v>51357</v>
      </c>
      <c r="D77" s="6">
        <f t="shared" si="9"/>
        <v>78774</v>
      </c>
      <c r="E77" s="6">
        <f t="shared" si="9"/>
        <v>22526</v>
      </c>
      <c r="F77" s="6">
        <f t="shared" si="9"/>
        <v>19690</v>
      </c>
      <c r="G77" s="6">
        <f t="shared" si="9"/>
        <v>13229</v>
      </c>
      <c r="H77" s="6">
        <f t="shared" si="9"/>
        <v>70824</v>
      </c>
      <c r="I77" s="6">
        <f t="shared" si="9"/>
        <v>33437</v>
      </c>
      <c r="J77" s="6">
        <f t="shared" si="9"/>
        <v>300472</v>
      </c>
    </row>
    <row r="78" spans="1:10" ht="18" customHeight="1" x14ac:dyDescent="0.25"/>
  </sheetData>
  <mergeCells count="6">
    <mergeCell ref="A1:B1"/>
    <mergeCell ref="D10:E10"/>
    <mergeCell ref="B12:L12"/>
    <mergeCell ref="B57:G57"/>
    <mergeCell ref="B35:J35"/>
    <mergeCell ref="D1:E1"/>
  </mergeCells>
  <conditionalFormatting sqref="I2:I10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{C8D3ACC1-2301-4F47-B583-82830342C46D}</x14:id>
        </ext>
      </extLst>
    </cfRule>
  </conditionalFormatting>
  <conditionalFormatting sqref="F2:F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{B4D3B710-C2B3-4140-87ED-D1E3EE181CCE}</x14:id>
        </ext>
      </extLst>
    </cfRule>
  </conditionalFormatting>
  <conditionalFormatting sqref="L14:L3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{3B589493-E324-48E2-8E8A-D92822CAE3BB}</x14:id>
        </ext>
      </extLst>
    </cfRule>
  </conditionalFormatting>
  <conditionalFormatting sqref="K37:K5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{FBD49CE4-1FD0-4AAF-9F4A-F00E2817FB65}</x14:id>
        </ext>
      </extLst>
    </cfRule>
  </conditionalFormatting>
  <conditionalFormatting sqref="J59:J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{59F7020A-FCBD-460B-98DF-D7D8C02CF7AC}</x14:id>
        </ext>
      </extLst>
    </cfRule>
  </conditionalFormatting>
  <pageMargins left="1" right="1" top="1" bottom="1" header="1" footer="1"/>
  <pageSetup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D3ACC1-2301-4F47-B583-82830342C4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I2:I10</xm:sqref>
        </x14:conditionalFormatting>
        <x14:conditionalFormatting xmlns:xm="http://schemas.microsoft.com/office/excel/2006/main">
          <x14:cfRule type="dataBar" id="{B4D3B710-C2B3-4140-87ED-D1E3EE181C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F2:F9</xm:sqref>
        </x14:conditionalFormatting>
        <x14:conditionalFormatting xmlns:xm="http://schemas.microsoft.com/office/excel/2006/main">
          <x14:cfRule type="dataBar" id="{3B589493-E324-48E2-8E8A-D92822CAE3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L14:L31</xm:sqref>
        </x14:conditionalFormatting>
        <x14:conditionalFormatting xmlns:xm="http://schemas.microsoft.com/office/excel/2006/main">
          <x14:cfRule type="dataBar" id="{FBD49CE4-1FD0-4AAF-9F4A-F00E2817FB6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K37:K54</xm:sqref>
        </x14:conditionalFormatting>
        <x14:conditionalFormatting xmlns:xm="http://schemas.microsoft.com/office/excel/2006/main">
          <x14:cfRule type="dataBar" id="{59F7020A-FCBD-460B-98DF-D7D8C02CF7A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J59:J76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25" sqref="F25"/>
    </sheetView>
  </sheetViews>
  <sheetFormatPr defaultRowHeight="15" x14ac:dyDescent="0.25"/>
  <cols>
    <col min="1" max="16384" width="9.140625" style="26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9"/>
  <sheetViews>
    <sheetView topLeftCell="A51" workbookViewId="0">
      <selection activeCell="O104" sqref="O104"/>
    </sheetView>
  </sheetViews>
  <sheetFormatPr defaultRowHeight="15" x14ac:dyDescent="0.25"/>
  <cols>
    <col min="1" max="1" width="37" bestFit="1" customWidth="1"/>
    <col min="2" max="2" width="16.28515625" bestFit="1" customWidth="1"/>
    <col min="3" max="3" width="8.140625" customWidth="1"/>
    <col min="4" max="4" width="8.5703125" customWidth="1"/>
    <col min="5" max="5" width="6.85546875" customWidth="1"/>
    <col min="6" max="6" width="6.5703125" customWidth="1"/>
    <col min="7" max="7" width="6.42578125" customWidth="1"/>
    <col min="8" max="8" width="6" customWidth="1"/>
    <col min="9" max="9" width="7.7109375" customWidth="1"/>
    <col min="10" max="10" width="6.5703125" customWidth="1"/>
    <col min="11" max="11" width="7.28515625" customWidth="1"/>
    <col min="12" max="12" width="10.140625" bestFit="1" customWidth="1"/>
    <col min="13" max="13" width="5.7109375" customWidth="1"/>
    <col min="14" max="14" width="7.85546875" customWidth="1"/>
    <col min="15" max="15" width="9.42578125" bestFit="1" customWidth="1"/>
    <col min="16" max="16" width="11.42578125" bestFit="1" customWidth="1"/>
    <col min="17" max="17" width="13.42578125" bestFit="1" customWidth="1"/>
    <col min="18" max="18" width="7.5703125" customWidth="1"/>
    <col min="19" max="19" width="7" customWidth="1"/>
    <col min="20" max="20" width="11.28515625" bestFit="1" customWidth="1"/>
  </cols>
  <sheetData>
    <row r="1" spans="1:20" s="26" customFormat="1" hidden="1" x14ac:dyDescent="0.25"/>
    <row r="2" spans="1:20" hidden="1" x14ac:dyDescent="0.25"/>
    <row r="3" spans="1:20" s="26" customFormat="1" hidden="1" x14ac:dyDescent="0.25"/>
    <row r="4" spans="1:20" s="26" customFormat="1" hidden="1" x14ac:dyDescent="0.25">
      <c r="A4"/>
      <c r="B4" s="51" t="s">
        <v>5918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s="26" customFormat="1" hidden="1" x14ac:dyDescent="0.25">
      <c r="A5" s="51" t="s">
        <v>5919</v>
      </c>
      <c r="B5" s="26" t="s">
        <v>9</v>
      </c>
      <c r="C5" s="26" t="s">
        <v>10</v>
      </c>
      <c r="D5" s="26" t="s">
        <v>11</v>
      </c>
      <c r="E5" s="26" t="s">
        <v>12</v>
      </c>
      <c r="F5" s="26" t="s">
        <v>13</v>
      </c>
      <c r="G5" s="26" t="s">
        <v>14</v>
      </c>
      <c r="H5" s="26" t="s">
        <v>15</v>
      </c>
      <c r="I5" s="26" t="s">
        <v>16</v>
      </c>
      <c r="J5" s="26" t="s">
        <v>17</v>
      </c>
      <c r="K5" s="26" t="s">
        <v>18</v>
      </c>
      <c r="L5" s="26" t="s">
        <v>19</v>
      </c>
      <c r="M5" s="26" t="s">
        <v>20</v>
      </c>
      <c r="N5" s="26" t="s">
        <v>21</v>
      </c>
      <c r="O5" s="26" t="s">
        <v>22</v>
      </c>
      <c r="P5" s="26" t="s">
        <v>23</v>
      </c>
      <c r="Q5" s="26" t="s">
        <v>24</v>
      </c>
      <c r="R5" s="26" t="s">
        <v>25</v>
      </c>
      <c r="S5" s="26" t="s">
        <v>26</v>
      </c>
      <c r="T5" s="26" t="s">
        <v>5908</v>
      </c>
    </row>
    <row r="6" spans="1:20" hidden="1" x14ac:dyDescent="0.25">
      <c r="A6" s="52" t="s">
        <v>5909</v>
      </c>
      <c r="B6" s="53">
        <v>6354</v>
      </c>
      <c r="C6" s="53">
        <v>0</v>
      </c>
      <c r="D6" s="53">
        <v>746</v>
      </c>
      <c r="E6" s="53">
        <v>0</v>
      </c>
      <c r="F6" s="53">
        <v>25356</v>
      </c>
      <c r="G6" s="53">
        <v>1313</v>
      </c>
      <c r="H6" s="53">
        <v>3095</v>
      </c>
      <c r="I6" s="53">
        <v>211</v>
      </c>
      <c r="J6" s="53">
        <v>2213</v>
      </c>
      <c r="K6" s="53">
        <v>17</v>
      </c>
      <c r="L6" s="53">
        <v>0</v>
      </c>
      <c r="M6" s="53">
        <v>192</v>
      </c>
      <c r="N6" s="53">
        <v>47209</v>
      </c>
      <c r="O6" s="53">
        <v>0</v>
      </c>
      <c r="P6" s="53">
        <v>1324</v>
      </c>
      <c r="Q6" s="53">
        <v>3188</v>
      </c>
      <c r="R6" s="53">
        <v>0</v>
      </c>
      <c r="S6" s="53">
        <v>0</v>
      </c>
      <c r="T6" s="53">
        <v>91218</v>
      </c>
    </row>
    <row r="7" spans="1:20" hidden="1" x14ac:dyDescent="0.25">
      <c r="A7" s="52" t="s">
        <v>5910</v>
      </c>
      <c r="B7" s="53">
        <v>2151</v>
      </c>
      <c r="C7" s="53">
        <v>176</v>
      </c>
      <c r="D7" s="53">
        <v>4580</v>
      </c>
      <c r="E7" s="53">
        <v>303</v>
      </c>
      <c r="F7" s="53">
        <v>3151</v>
      </c>
      <c r="G7" s="53">
        <v>1990</v>
      </c>
      <c r="H7" s="53">
        <v>443</v>
      </c>
      <c r="I7" s="53">
        <v>72</v>
      </c>
      <c r="J7" s="53">
        <v>705</v>
      </c>
      <c r="K7" s="53">
        <v>174</v>
      </c>
      <c r="L7" s="53">
        <v>58</v>
      </c>
      <c r="M7" s="53">
        <v>0</v>
      </c>
      <c r="N7" s="53">
        <v>14020</v>
      </c>
      <c r="O7" s="53">
        <v>361</v>
      </c>
      <c r="P7" s="53">
        <v>2092</v>
      </c>
      <c r="Q7" s="53">
        <v>61</v>
      </c>
      <c r="R7" s="53">
        <v>142</v>
      </c>
      <c r="S7" s="53">
        <v>144</v>
      </c>
      <c r="T7" s="53">
        <v>30623</v>
      </c>
    </row>
    <row r="8" spans="1:20" hidden="1" x14ac:dyDescent="0.25">
      <c r="A8" s="52" t="s">
        <v>5911</v>
      </c>
      <c r="B8" s="53">
        <v>1239</v>
      </c>
      <c r="C8" s="53">
        <v>83</v>
      </c>
      <c r="D8" s="53">
        <v>18</v>
      </c>
      <c r="E8" s="53">
        <v>118</v>
      </c>
      <c r="F8" s="53">
        <v>2528</v>
      </c>
      <c r="G8" s="53">
        <v>0</v>
      </c>
      <c r="H8" s="53">
        <v>192</v>
      </c>
      <c r="I8" s="53">
        <v>2</v>
      </c>
      <c r="J8" s="53">
        <v>1232</v>
      </c>
      <c r="K8" s="53">
        <v>26</v>
      </c>
      <c r="L8" s="53">
        <v>0</v>
      </c>
      <c r="M8" s="53">
        <v>0</v>
      </c>
      <c r="N8" s="53">
        <v>603</v>
      </c>
      <c r="O8" s="53">
        <v>7</v>
      </c>
      <c r="P8" s="53">
        <v>2740</v>
      </c>
      <c r="Q8" s="53">
        <v>9</v>
      </c>
      <c r="R8" s="53">
        <v>1</v>
      </c>
      <c r="S8" s="53">
        <v>20</v>
      </c>
      <c r="T8" s="53">
        <v>8818</v>
      </c>
    </row>
    <row r="9" spans="1:20" hidden="1" x14ac:dyDescent="0.25">
      <c r="A9" s="52" t="s">
        <v>5912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58</v>
      </c>
      <c r="J9" s="53">
        <v>0</v>
      </c>
      <c r="K9" s="53">
        <v>2</v>
      </c>
      <c r="L9" s="53">
        <v>0</v>
      </c>
      <c r="M9" s="53">
        <v>0</v>
      </c>
      <c r="N9" s="53">
        <v>0</v>
      </c>
      <c r="O9" s="53">
        <v>210</v>
      </c>
      <c r="P9" s="53">
        <v>2</v>
      </c>
      <c r="Q9" s="53">
        <v>0</v>
      </c>
      <c r="R9" s="53">
        <v>0</v>
      </c>
      <c r="S9" s="53">
        <v>0</v>
      </c>
      <c r="T9" s="53">
        <v>272</v>
      </c>
    </row>
    <row r="10" spans="1:20" hidden="1" x14ac:dyDescent="0.25">
      <c r="A10" s="52" t="s">
        <v>5913</v>
      </c>
      <c r="B10" s="53">
        <v>0</v>
      </c>
      <c r="C10" s="53">
        <v>6</v>
      </c>
      <c r="D10" s="53">
        <v>22</v>
      </c>
      <c r="E10" s="53">
        <v>6</v>
      </c>
      <c r="F10" s="53">
        <v>2</v>
      </c>
      <c r="G10" s="53">
        <v>20</v>
      </c>
      <c r="H10" s="53">
        <v>0</v>
      </c>
      <c r="I10" s="53">
        <v>940</v>
      </c>
      <c r="J10" s="53">
        <v>10</v>
      </c>
      <c r="K10" s="53">
        <v>2</v>
      </c>
      <c r="L10" s="53">
        <v>4</v>
      </c>
      <c r="M10" s="53">
        <v>92</v>
      </c>
      <c r="N10" s="53">
        <v>39</v>
      </c>
      <c r="O10" s="53">
        <v>445</v>
      </c>
      <c r="P10" s="53">
        <v>21</v>
      </c>
      <c r="Q10" s="53">
        <v>13</v>
      </c>
      <c r="R10" s="53">
        <v>3</v>
      </c>
      <c r="S10" s="53">
        <v>242</v>
      </c>
      <c r="T10" s="53">
        <v>1867</v>
      </c>
    </row>
    <row r="11" spans="1:20" hidden="1" x14ac:dyDescent="0.25">
      <c r="A11" s="52" t="s">
        <v>5914</v>
      </c>
      <c r="B11" s="53">
        <v>0</v>
      </c>
      <c r="C11" s="53">
        <v>0</v>
      </c>
      <c r="D11" s="53">
        <v>26</v>
      </c>
      <c r="E11" s="53">
        <v>1</v>
      </c>
      <c r="F11" s="53">
        <v>0</v>
      </c>
      <c r="G11" s="53">
        <v>6</v>
      </c>
      <c r="H11" s="53">
        <v>0</v>
      </c>
      <c r="I11" s="53">
        <v>0</v>
      </c>
      <c r="J11" s="53">
        <v>0</v>
      </c>
      <c r="K11" s="53">
        <v>5</v>
      </c>
      <c r="L11" s="53">
        <v>0</v>
      </c>
      <c r="M11" s="53">
        <v>0</v>
      </c>
      <c r="N11" s="53">
        <v>216</v>
      </c>
      <c r="O11" s="53">
        <v>4</v>
      </c>
      <c r="P11" s="53">
        <v>599</v>
      </c>
      <c r="Q11" s="53">
        <v>5</v>
      </c>
      <c r="R11" s="53">
        <v>0</v>
      </c>
      <c r="S11" s="53">
        <v>0</v>
      </c>
      <c r="T11" s="53">
        <v>862</v>
      </c>
    </row>
    <row r="12" spans="1:20" hidden="1" x14ac:dyDescent="0.25">
      <c r="A12" s="52" t="s">
        <v>5915</v>
      </c>
      <c r="B12" s="53">
        <v>0</v>
      </c>
      <c r="C12" s="53">
        <v>9</v>
      </c>
      <c r="D12" s="53">
        <v>144</v>
      </c>
      <c r="E12" s="53">
        <v>1</v>
      </c>
      <c r="F12" s="53">
        <v>5520</v>
      </c>
      <c r="G12" s="53">
        <v>612</v>
      </c>
      <c r="H12" s="53">
        <v>55</v>
      </c>
      <c r="I12" s="53">
        <v>17</v>
      </c>
      <c r="J12" s="53">
        <v>380</v>
      </c>
      <c r="K12" s="53">
        <v>0</v>
      </c>
      <c r="L12" s="53">
        <v>5</v>
      </c>
      <c r="M12" s="53">
        <v>0</v>
      </c>
      <c r="N12" s="53">
        <v>2644</v>
      </c>
      <c r="O12" s="53">
        <v>52</v>
      </c>
      <c r="P12" s="53">
        <v>2682</v>
      </c>
      <c r="Q12" s="53">
        <v>64</v>
      </c>
      <c r="R12" s="53">
        <v>0</v>
      </c>
      <c r="S12" s="53">
        <v>80</v>
      </c>
      <c r="T12" s="53">
        <v>12265</v>
      </c>
    </row>
    <row r="13" spans="1:20" hidden="1" x14ac:dyDescent="0.25">
      <c r="A13" s="52" t="s">
        <v>5916</v>
      </c>
      <c r="B13" s="53"/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127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127</v>
      </c>
    </row>
    <row r="14" spans="1:20" hidden="1" x14ac:dyDescent="0.25">
      <c r="A14" s="52" t="s">
        <v>5917</v>
      </c>
      <c r="B14" s="53">
        <v>10114</v>
      </c>
      <c r="C14" s="53">
        <v>3115</v>
      </c>
      <c r="D14" s="53">
        <v>11534</v>
      </c>
      <c r="E14" s="53">
        <v>1284</v>
      </c>
      <c r="F14" s="53">
        <v>56266</v>
      </c>
      <c r="G14" s="53">
        <v>9844</v>
      </c>
      <c r="H14" s="53">
        <v>35320</v>
      </c>
      <c r="I14" s="53">
        <v>3683</v>
      </c>
      <c r="J14" s="53">
        <v>18023</v>
      </c>
      <c r="K14" s="53">
        <v>432</v>
      </c>
      <c r="L14" s="53">
        <v>200</v>
      </c>
      <c r="M14" s="53">
        <v>2143</v>
      </c>
      <c r="N14" s="53">
        <v>96005</v>
      </c>
      <c r="O14" s="53">
        <v>1875</v>
      </c>
      <c r="P14" s="53">
        <v>22942</v>
      </c>
      <c r="Q14" s="53">
        <v>25149</v>
      </c>
      <c r="R14" s="53">
        <v>592</v>
      </c>
      <c r="S14" s="53">
        <v>1951</v>
      </c>
      <c r="T14" s="53">
        <v>300472</v>
      </c>
    </row>
    <row r="15" spans="1:20" hidden="1" x14ac:dyDescent="0.25"/>
    <row r="16" spans="1:20" hidden="1" x14ac:dyDescent="0.25"/>
    <row r="17" hidden="1" x14ac:dyDescent="0.25"/>
    <row r="20" s="26" customFormat="1" x14ac:dyDescent="0.25"/>
    <row r="21" s="26" customFormat="1" x14ac:dyDescent="0.25"/>
    <row r="22" s="26" customFormat="1" x14ac:dyDescent="0.25"/>
    <row r="23" s="26" customFormat="1" x14ac:dyDescent="0.25"/>
    <row r="24" s="26" customFormat="1" x14ac:dyDescent="0.25"/>
    <row r="25" s="26" customFormat="1" x14ac:dyDescent="0.25"/>
    <row r="26" s="26" customFormat="1" x14ac:dyDescent="0.25"/>
    <row r="27" s="26" customFormat="1" x14ac:dyDescent="0.25"/>
    <row r="28" s="26" customFormat="1" x14ac:dyDescent="0.25"/>
    <row r="29" s="26" customFormat="1" x14ac:dyDescent="0.25"/>
    <row r="30" s="26" customFormat="1" x14ac:dyDescent="0.25"/>
    <row r="31" s="26" customFormat="1" x14ac:dyDescent="0.25"/>
    <row r="32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  <row r="38" s="26" customFormat="1" x14ac:dyDescent="0.25"/>
    <row r="39" s="26" customFormat="1" x14ac:dyDescent="0.25"/>
    <row r="46" s="26" customFormat="1" x14ac:dyDescent="0.25"/>
    <row r="47" s="26" customFormat="1" x14ac:dyDescent="0.25"/>
    <row r="49" spans="1:20" s="26" customFormat="1" x14ac:dyDescent="0.25"/>
    <row r="50" spans="1:20" s="26" customFormat="1" x14ac:dyDescent="0.25"/>
    <row r="52" spans="1:20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</row>
    <row r="53" spans="1:20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</row>
    <row r="54" spans="1:20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</row>
    <row r="55" spans="1:20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</row>
    <row r="56" spans="1:20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</row>
    <row r="57" spans="1:20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</row>
    <row r="58" spans="1:20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</row>
    <row r="59" spans="1:20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</row>
    <row r="60" spans="1:20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</row>
    <row r="61" spans="1:20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</row>
    <row r="62" spans="1:20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</row>
    <row r="63" spans="1:20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</row>
    <row r="64" spans="1:20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</row>
    <row r="65" spans="1:20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</row>
    <row r="66" spans="1:20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</row>
    <row r="67" spans="1:20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</row>
    <row r="68" spans="1:20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</row>
    <row r="69" spans="1:20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</row>
    <row r="70" spans="1:20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</row>
    <row r="71" spans="1:20" x14ac:dyDescent="0.2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20" x14ac:dyDescent="0.2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</row>
    <row r="73" spans="1:20" x14ac:dyDescent="0.2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</row>
    <row r="74" spans="1:20" x14ac:dyDescent="0.2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</row>
    <row r="75" spans="1:20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</row>
    <row r="76" spans="1:20" x14ac:dyDescent="0.2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</row>
    <row r="77" spans="1:20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</row>
    <row r="78" spans="1:20" x14ac:dyDescent="0.2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</row>
    <row r="79" spans="1:20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</row>
    <row r="80" spans="1:20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</row>
    <row r="81" spans="1:20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</row>
    <row r="85" spans="1:20" x14ac:dyDescent="0.25">
      <c r="A85" s="44" t="s">
        <v>5860</v>
      </c>
      <c r="B85" s="44" t="s">
        <v>44</v>
      </c>
    </row>
    <row r="86" spans="1:20" x14ac:dyDescent="0.25">
      <c r="A86" s="45" t="s">
        <v>5864</v>
      </c>
      <c r="B86" s="46">
        <f>Summary!B32</f>
        <v>91218</v>
      </c>
    </row>
    <row r="87" spans="1:20" x14ac:dyDescent="0.25">
      <c r="A87" s="45" t="s">
        <v>5861</v>
      </c>
      <c r="B87" s="46">
        <f>Summary!E32+Summary!F32+Summary!G32+Summary!I32+Summary!J32</f>
        <v>24084</v>
      </c>
    </row>
    <row r="88" spans="1:20" x14ac:dyDescent="0.25">
      <c r="A88" s="45" t="s">
        <v>5862</v>
      </c>
      <c r="B88" s="46">
        <f>Summary!C32+Summary!D32+Summary!H32</f>
        <v>185043</v>
      </c>
    </row>
    <row r="89" spans="1:20" x14ac:dyDescent="0.25">
      <c r="A89" s="45" t="s">
        <v>5863</v>
      </c>
      <c r="B89" s="46">
        <f>Summary!K32</f>
        <v>127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workbookViewId="0">
      <selection activeCell="P24" sqref="P24"/>
    </sheetView>
  </sheetViews>
  <sheetFormatPr defaultRowHeight="15" x14ac:dyDescent="0.25"/>
  <cols>
    <col min="1" max="1" width="13.42578125" bestFit="1" customWidth="1"/>
    <col min="2" max="2" width="12.85546875" bestFit="1" customWidth="1"/>
    <col min="3" max="3" width="14.85546875" bestFit="1" customWidth="1"/>
    <col min="4" max="4" width="15.28515625" bestFit="1" customWidth="1"/>
    <col min="5" max="5" width="13.28515625" bestFit="1" customWidth="1"/>
    <col min="6" max="6" width="13.140625" bestFit="1" customWidth="1"/>
    <col min="7" max="7" width="11.5703125" bestFit="1" customWidth="1"/>
    <col min="8" max="8" width="13.28515625" bestFit="1" customWidth="1"/>
    <col min="9" max="9" width="14.5703125" bestFit="1" customWidth="1"/>
    <col min="10" max="10" width="18.28515625" bestFit="1" customWidth="1"/>
    <col min="11" max="11" width="12" bestFit="1" customWidth="1"/>
  </cols>
  <sheetData>
    <row r="1" spans="1:11" x14ac:dyDescent="0.25">
      <c r="A1" s="51" t="s">
        <v>5907</v>
      </c>
      <c r="B1" s="26" t="s">
        <v>5920</v>
      </c>
      <c r="C1" s="26" t="s">
        <v>5921</v>
      </c>
      <c r="D1" s="26" t="s">
        <v>5922</v>
      </c>
      <c r="E1" s="26" t="s">
        <v>5924</v>
      </c>
      <c r="F1" s="26" t="s">
        <v>5923</v>
      </c>
      <c r="G1" s="26" t="s">
        <v>5925</v>
      </c>
      <c r="H1" s="26" t="s">
        <v>5926</v>
      </c>
      <c r="I1" s="26" t="s">
        <v>5927</v>
      </c>
      <c r="J1" s="26" t="s">
        <v>5928</v>
      </c>
      <c r="K1" s="26" t="s">
        <v>5917</v>
      </c>
    </row>
    <row r="2" spans="1:11" x14ac:dyDescent="0.25">
      <c r="A2" s="52" t="s">
        <v>9</v>
      </c>
      <c r="B2" s="53">
        <v>8813</v>
      </c>
      <c r="C2" s="53">
        <v>1219</v>
      </c>
      <c r="D2" s="53">
        <v>10</v>
      </c>
      <c r="E2" s="53">
        <v>0</v>
      </c>
      <c r="F2" s="53">
        <v>0</v>
      </c>
      <c r="G2" s="53">
        <v>0</v>
      </c>
      <c r="H2" s="53">
        <v>0</v>
      </c>
      <c r="I2" s="53">
        <v>72</v>
      </c>
      <c r="J2" s="53">
        <v>0</v>
      </c>
      <c r="K2" s="53">
        <v>10114</v>
      </c>
    </row>
    <row r="3" spans="1:11" x14ac:dyDescent="0.25">
      <c r="A3" s="52" t="s">
        <v>10</v>
      </c>
      <c r="B3" s="53">
        <v>88</v>
      </c>
      <c r="C3" s="53">
        <v>2534</v>
      </c>
      <c r="D3" s="53">
        <v>41</v>
      </c>
      <c r="E3" s="53">
        <v>0</v>
      </c>
      <c r="F3" s="53">
        <v>8</v>
      </c>
      <c r="G3" s="53">
        <v>0</v>
      </c>
      <c r="H3" s="53">
        <v>2</v>
      </c>
      <c r="I3" s="53">
        <v>419</v>
      </c>
      <c r="J3" s="53">
        <v>23</v>
      </c>
      <c r="K3" s="53">
        <v>3115</v>
      </c>
    </row>
    <row r="4" spans="1:11" x14ac:dyDescent="0.25">
      <c r="A4" s="52" t="s">
        <v>11</v>
      </c>
      <c r="B4" s="53">
        <v>6987</v>
      </c>
      <c r="C4" s="53">
        <v>813</v>
      </c>
      <c r="D4" s="53">
        <v>81</v>
      </c>
      <c r="E4" s="53">
        <v>0</v>
      </c>
      <c r="F4" s="53">
        <v>271</v>
      </c>
      <c r="G4" s="53">
        <v>0</v>
      </c>
      <c r="H4" s="53">
        <v>74</v>
      </c>
      <c r="I4" s="53">
        <v>2474</v>
      </c>
      <c r="J4" s="53">
        <v>834</v>
      </c>
      <c r="K4" s="53">
        <v>11534</v>
      </c>
    </row>
    <row r="5" spans="1:11" x14ac:dyDescent="0.25">
      <c r="A5" s="52" t="s">
        <v>12</v>
      </c>
      <c r="B5" s="53">
        <v>252</v>
      </c>
      <c r="C5" s="53">
        <v>23</v>
      </c>
      <c r="D5" s="53">
        <v>33</v>
      </c>
      <c r="E5" s="53">
        <v>0</v>
      </c>
      <c r="F5" s="53">
        <v>37</v>
      </c>
      <c r="G5" s="53">
        <v>0</v>
      </c>
      <c r="H5" s="53">
        <v>114</v>
      </c>
      <c r="I5" s="53">
        <v>420</v>
      </c>
      <c r="J5" s="53">
        <v>405</v>
      </c>
      <c r="K5" s="53">
        <v>1284</v>
      </c>
    </row>
    <row r="6" spans="1:11" x14ac:dyDescent="0.25">
      <c r="A6" s="52" t="s">
        <v>13</v>
      </c>
      <c r="B6" s="53">
        <v>55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9</v>
      </c>
      <c r="I6" s="53">
        <v>56109</v>
      </c>
      <c r="J6" s="53">
        <v>93</v>
      </c>
      <c r="K6" s="53">
        <v>56266</v>
      </c>
    </row>
    <row r="7" spans="1:11" x14ac:dyDescent="0.25">
      <c r="A7" s="52" t="s">
        <v>14</v>
      </c>
      <c r="B7" s="53">
        <v>191</v>
      </c>
      <c r="C7" s="53">
        <v>98</v>
      </c>
      <c r="D7" s="53">
        <v>116</v>
      </c>
      <c r="E7" s="53">
        <v>0</v>
      </c>
      <c r="F7" s="53">
        <v>8449</v>
      </c>
      <c r="G7" s="53">
        <v>0</v>
      </c>
      <c r="H7" s="53">
        <v>23</v>
      </c>
      <c r="I7" s="53">
        <v>105</v>
      </c>
      <c r="J7" s="53">
        <v>862</v>
      </c>
      <c r="K7" s="53">
        <v>9844</v>
      </c>
    </row>
    <row r="8" spans="1:11" x14ac:dyDescent="0.25">
      <c r="A8" s="52" t="s">
        <v>15</v>
      </c>
      <c r="B8" s="53">
        <v>11774</v>
      </c>
      <c r="C8" s="53">
        <v>0</v>
      </c>
      <c r="D8" s="53">
        <v>778</v>
      </c>
      <c r="E8" s="53">
        <v>0</v>
      </c>
      <c r="F8" s="53">
        <v>68</v>
      </c>
      <c r="G8" s="53">
        <v>1660</v>
      </c>
      <c r="H8" s="53">
        <v>2082</v>
      </c>
      <c r="I8" s="53">
        <v>15570</v>
      </c>
      <c r="J8" s="53">
        <v>3388</v>
      </c>
      <c r="K8" s="53">
        <v>35320</v>
      </c>
    </row>
    <row r="9" spans="1:11" x14ac:dyDescent="0.25">
      <c r="A9" s="52" t="s">
        <v>16</v>
      </c>
      <c r="B9" s="53">
        <v>100</v>
      </c>
      <c r="C9" s="53">
        <v>158</v>
      </c>
      <c r="D9" s="53">
        <v>23</v>
      </c>
      <c r="E9" s="53">
        <v>0</v>
      </c>
      <c r="F9" s="53">
        <v>25</v>
      </c>
      <c r="G9" s="53">
        <v>0</v>
      </c>
      <c r="H9" s="53">
        <v>43</v>
      </c>
      <c r="I9" s="53">
        <v>3314</v>
      </c>
      <c r="J9" s="53">
        <v>20</v>
      </c>
      <c r="K9" s="53">
        <v>3683</v>
      </c>
    </row>
    <row r="10" spans="1:11" x14ac:dyDescent="0.25">
      <c r="A10" s="52" t="s">
        <v>17</v>
      </c>
      <c r="B10" s="53">
        <v>632</v>
      </c>
      <c r="C10" s="53">
        <v>23</v>
      </c>
      <c r="D10" s="53">
        <v>139</v>
      </c>
      <c r="E10" s="53">
        <v>0</v>
      </c>
      <c r="F10" s="53">
        <v>770</v>
      </c>
      <c r="G10" s="53">
        <v>0</v>
      </c>
      <c r="H10" s="53">
        <v>10442</v>
      </c>
      <c r="I10" s="53">
        <v>2200</v>
      </c>
      <c r="J10" s="53">
        <v>3817</v>
      </c>
      <c r="K10" s="53">
        <v>18023</v>
      </c>
    </row>
    <row r="11" spans="1:11" x14ac:dyDescent="0.25">
      <c r="A11" s="52" t="s">
        <v>18</v>
      </c>
      <c r="B11" s="53">
        <v>27</v>
      </c>
      <c r="C11" s="53">
        <v>5</v>
      </c>
      <c r="D11" s="53">
        <v>25</v>
      </c>
      <c r="E11" s="53">
        <v>0</v>
      </c>
      <c r="F11" s="53">
        <v>16</v>
      </c>
      <c r="G11" s="53">
        <v>0</v>
      </c>
      <c r="H11" s="53">
        <v>91</v>
      </c>
      <c r="I11" s="53">
        <v>210</v>
      </c>
      <c r="J11" s="53">
        <v>58</v>
      </c>
      <c r="K11" s="53">
        <v>432</v>
      </c>
    </row>
    <row r="12" spans="1:11" x14ac:dyDescent="0.25">
      <c r="A12" s="52" t="s">
        <v>19</v>
      </c>
      <c r="B12" s="53">
        <v>22</v>
      </c>
      <c r="C12" s="53">
        <v>0</v>
      </c>
      <c r="D12" s="53">
        <v>21</v>
      </c>
      <c r="E12" s="53">
        <v>0</v>
      </c>
      <c r="F12" s="53">
        <v>5</v>
      </c>
      <c r="G12" s="53">
        <v>0</v>
      </c>
      <c r="H12" s="53">
        <v>16</v>
      </c>
      <c r="I12" s="53">
        <v>120</v>
      </c>
      <c r="J12" s="53">
        <v>16</v>
      </c>
      <c r="K12" s="53">
        <v>200</v>
      </c>
    </row>
    <row r="13" spans="1:11" x14ac:dyDescent="0.25">
      <c r="A13" s="52" t="s">
        <v>20</v>
      </c>
      <c r="B13" s="53">
        <v>14</v>
      </c>
      <c r="C13" s="53">
        <v>0</v>
      </c>
      <c r="D13" s="53">
        <v>0</v>
      </c>
      <c r="E13" s="53">
        <v>0</v>
      </c>
      <c r="F13" s="53">
        <v>7</v>
      </c>
      <c r="G13" s="53">
        <v>0</v>
      </c>
      <c r="H13" s="53">
        <v>1</v>
      </c>
      <c r="I13" s="53">
        <v>2114</v>
      </c>
      <c r="J13" s="53">
        <v>7</v>
      </c>
      <c r="K13" s="53">
        <v>2143</v>
      </c>
    </row>
    <row r="14" spans="1:11" x14ac:dyDescent="0.25">
      <c r="A14" s="52" t="s">
        <v>21</v>
      </c>
      <c r="B14" s="53">
        <v>59</v>
      </c>
      <c r="C14" s="53">
        <v>0</v>
      </c>
      <c r="D14" s="53">
        <v>0</v>
      </c>
      <c r="E14" s="53">
        <v>0</v>
      </c>
      <c r="F14" s="53">
        <v>0</v>
      </c>
      <c r="G14" s="53">
        <v>1607</v>
      </c>
      <c r="H14" s="53">
        <v>833</v>
      </c>
      <c r="I14" s="53">
        <v>89906</v>
      </c>
      <c r="J14" s="53">
        <v>3600</v>
      </c>
      <c r="K14" s="53">
        <v>96005</v>
      </c>
    </row>
    <row r="15" spans="1:11" x14ac:dyDescent="0.25">
      <c r="A15" s="52" t="s">
        <v>22</v>
      </c>
      <c r="B15" s="53">
        <v>21</v>
      </c>
      <c r="C15" s="53">
        <v>0</v>
      </c>
      <c r="D15" s="53">
        <v>44</v>
      </c>
      <c r="E15" s="53">
        <v>0</v>
      </c>
      <c r="F15" s="53">
        <v>11</v>
      </c>
      <c r="G15" s="53">
        <v>0</v>
      </c>
      <c r="H15" s="53">
        <v>243</v>
      </c>
      <c r="I15" s="53">
        <v>1534</v>
      </c>
      <c r="J15" s="53">
        <v>22</v>
      </c>
      <c r="K15" s="53">
        <v>1875</v>
      </c>
    </row>
    <row r="16" spans="1:11" x14ac:dyDescent="0.25">
      <c r="A16" s="52" t="s">
        <v>23</v>
      </c>
      <c r="B16" s="53">
        <v>125</v>
      </c>
      <c r="C16" s="53">
        <v>0</v>
      </c>
      <c r="D16" s="53">
        <v>0</v>
      </c>
      <c r="E16" s="53">
        <v>0</v>
      </c>
      <c r="F16" s="53">
        <v>241</v>
      </c>
      <c r="G16" s="53">
        <v>0</v>
      </c>
      <c r="H16" s="53">
        <v>2696</v>
      </c>
      <c r="I16" s="53">
        <v>235</v>
      </c>
      <c r="J16" s="53">
        <v>19645</v>
      </c>
      <c r="K16" s="53">
        <v>22942</v>
      </c>
    </row>
    <row r="17" spans="1:11" x14ac:dyDescent="0.25">
      <c r="A17" s="52" t="s">
        <v>24</v>
      </c>
      <c r="B17" s="53">
        <v>4262</v>
      </c>
      <c r="C17" s="53">
        <v>1703</v>
      </c>
      <c r="D17" s="53">
        <v>3668</v>
      </c>
      <c r="E17" s="53">
        <v>0</v>
      </c>
      <c r="F17" s="53">
        <v>4625</v>
      </c>
      <c r="G17" s="53">
        <v>0</v>
      </c>
      <c r="H17" s="53">
        <v>1624</v>
      </c>
      <c r="I17" s="53">
        <v>2466</v>
      </c>
      <c r="J17" s="53">
        <v>6801</v>
      </c>
      <c r="K17" s="53">
        <v>25149</v>
      </c>
    </row>
    <row r="18" spans="1:11" x14ac:dyDescent="0.25">
      <c r="A18" s="52" t="s">
        <v>25</v>
      </c>
      <c r="B18" s="53">
        <v>103</v>
      </c>
      <c r="C18" s="53">
        <v>4</v>
      </c>
      <c r="D18" s="53">
        <v>2</v>
      </c>
      <c r="E18" s="53">
        <v>0</v>
      </c>
      <c r="F18" s="53">
        <v>9</v>
      </c>
      <c r="G18" s="53">
        <v>0</v>
      </c>
      <c r="H18" s="53">
        <v>85</v>
      </c>
      <c r="I18" s="53">
        <v>352</v>
      </c>
      <c r="J18" s="53">
        <v>37</v>
      </c>
      <c r="K18" s="53">
        <v>592</v>
      </c>
    </row>
    <row r="19" spans="1:11" x14ac:dyDescent="0.25">
      <c r="A19" s="52" t="s">
        <v>26</v>
      </c>
      <c r="B19" s="53">
        <v>141</v>
      </c>
      <c r="C19" s="53">
        <v>0</v>
      </c>
      <c r="D19" s="53">
        <v>24</v>
      </c>
      <c r="E19" s="53">
        <v>0</v>
      </c>
      <c r="F19" s="53">
        <v>103</v>
      </c>
      <c r="G19" s="53">
        <v>0</v>
      </c>
      <c r="H19" s="53">
        <v>144</v>
      </c>
      <c r="I19" s="53">
        <v>1379</v>
      </c>
      <c r="J19" s="53">
        <v>160</v>
      </c>
      <c r="K19" s="53">
        <v>1951</v>
      </c>
    </row>
    <row r="20" spans="1:11" x14ac:dyDescent="0.25">
      <c r="A20" s="52" t="s">
        <v>5908</v>
      </c>
      <c r="B20" s="53">
        <v>33666</v>
      </c>
      <c r="C20" s="53">
        <v>6580</v>
      </c>
      <c r="D20" s="53">
        <v>5005</v>
      </c>
      <c r="E20" s="53">
        <v>0</v>
      </c>
      <c r="F20" s="53">
        <v>14645</v>
      </c>
      <c r="G20" s="53">
        <v>3267</v>
      </c>
      <c r="H20" s="53">
        <v>18522</v>
      </c>
      <c r="I20" s="53">
        <v>178999</v>
      </c>
      <c r="J20" s="53">
        <v>39788</v>
      </c>
      <c r="K20" s="53">
        <v>300472</v>
      </c>
    </row>
    <row r="22" spans="1:11" ht="21" customHeight="1" x14ac:dyDescent="0.25"/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DTM DATASET</vt:lpstr>
      <vt:lpstr>Summary</vt:lpstr>
      <vt:lpstr>Period of Displacement</vt:lpstr>
      <vt:lpstr>Shelter Type by Governorate of </vt:lpstr>
      <vt:lpstr>IDPs by Governorate of Origin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2017-01-26T10:01:45Z</dcterms:created>
  <dcterms:modified xsi:type="dcterms:W3CDTF">2019-02-20T10:44:56Z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054294bb-c1be-425c-8569-ac09099a5ffc</vt:lpwstr>
  </property>
</Properties>
</file>